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10.10.10.11\Ai본부\F.AI본부\2024년 10월\제이케이엔터프라이즈\제이케이엔터프라이즈(채동우)_2407\2. 당기평가\"/>
    </mc:Choice>
  </mc:AlternateContent>
  <bookViews>
    <workbookView xWindow="28680" yWindow="-120" windowWidth="29040" windowHeight="15720" tabRatio="870" activeTab="17"/>
  </bookViews>
  <sheets>
    <sheet name="DCF" sheetId="1" r:id="rId1"/>
    <sheet name="매출" sheetId="108" r:id="rId2"/>
    <sheet name="매출원가" sheetId="109" r:id="rId3"/>
    <sheet name="판관비" sheetId="110" r:id="rId4"/>
    <sheet name="CAPEX" sheetId="115" r:id="rId5"/>
    <sheet name="매출계획" sheetId="144" r:id="rId6"/>
    <sheet name="매출원가계획" sheetId="145" r:id="rId7"/>
    <sheet name="CAPEX계획" sheetId="150" r:id="rId8"/>
    <sheet name="감가상각집계표" sheetId="159" r:id="rId9"/>
    <sheet name="인건비" sheetId="146" r:id="rId10"/>
    <sheet name="변동비" sheetId="147" r:id="rId11"/>
    <sheet name="고정비" sheetId="149" r:id="rId12"/>
    <sheet name="Index" sheetId="4" r:id="rId13"/>
    <sheet name="Cash Flow" sheetId="3" r:id="rId14"/>
    <sheet name="Pro FS" sheetId="8" r:id="rId15"/>
    <sheet name="PBC&gt;&gt;" sheetId="112" r:id="rId16"/>
    <sheet name="지점별 손익" sheetId="157" r:id="rId17"/>
    <sheet name="분할사업부문 손익(2023년 실적)" sheetId="143" r:id="rId18"/>
    <sheet name="수정사항 집계" sheetId="152" r:id="rId19"/>
    <sheet name="연결BS" sheetId="153" r:id="rId20"/>
    <sheet name="연결IS" sheetId="154" r:id="rId21"/>
    <sheet name="개별BS" sheetId="155" r:id="rId22"/>
    <sheet name="개별IS" sheetId="156" r:id="rId23"/>
  </sheets>
  <definedNames>
    <definedName name="_______________AHE32" hidden="1">{"'Sheet1'!$B$10:$C$19","'Sheet1'!$A$53:$C$65"}</definedName>
    <definedName name="______________AHE32" hidden="1">{"'Sheet1'!$B$10:$C$19","'Sheet1'!$A$53:$C$65"}</definedName>
    <definedName name="____________AHE32" hidden="1">{"'Sheet1'!$B$10:$C$19","'Sheet1'!$A$53:$C$65"}</definedName>
    <definedName name="____________LG2" hidden="1">{#N/A,#N/A,TRUE,"매출진척-1";#N/A,#N/A,TRUE,"매출진척-2";#N/A,#N/A,TRUE,"제품실적";#N/A,#N/A,TRUE,"RAC";#N/A,#N/A,TRUE,"PAC ";#N/A,#N/A,TRUE,"재고현황";#N/A,#N/A,TRUE,"공지사항"}</definedName>
    <definedName name="___________AHE32" hidden="1">{"'Sheet1'!$B$10:$C$19","'Sheet1'!$A$53:$C$65"}</definedName>
    <definedName name="___________FAB6" hidden="1">#REF!</definedName>
    <definedName name="__________AHE32" hidden="1">{"'Sheet1'!$B$10:$C$19","'Sheet1'!$A$53:$C$65"}</definedName>
    <definedName name="__________FAB6" hidden="1">#REF!</definedName>
    <definedName name="__________LG2" hidden="1">{#N/A,#N/A,TRUE,"매출진척-1";#N/A,#N/A,TRUE,"매출진척-2";#N/A,#N/A,TRUE,"제품실적";#N/A,#N/A,TRUE,"RAC";#N/A,#N/A,TRUE,"PAC ";#N/A,#N/A,TRUE,"재고현황";#N/A,#N/A,TRUE,"공지사항"}</definedName>
    <definedName name="_________AHE32" hidden="1">{"'Sheet1'!$B$10:$C$19","'Sheet1'!$A$53:$C$65"}</definedName>
    <definedName name="_________FAB6" hidden="1">#REF!</definedName>
    <definedName name="_________LG2" hidden="1">{#N/A,#N/A,TRUE,"매출진척-1";#N/A,#N/A,TRUE,"매출진척-2";#N/A,#N/A,TRUE,"제품실적";#N/A,#N/A,TRUE,"RAC";#N/A,#N/A,TRUE,"PAC ";#N/A,#N/A,TRUE,"재고현황";#N/A,#N/A,TRUE,"공지사항"}</definedName>
    <definedName name="________AHE32" hidden="1">{"'Sheet1'!$B$10:$C$19","'Sheet1'!$A$53:$C$65"}</definedName>
    <definedName name="________FAB6" hidden="1">#REF!</definedName>
    <definedName name="________LG2" hidden="1">{#N/A,#N/A,TRUE,"매출진척-1";#N/A,#N/A,TRUE,"매출진척-2";#N/A,#N/A,TRUE,"제품실적";#N/A,#N/A,TRUE,"RAC";#N/A,#N/A,TRUE,"PAC ";#N/A,#N/A,TRUE,"재고현황";#N/A,#N/A,TRUE,"공지사항"}</definedName>
    <definedName name="_______AHE32" hidden="1">{"'Sheet1'!$B$10:$C$19","'Sheet1'!$A$53:$C$65"}</definedName>
    <definedName name="_______FAB6" hidden="1">#REF!</definedName>
    <definedName name="_______LG2" hidden="1">{#N/A,#N/A,TRUE,"매출진척-1";#N/A,#N/A,TRUE,"매출진척-2";#N/A,#N/A,TRUE,"제품실적";#N/A,#N/A,TRUE,"RAC";#N/A,#N/A,TRUE,"PAC ";#N/A,#N/A,TRUE,"재고현황";#N/A,#N/A,TRUE,"공지사항"}</definedName>
    <definedName name="______ALT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__FAB6" hidden="1">#REF!</definedName>
    <definedName name="______INT2" hidden="1">{#N/A,#N/A,TRUE,"일정"}</definedName>
    <definedName name="______LG2" hidden="1">{#N/A,#N/A,TRUE,"매출진척-1";#N/A,#N/A,TRUE,"매출진척-2";#N/A,#N/A,TRUE,"제품실적";#N/A,#N/A,TRUE,"RAC";#N/A,#N/A,TRUE,"PAC ";#N/A,#N/A,TRUE,"재고현황";#N/A,#N/A,TRUE,"공지사항"}</definedName>
    <definedName name="______oo77"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__PU7" hidden="1">{#N/A,#N/A,TRUE,"일정"}</definedName>
    <definedName name="_____ALT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_FAB6" hidden="1">#REF!</definedName>
    <definedName name="_____INT2" hidden="1">{#N/A,#N/A,TRUE,"일정"}</definedName>
    <definedName name="_____LG2" hidden="1">{#N/A,#N/A,TRUE,"매출진척-1";#N/A,#N/A,TRUE,"매출진척-2";#N/A,#N/A,TRUE,"제품실적";#N/A,#N/A,TRUE,"RAC";#N/A,#N/A,TRUE,"PAC ";#N/A,#N/A,TRUE,"재고현황";#N/A,#N/A,TRUE,"공지사항"}</definedName>
    <definedName name="_____oo77"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_PU7" hidden="1">{#N/A,#N/A,TRUE,"일정"}</definedName>
    <definedName name="____AHE32" hidden="1">{"'Sheet1'!$B$10:$C$19","'Sheet1'!$A$53:$C$65"}</definedName>
    <definedName name="____ALT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FAB6" hidden="1">#REF!</definedName>
    <definedName name="____INT2" hidden="1">{#N/A,#N/A,TRUE,"일정"}</definedName>
    <definedName name="____LG2" hidden="1">{#N/A,#N/A,TRUE,"매출진척-1";#N/A,#N/A,TRUE,"매출진척-2";#N/A,#N/A,TRUE,"제품실적";#N/A,#N/A,TRUE,"RAC";#N/A,#N/A,TRUE,"PAC ";#N/A,#N/A,TRUE,"재고현황";#N/A,#N/A,TRUE,"공지사항"}</definedName>
    <definedName name="____oo77"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_PU7" hidden="1">{#N/A,#N/A,TRUE,"일정"}</definedName>
    <definedName name="____SSS1" hidden="1">#REF!</definedName>
    <definedName name="___AHE32" hidden="1">{"'Sheet1'!$B$10:$C$19","'Sheet1'!$A$53:$C$65"}</definedName>
    <definedName name="___ALT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FAB6" hidden="1">#REF!</definedName>
    <definedName name="___INT2" hidden="1">{#N/A,#N/A,TRUE,"일정"}</definedName>
    <definedName name="___jh1" hidden="1">{#N/A,#N/A,FALSE,"Yield";#N/A,#N/A,FALSE,"Loss1";#N/A,#N/A,FALSE,"Loss2";#N/A,#N/A,FALSE,"Hour-Labor(배분)";#N/A,#N/A,FALSE,"Capital Expenditure";#N/A,#N/A,FALSE,"Productivity"}</definedName>
    <definedName name="___jh3"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jh4" hidden="1">{#N/A,#N/A,FALSE,"Yield";#N/A,#N/A,FALSE,"Loss1";#N/A,#N/A,FALSE,"Loss2";#N/A,#N/A,FALSE,"Hour-Labor(배분)";#N/A,#N/A,FALSE,"Capital Expenditure";#N/A,#N/A,FALSE,"Productivity"}</definedName>
    <definedName name="___jh5" hidden="1">{#N/A,#N/A,FALSE,"98소지이동TOTvs99.1 (2)";#N/A,#N/A,FALSE,"TOTAL";#N/A,#N/A,FALSE,"98소지이동TOTvs99.1(b) (2)"}</definedName>
    <definedName name="___jj1"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jj2" hidden="1">{#N/A,#N/A,FALSE,"Yield";#N/A,#N/A,FALSE,"Loss1";#N/A,#N/A,FALSE,"Loss2";#N/A,#N/A,FALSE,"Hour-Labor(배분)";#N/A,#N/A,FALSE,"Capital Expenditure";#N/A,#N/A,FALSE,"Productivity"}</definedName>
    <definedName name="___jj3" hidden="1">{#N/A,#N/A,FALSE,"군산원가";#N/A,#N/A,FALSE,"팀별월별";#N/A,#N/A,FALSE,"타공정대체";#N/A,#N/A,FALSE,"기타경비";#N/A,#N/A,FALSE,"원료";#N/A,#N/A,FALSE,"연료"}</definedName>
    <definedName name="___jj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jj5"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jj6" hidden="1">{#N/A,#N/A,FALSE,"Yield";#N/A,#N/A,FALSE,"Loss1";#N/A,#N/A,FALSE,"Loss2";#N/A,#N/A,FALSE,"Hour-Labor(배분)";#N/A,#N/A,FALSE,"Capital Expenditure";#N/A,#N/A,FALSE,"Productivity"}</definedName>
    <definedName name="___jj7" hidden="1">{#N/A,#N/A,FALSE,"98소지이동TOTvs99.1 (2)";#N/A,#N/A,FALSE,"TOTAL";#N/A,#N/A,FALSE,"98소지이동TOTvs99.1(b) (2)"}</definedName>
    <definedName name="___kl505" hidden="1">{#N/A,#N/A,FALSE,"군산원가";#N/A,#N/A,FALSE,"팀별월별";#N/A,#N/A,FALSE,"타공정대체";#N/A,#N/A,FALSE,"기타경비";#N/A,#N/A,FALSE,"원료";#N/A,#N/A,FALSE,"연료"}</definedName>
    <definedName name="___LG2" hidden="1">{#N/A,#N/A,TRUE,"매출진척-1";#N/A,#N/A,TRUE,"매출진척-2";#N/A,#N/A,TRUE,"제품실적";#N/A,#N/A,TRUE,"RAC";#N/A,#N/A,TRUE,"PAC ";#N/A,#N/A,TRUE,"재고현황";#N/A,#N/A,TRUE,"공지사항"}</definedName>
    <definedName name="___ll1"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ll2" hidden="1">{#N/A,#N/A,FALSE,"98소지이동TOTvs99.1 (2)";#N/A,#N/A,FALSE,"TOTAL";#N/A,#N/A,FALSE,"98소지이동TOTvs99.1(b) (2)"}</definedName>
    <definedName name="___ll3" hidden="1">{#N/A,#N/A,FALSE,"98소지이동TOTvs99.1 (2)";#N/A,#N/A,FALSE,"TOTAL";#N/A,#N/A,FALSE,"98소지이동TOTvs99.1(b) (2)"}</definedName>
    <definedName name="___ll4" hidden="1">{#N/A,#N/A,FALSE,"군산원가";#N/A,#N/A,FALSE,"팀별월별";#N/A,#N/A,FALSE,"타공정대체";#N/A,#N/A,FALSE,"기타경비";#N/A,#N/A,FALSE,"원료";#N/A,#N/A,FALSE,"연료"}</definedName>
    <definedName name="___ll5" hidden="1">{#N/A,#N/A,FALSE,"군산원가";#N/A,#N/A,FALSE,"팀별월별";#N/A,#N/A,FALSE,"타공정대체";#N/A,#N/A,FALSE,"기타경비";#N/A,#N/A,FALSE,"원료";#N/A,#N/A,FALSE,"연료"}</definedName>
    <definedName name="___ll6" hidden="1">{#N/A,#N/A,FALSE,"98소지이동TOTvs99.1 (2)";#N/A,#N/A,FALSE,"TOTAL";#N/A,#N/A,FALSE,"98소지이동TOTvs99.1(b) (2)"}</definedName>
    <definedName name="___ll7"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ll8"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ll9" hidden="1">{#N/A,#N/A,FALSE,"Yield";#N/A,#N/A,FALSE,"Loss1";#N/A,#N/A,FALSE,"Loss2";#N/A,#N/A,FALSE,"Hour-Labor(배분)";#N/A,#N/A,FALSE,"Capital Expenditure";#N/A,#N/A,FALSE,"Productivity"}</definedName>
    <definedName name="___ML6" hidden="1">{#N/A,#N/A,FALSE,"98소지이동TOTvs99.1 (2)";#N/A,#N/A,FALSE,"TOTAL";#N/A,#N/A,FALSE,"98소지이동TOTvs99.1(b) (2)"}</definedName>
    <definedName name="___mm1" hidden="1">{#N/A,#N/A,FALSE,"98소지이동TOTvs99.1 (2)";#N/A,#N/A,FALSE,"TOTAL";#N/A,#N/A,FALSE,"98소지이동TOTvs99.1(b) (2)"}</definedName>
    <definedName name="___mm2" hidden="1">{#N/A,#N/A,FALSE,"98소지이동TOTvs99.1 (2)";#N/A,#N/A,FALSE,"TOTAL";#N/A,#N/A,FALSE,"98소지이동TOTvs99.1(b) (2)"}</definedName>
    <definedName name="___mm3" hidden="1">{#N/A,#N/A,FALSE,"군산원가";#N/A,#N/A,FALSE,"팀별월별";#N/A,#N/A,FALSE,"타공정대체";#N/A,#N/A,FALSE,"기타경비";#N/A,#N/A,FALSE,"원료";#N/A,#N/A,FALSE,"연료"}</definedName>
    <definedName name="___mm4" hidden="1">{#N/A,#N/A,FALSE,"군산원가";#N/A,#N/A,FALSE,"팀별월별";#N/A,#N/A,FALSE,"타공정대체";#N/A,#N/A,FALSE,"기타경비";#N/A,#N/A,FALSE,"원료";#N/A,#N/A,FALSE,"연료"}</definedName>
    <definedName name="___mm5" hidden="1">{#N/A,#N/A,FALSE,"98소지이동TOTvs99.1 (2)";#N/A,#N/A,FALSE,"TOTAL";#N/A,#N/A,FALSE,"98소지이동TOTvs99.1(b) (2)"}</definedName>
    <definedName name="___mm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mm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mm8" hidden="1">{#N/A,#N/A,FALSE,"Yield";#N/A,#N/A,FALSE,"Loss1";#N/A,#N/A,FALSE,"Loss2";#N/A,#N/A,FALSE,"Hour-Labor(배분)";#N/A,#N/A,FALSE,"Capital Expenditure";#N/A,#N/A,FALSE,"Productivity"}</definedName>
    <definedName name="___mm9" hidden="1">{#N/A,#N/A,FALSE,"98소지이동TOTvs99.1 (2)";#N/A,#N/A,FALSE,"TOTAL";#N/A,#N/A,FALSE,"98소지이동TOTvs99.1(b) (2)"}</definedName>
    <definedName name="___oo77"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_PF1" hidden="1">{#N/A,#N/A,FALSE,"군산원가";#N/A,#N/A,FALSE,"팀별월별";#N/A,#N/A,FALSE,"타공정대체";#N/A,#N/A,FALSE,"기타경비";#N/A,#N/A,FALSE,"원료";#N/A,#N/A,FALSE,"연료"}</definedName>
    <definedName name="___PU7" hidden="1">{#N/A,#N/A,TRUE,"일정"}</definedName>
    <definedName name="___RR1" hidden="1">{#N/A,#N/A,FALSE,"98소지이동TOTvs99.1 (2)";#N/A,#N/A,FALSE,"TOTAL";#N/A,#N/A,FALSE,"98소지이동TOTvs99.1(b) (2)"}</definedName>
    <definedName name="___RR2" hidden="1">{#N/A,#N/A,FALSE,"군산원가";#N/A,#N/A,FALSE,"팀별월별";#N/A,#N/A,FALSE,"타공정대체";#N/A,#N/A,FALSE,"기타경비";#N/A,#N/A,FALSE,"원료";#N/A,#N/A,FALSE,"연료"}</definedName>
    <definedName name="___RR3" hidden="1">{#N/A,#N/A,FALSE,"군산원가";#N/A,#N/A,FALSE,"팀별월별";#N/A,#N/A,FALSE,"타공정대체";#N/A,#N/A,FALSE,"기타경비";#N/A,#N/A,FALSE,"원료";#N/A,#N/A,FALSE,"연료"}</definedName>
    <definedName name="___RR4" hidden="1">{#N/A,#N/A,FALSE,"98소지이동TOTvs99.1 (2)";#N/A,#N/A,FALSE,"TOTAL";#N/A,#N/A,FALSE,"98소지이동TOTvs99.1(b) (2)"}</definedName>
    <definedName name="___RR5"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RR6"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RR7" hidden="1">{#N/A,#N/A,FALSE,"Yield";#N/A,#N/A,FALSE,"Loss1";#N/A,#N/A,FALSE,"Loss2";#N/A,#N/A,FALSE,"Hour-Labor(배분)";#N/A,#N/A,FALSE,"Capital Expenditure";#N/A,#N/A,FALSE,"Productivity"}</definedName>
    <definedName name="___RR8" hidden="1">{#N/A,#N/A,FALSE,"98소지이동TOTvs99.1 (2)";#N/A,#N/A,FALSE,"TOTAL";#N/A,#N/A,FALSE,"98소지이동TOTvs99.1(b) (2)"}</definedName>
    <definedName name="___SS1" hidden="1">{#N/A,#N/A,FALSE,"98소지이동TOTvs99.1 (2)";#N/A,#N/A,FALSE,"TOTAL";#N/A,#N/A,FALSE,"98소지이동TOTvs99.1(b) (2)"}</definedName>
    <definedName name="___SS10" hidden="1">{#N/A,#N/A,FALSE,"군산원가";#N/A,#N/A,FALSE,"팀별월별";#N/A,#N/A,FALSE,"타공정대체";#N/A,#N/A,FALSE,"기타경비";#N/A,#N/A,FALSE,"원료";#N/A,#N/A,FALSE,"연료"}</definedName>
    <definedName name="___SS11" hidden="1">{#N/A,#N/A,FALSE,"98소지이동TOTvs99.1 (2)";#N/A,#N/A,FALSE,"TOTAL";#N/A,#N/A,FALSE,"98소지이동TOTvs99.1(b) (2)"}</definedName>
    <definedName name="___SS12" hidden="1">{#N/A,#N/A,FALSE,"98소지이동TOTvs99.1 (2)";#N/A,#N/A,FALSE,"TOTAL";#N/A,#N/A,FALSE,"98소지이동TOTvs99.1(b) (2)"}</definedName>
    <definedName name="___SS13" hidden="1">{#N/A,#N/A,FALSE,"98소지이동TOTvs99.1 (2)";#N/A,#N/A,FALSE,"TOTAL";#N/A,#N/A,FALSE,"98소지이동TOTvs99.1(b) (2)"}</definedName>
    <definedName name="___SS14" hidden="1">{#N/A,#N/A,FALSE,"98소지이동TOTvs99.1 (2)";#N/A,#N/A,FALSE,"TOTAL";#N/A,#N/A,FALSE,"98소지이동TOTvs99.1(b) (2)"}</definedName>
    <definedName name="___SS15" hidden="1">{#N/A,#N/A,FALSE,"군산원가";#N/A,#N/A,FALSE,"팀별월별";#N/A,#N/A,FALSE,"타공정대체";#N/A,#N/A,FALSE,"기타경비";#N/A,#N/A,FALSE,"원료";#N/A,#N/A,FALSE,"연료"}</definedName>
    <definedName name="___SS16" hidden="1">{#N/A,#N/A,FALSE,"군산원가";#N/A,#N/A,FALSE,"팀별월별";#N/A,#N/A,FALSE,"타공정대체";#N/A,#N/A,FALSE,"기타경비";#N/A,#N/A,FALSE,"원료";#N/A,#N/A,FALSE,"연료"}</definedName>
    <definedName name="___SS17" hidden="1">{#N/A,#N/A,FALSE,"군산원가";#N/A,#N/A,FALSE,"팀별월별";#N/A,#N/A,FALSE,"타공정대체";#N/A,#N/A,FALSE,"기타경비";#N/A,#N/A,FALSE,"원료";#N/A,#N/A,FALSE,"연료"}</definedName>
    <definedName name="___SS18" hidden="1">{#N/A,#N/A,FALSE,"군산원가";#N/A,#N/A,FALSE,"팀별월별";#N/A,#N/A,FALSE,"타공정대체";#N/A,#N/A,FALSE,"기타경비";#N/A,#N/A,FALSE,"원료";#N/A,#N/A,FALSE,"연료"}</definedName>
    <definedName name="___SS19" hidden="1">{#N/A,#N/A,FALSE,"Yield";#N/A,#N/A,FALSE,"Loss1";#N/A,#N/A,FALSE,"Loss2";#N/A,#N/A,FALSE,"Hour-Labor(배분)";#N/A,#N/A,FALSE,"Capital Expenditure";#N/A,#N/A,FALSE,"Productivity"}</definedName>
    <definedName name="___SS2" hidden="1">{#N/A,#N/A,FALSE,"98소지이동TOTvs99.1 (2)";#N/A,#N/A,FALSE,"TOTAL";#N/A,#N/A,FALSE,"98소지이동TOTvs99.1(b) (2)"}</definedName>
    <definedName name="___SS20" hidden="1">{#N/A,#N/A,FALSE,"98소지이동TOTvs99.1 (2)";#N/A,#N/A,FALSE,"TOTAL";#N/A,#N/A,FALSE,"98소지이동TOTvs99.1(b) (2)"}</definedName>
    <definedName name="___SS21" hidden="1">{#N/A,#N/A,FALSE,"98소지이동TOTvs99.1 (2)";#N/A,#N/A,FALSE,"TOTAL";#N/A,#N/A,FALSE,"98소지이동TOTvs99.1(b) (2)"}</definedName>
    <definedName name="___SS22" hidden="1">{#N/A,#N/A,FALSE,"Yield";#N/A,#N/A,FALSE,"Loss1";#N/A,#N/A,FALSE,"Loss2";#N/A,#N/A,FALSE,"Hour-Labor(배분)";#N/A,#N/A,FALSE,"Capital Expenditure";#N/A,#N/A,FALSE,"Productivity"}</definedName>
    <definedName name="___SS23" hidden="1">{#N/A,#N/A,FALSE,"Yield";#N/A,#N/A,FALSE,"Loss1";#N/A,#N/A,FALSE,"Loss2";#N/A,#N/A,FALSE,"Hour-Labor(배분)";#N/A,#N/A,FALSE,"Capital Expenditure";#N/A,#N/A,FALSE,"Productivity"}</definedName>
    <definedName name="___SS24" hidden="1">{#N/A,#N/A,FALSE,"Yield";#N/A,#N/A,FALSE,"Loss1";#N/A,#N/A,FALSE,"Loss2";#N/A,#N/A,FALSE,"Hour-Labor(배분)";#N/A,#N/A,FALSE,"Capital Expenditure";#N/A,#N/A,FALSE,"Productivity"}</definedName>
    <definedName name="___SS25" hidden="1">{#N/A,#N/A,FALSE,"98소지이동TOTvs99.1 (2)";#N/A,#N/A,FALSE,"TOTAL";#N/A,#N/A,FALSE,"98소지이동TOTvs99.1(b) (2)"}</definedName>
    <definedName name="___SS2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SS27" hidden="1">{#N/A,#N/A,FALSE,"Yield";#N/A,#N/A,FALSE,"Loss1";#N/A,#N/A,FALSE,"Loss2";#N/A,#N/A,FALSE,"Hour-Labor(배분)";#N/A,#N/A,FALSE,"Capital Expenditure";#N/A,#N/A,FALSE,"Productivity"}</definedName>
    <definedName name="___SS28" hidden="1">{#N/A,#N/A,FALSE,"군산원가";#N/A,#N/A,FALSE,"팀별월별";#N/A,#N/A,FALSE,"타공정대체";#N/A,#N/A,FALSE,"기타경비";#N/A,#N/A,FALSE,"원료";#N/A,#N/A,FALSE,"연료"}</definedName>
    <definedName name="___SS29"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SS3" hidden="1">{#N/A,#N/A,FALSE,"군산원가";#N/A,#N/A,FALSE,"팀별월별";#N/A,#N/A,FALSE,"타공정대체";#N/A,#N/A,FALSE,"기타경비";#N/A,#N/A,FALSE,"원료";#N/A,#N/A,FALSE,"연료"}</definedName>
    <definedName name="___SS30"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SS31" hidden="1">{#N/A,#N/A,FALSE,"Yield";#N/A,#N/A,FALSE,"Loss1";#N/A,#N/A,FALSE,"Loss2";#N/A,#N/A,FALSE,"Hour-Labor(배분)";#N/A,#N/A,FALSE,"Capital Expenditure";#N/A,#N/A,FALSE,"Productivity"}</definedName>
    <definedName name="___SS32" hidden="1">{#N/A,#N/A,FALSE,"98소지이동TOTvs99.1 (2)";#N/A,#N/A,FALSE,"TOTAL";#N/A,#N/A,FALSE,"98소지이동TOTvs99.1(b) (2)"}</definedName>
    <definedName name="___SS4" hidden="1">{#N/A,#N/A,FALSE,"군산원가";#N/A,#N/A,FALSE,"팀별월별";#N/A,#N/A,FALSE,"타공정대체";#N/A,#N/A,FALSE,"기타경비";#N/A,#N/A,FALSE,"원료";#N/A,#N/A,FALSE,"연료"}</definedName>
    <definedName name="___SS5" hidden="1">{#N/A,#N/A,FALSE,"98소지이동TOTvs99.1 (2)";#N/A,#N/A,FALSE,"TOTAL";#N/A,#N/A,FALSE,"98소지이동TOTvs99.1(b) (2)"}</definedName>
    <definedName name="___SS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SS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SS8" hidden="1">{#N/A,#N/A,FALSE,"98소지이동TOTvs99.1 (2)";#N/A,#N/A,FALSE,"TOTAL";#N/A,#N/A,FALSE,"98소지이동TOTvs99.1(b) (2)"}</definedName>
    <definedName name="___SS9" hidden="1">{#N/A,#N/A,FALSE,"98소지이동TOTvs99.1 (2)";#N/A,#N/A,FALSE,"TOTAL";#N/A,#N/A,FALSE,"98소지이동TOTvs99.1(b) (2)"}</definedName>
    <definedName name="___SSS1" hidden="1">#REF!</definedName>
    <definedName name="___www1"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___XX1" hidden="1">{#N/A,#N/A,FALSE,"98소지이동TOTvs99.1 (2)";#N/A,#N/A,FALSE,"TOTAL";#N/A,#N/A,FALSE,"98소지이동TOTvs99.1(b) (2)"}</definedName>
    <definedName name="___XX10" hidden="1">{#N/A,#N/A,FALSE,"Yield";#N/A,#N/A,FALSE,"Loss1";#N/A,#N/A,FALSE,"Loss2";#N/A,#N/A,FALSE,"Hour-Labor(배분)";#N/A,#N/A,FALSE,"Capital Expenditure";#N/A,#N/A,FALSE,"Productivity"}</definedName>
    <definedName name="___XX2" hidden="1">{#N/A,#N/A,FALSE,"98소지이동TOTvs99.1 (2)";#N/A,#N/A,FALSE,"TOTAL";#N/A,#N/A,FALSE,"98소지이동TOTvs99.1(b) (2)"}</definedName>
    <definedName name="___XX3" hidden="1">{#N/A,#N/A,FALSE,"98소지이동TOTvs99.1 (2)";#N/A,#N/A,FALSE,"TOTAL";#N/A,#N/A,FALSE,"98소지이동TOTvs99.1(b) (2)"}</definedName>
    <definedName name="___XX4" hidden="1">{#N/A,#N/A,FALSE,"군산원가";#N/A,#N/A,FALSE,"팀별월별";#N/A,#N/A,FALSE,"타공정대체";#N/A,#N/A,FALSE,"기타경비";#N/A,#N/A,FALSE,"원료";#N/A,#N/A,FALSE,"연료"}</definedName>
    <definedName name="___XX5" hidden="1">{#N/A,#N/A,FALSE,"군산원가";#N/A,#N/A,FALSE,"팀별월별";#N/A,#N/A,FALSE,"타공정대체";#N/A,#N/A,FALSE,"기타경비";#N/A,#N/A,FALSE,"원료";#N/A,#N/A,FALSE,"연료"}</definedName>
    <definedName name="___XX6" hidden="1">{#N/A,#N/A,FALSE,"Yield";#N/A,#N/A,FALSE,"Loss1";#N/A,#N/A,FALSE,"Loss2";#N/A,#N/A,FALSE,"Hour-Labor(배분)";#N/A,#N/A,FALSE,"Capital Expenditure";#N/A,#N/A,FALSE,"Productivity"}</definedName>
    <definedName name="___XX7" hidden="1">{#N/A,#N/A,FALSE,"98소지이동TOTvs99.1 (2)";#N/A,#N/A,FALSE,"TOTAL";#N/A,#N/A,FALSE,"98소지이동TOTvs99.1(b) (2)"}</definedName>
    <definedName name="___XX8"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_XX9"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_ZZ1" hidden="1">{#N/A,#N/A,FALSE,"98소지이동TOTvs99.1 (2)";#N/A,#N/A,FALSE,"TOTAL";#N/A,#N/A,FALSE,"98소지이동TOTvs99.1(b) (2)"}</definedName>
    <definedName name="__123Graph_A" hidden="1">#REF!</definedName>
    <definedName name="__123Graph_AChart1" hidden="1">#REF!</definedName>
    <definedName name="__123Graph_AChart2" hidden="1">#REF!</definedName>
    <definedName name="__123Graph_AChart3" hidden="1">#REF!</definedName>
    <definedName name="__123Graph_AChart4" hidden="1">#REF!</definedName>
    <definedName name="__123Graph_AChart5" hidden="1">#REF!</definedName>
    <definedName name="__123Graph_AChart6" hidden="1">#REF!</definedName>
    <definedName name="__123Graph_ACurrent" hidden="1">#REF!</definedName>
    <definedName name="__123Graph_B" hidden="1">#REF!</definedName>
    <definedName name="__123Graph_BChart1" hidden="1">#REF!</definedName>
    <definedName name="__123Graph_BChart2" hidden="1">#REF!</definedName>
    <definedName name="__123Graph_BChart3" hidden="1">#REF!</definedName>
    <definedName name="__123Graph_BChart4" hidden="1">#REF!</definedName>
    <definedName name="__123Graph_BChart5" hidden="1">#REF!</definedName>
    <definedName name="__123Graph_BChart6" hidden="1">#REF!</definedName>
    <definedName name="__123Graph_BCurrent" hidden="1">#REF!</definedName>
    <definedName name="__123Graph_C" hidden="1">#REF!</definedName>
    <definedName name="__123Graph_CChart1" hidden="1">#REF!</definedName>
    <definedName name="__123Graph_CChart2" hidden="1">#REF!</definedName>
    <definedName name="__123Graph_CChart3" hidden="1">#REF!</definedName>
    <definedName name="__123Graph_CChart4" hidden="1">#REF!</definedName>
    <definedName name="__123Graph_CChart5" hidden="1">#REF!</definedName>
    <definedName name="__123Graph_CChart6" hidden="1">#REF!</definedName>
    <definedName name="__123Graph_CCurrent" hidden="1">#REF!</definedName>
    <definedName name="__123Graph_D" hidden="1">#REF!</definedName>
    <definedName name="__123Graph_DChart1" hidden="1">#REF!</definedName>
    <definedName name="__123Graph_DChart2" hidden="1">#REF!</definedName>
    <definedName name="__123Graph_DChart3" hidden="1">#REF!</definedName>
    <definedName name="__123Graph_DChart4" hidden="1">#REF!</definedName>
    <definedName name="__123Graph_DChart5" hidden="1">#REF!</definedName>
    <definedName name="__123Graph_DChart6" hidden="1">#REF!</definedName>
    <definedName name="__123Graph_DCurrent" hidden="1">#REF!</definedName>
    <definedName name="__123Graph_E" hidden="1">#REF!</definedName>
    <definedName name="__123Graph_EChart1" hidden="1">#REF!</definedName>
    <definedName name="__123Graph_EChart2" hidden="1">#REF!</definedName>
    <definedName name="__123Graph_EChart3" hidden="1">#REF!</definedName>
    <definedName name="__123Graph_EChart4" hidden="1">#REF!</definedName>
    <definedName name="__123Graph_EChart5" hidden="1">#REF!</definedName>
    <definedName name="__123Graph_EChart6" hidden="1">#REF!</definedName>
    <definedName name="__123Graph_ECurrent" hidden="1">#REF!</definedName>
    <definedName name="__123Graph_F" hidden="1">#REF!</definedName>
    <definedName name="__123Graph_FChart1" hidden="1">#REF!</definedName>
    <definedName name="__123Graph_FChart2" hidden="1">#REF!</definedName>
    <definedName name="__123Graph_FChart3" hidden="1">#REF!</definedName>
    <definedName name="__123Graph_FChart4" hidden="1">#REF!</definedName>
    <definedName name="__123Graph_FChart5" hidden="1">#REF!</definedName>
    <definedName name="__123Graph_FChart6" hidden="1">#REF!</definedName>
    <definedName name="__123Graph_FCurrent" hidden="1">#REF!</definedName>
    <definedName name="__123Graph_X" hidden="1">#REF!</definedName>
    <definedName name="__26bb1_" hidden="1">{#N/A,#N/A,FALSE,"98소지이동TOTvs99.1 (2)";#N/A,#N/A,FALSE,"TOTAL";#N/A,#N/A,FALSE,"98소지이동TOTvs99.1(b) (2)"}</definedName>
    <definedName name="__28bb2_" hidden="1">{#N/A,#N/A,FALSE,"98소지이동TOTvs99.1 (2)";#N/A,#N/A,FALSE,"TOTAL";#N/A,#N/A,FALSE,"98소지이동TOTvs99.1(b) (2)"}</definedName>
    <definedName name="__30bb3_" hidden="1">{#N/A,#N/A,FALSE,"군산원가";#N/A,#N/A,FALSE,"팀별월별";#N/A,#N/A,FALSE,"타공정대체";#N/A,#N/A,FALSE,"기타경비";#N/A,#N/A,FALSE,"원료";#N/A,#N/A,FALSE,"연료"}</definedName>
    <definedName name="__32bb4_" hidden="1">{#N/A,#N/A,FALSE,"98소지이동TOTvs99.1 (2)";#N/A,#N/A,FALSE,"TOTAL";#N/A,#N/A,FALSE,"98소지이동TOTvs99.1(b) (2)"}</definedName>
    <definedName name="__34bb5_" hidden="1">{#N/A,#N/A,FALSE,"98소지이동TOTvs99.1 (2)";#N/A,#N/A,FALSE,"TOTAL";#N/A,#N/A,FALSE,"98소지이동TOTvs99.1(b) (2)"}</definedName>
    <definedName name="__36bb6_" hidden="1">{#N/A,#N/A,FALSE,"98소지이동TOTvs99.1 (2)";#N/A,#N/A,FALSE,"TOTAL";#N/A,#N/A,FALSE,"98소지이동TOTvs99.1(b) (2)"}</definedName>
    <definedName name="__38bb7_" hidden="1">{#N/A,#N/A,FALSE,"98소지이동TOTvs99.1 (2)";#N/A,#N/A,FALSE,"TOTAL";#N/A,#N/A,FALSE,"98소지이동TOTvs99.1(b) (2)"}</definedName>
    <definedName name="__40bb8_" hidden="1">{#N/A,#N/A,FALSE,"군산원가";#N/A,#N/A,FALSE,"팀별월별";#N/A,#N/A,FALSE,"타공정대체";#N/A,#N/A,FALSE,"기타경비";#N/A,#N/A,FALSE,"원료";#N/A,#N/A,FALSE,"연료"}</definedName>
    <definedName name="__42bb9_" hidden="1">{#N/A,#N/A,FALSE,"군산원가";#N/A,#N/A,FALSE,"팀별월별";#N/A,#N/A,FALSE,"타공정대체";#N/A,#N/A,FALSE,"기타경비";#N/A,#N/A,FALSE,"원료";#N/A,#N/A,FALSE,"연료"}</definedName>
    <definedName name="__44cc1_" hidden="1">{#N/A,#N/A,FALSE,"군산원가";#N/A,#N/A,FALSE,"팀별월별";#N/A,#N/A,FALSE,"타공정대체";#N/A,#N/A,FALSE,"기타경비";#N/A,#N/A,FALSE,"원료";#N/A,#N/A,FALSE,"연료"}</definedName>
    <definedName name="__47cc2_" hidden="1">{#N/A,#N/A,FALSE,"군산원가";#N/A,#N/A,FALSE,"팀별월별";#N/A,#N/A,FALSE,"타공정대체";#N/A,#N/A,FALSE,"기타경비";#N/A,#N/A,FALSE,"원료";#N/A,#N/A,FALSE,"연료"}</definedName>
    <definedName name="__49cc3_" hidden="1">{#N/A,#N/A,FALSE,"Yield";#N/A,#N/A,FALSE,"Loss1";#N/A,#N/A,FALSE,"Loss2";#N/A,#N/A,FALSE,"Hour-Labor(배분)";#N/A,#N/A,FALSE,"Capital Expenditure";#N/A,#N/A,FALSE,"Productivity"}</definedName>
    <definedName name="__51cc4_" hidden="1">{#N/A,#N/A,FALSE,"98소지이동TOTvs99.1 (2)";#N/A,#N/A,FALSE,"TOTAL";#N/A,#N/A,FALSE,"98소지이동TOTvs99.1(b) (2)"}</definedName>
    <definedName name="__53cc5_" hidden="1">{#N/A,#N/A,FALSE,"98소지이동TOTvs99.1 (2)";#N/A,#N/A,FALSE,"TOTAL";#N/A,#N/A,FALSE,"98소지이동TOTvs99.1(b) (2)"}</definedName>
    <definedName name="__55cc6_" hidden="1">{#N/A,#N/A,FALSE,"Yield";#N/A,#N/A,FALSE,"Loss1";#N/A,#N/A,FALSE,"Loss2";#N/A,#N/A,FALSE,"Hour-Labor(배분)";#N/A,#N/A,FALSE,"Capital Expenditure";#N/A,#N/A,FALSE,"Productivity"}</definedName>
    <definedName name="__57cc7_" hidden="1">{#N/A,#N/A,FALSE,"Yield";#N/A,#N/A,FALSE,"Loss1";#N/A,#N/A,FALSE,"Loss2";#N/A,#N/A,FALSE,"Hour-Labor(배분)";#N/A,#N/A,FALSE,"Capital Expenditure";#N/A,#N/A,FALSE,"Productivity"}</definedName>
    <definedName name="__59cc8_" hidden="1">{#N/A,#N/A,FALSE,"Yield";#N/A,#N/A,FALSE,"Loss1";#N/A,#N/A,FALSE,"Loss2";#N/A,#N/A,FALSE,"Hour-Labor(배분)";#N/A,#N/A,FALSE,"Capital Expenditure";#N/A,#N/A,FALSE,"Productivity"}</definedName>
    <definedName name="__61cc9_" hidden="1">{#N/A,#N/A,FALSE,"98소지이동TOTvs99.1 (2)";#N/A,#N/A,FALSE,"TOTAL";#N/A,#N/A,FALSE,"98소지이동TOTvs99.1(b) (2)"}</definedName>
    <definedName name="__AHE32" hidden="1">{"'Sheet1'!$B$10:$C$19","'Sheet1'!$A$53:$C$65"}</definedName>
    <definedName name="__ALT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ap2" hidden="1">#REF!</definedName>
    <definedName name="__ap3" hidden="1">#REF!</definedName>
    <definedName name="__ap6" hidden="1">#REF!</definedName>
    <definedName name="__FAB6" hidden="1">#REF!</definedName>
    <definedName name="__INT2" hidden="1">{#N/A,#N/A,TRUE,"일정"}</definedName>
    <definedName name="__IntlFixup" hidden="1">TRUE</definedName>
    <definedName name="__jh1" hidden="1">{#N/A,#N/A,FALSE,"Yield";#N/A,#N/A,FALSE,"Loss1";#N/A,#N/A,FALSE,"Loss2";#N/A,#N/A,FALSE,"Hour-Labor(배분)";#N/A,#N/A,FALSE,"Capital Expenditure";#N/A,#N/A,FALSE,"Productivity"}</definedName>
    <definedName name="__jh3"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jh4" hidden="1">{#N/A,#N/A,FALSE,"Yield";#N/A,#N/A,FALSE,"Loss1";#N/A,#N/A,FALSE,"Loss2";#N/A,#N/A,FALSE,"Hour-Labor(배분)";#N/A,#N/A,FALSE,"Capital Expenditure";#N/A,#N/A,FALSE,"Productivity"}</definedName>
    <definedName name="__jh5" hidden="1">{#N/A,#N/A,FALSE,"98소지이동TOTvs99.1 (2)";#N/A,#N/A,FALSE,"TOTAL";#N/A,#N/A,FALSE,"98소지이동TOTvs99.1(b) (2)"}</definedName>
    <definedName name="__jj1"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jj2" hidden="1">{#N/A,#N/A,FALSE,"Yield";#N/A,#N/A,FALSE,"Loss1";#N/A,#N/A,FALSE,"Loss2";#N/A,#N/A,FALSE,"Hour-Labor(배분)";#N/A,#N/A,FALSE,"Capital Expenditure";#N/A,#N/A,FALSE,"Productivity"}</definedName>
    <definedName name="__jj3" hidden="1">{#N/A,#N/A,FALSE,"군산원가";#N/A,#N/A,FALSE,"팀별월별";#N/A,#N/A,FALSE,"타공정대체";#N/A,#N/A,FALSE,"기타경비";#N/A,#N/A,FALSE,"원료";#N/A,#N/A,FALSE,"연료"}</definedName>
    <definedName name="__jj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jj5"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jj6" hidden="1">{#N/A,#N/A,FALSE,"Yield";#N/A,#N/A,FALSE,"Loss1";#N/A,#N/A,FALSE,"Loss2";#N/A,#N/A,FALSE,"Hour-Labor(배분)";#N/A,#N/A,FALSE,"Capital Expenditure";#N/A,#N/A,FALSE,"Productivity"}</definedName>
    <definedName name="__jj7" hidden="1">{#N/A,#N/A,FALSE,"98소지이동TOTvs99.1 (2)";#N/A,#N/A,FALSE,"TOTAL";#N/A,#N/A,FALSE,"98소지이동TOTvs99.1(b) (2)"}</definedName>
    <definedName name="__KEY2" hidden="1">#REF!</definedName>
    <definedName name="__kl505" hidden="1">{#N/A,#N/A,FALSE,"군산원가";#N/A,#N/A,FALSE,"팀별월별";#N/A,#N/A,FALSE,"타공정대체";#N/A,#N/A,FALSE,"기타경비";#N/A,#N/A,FALSE,"원료";#N/A,#N/A,FALSE,"연료"}</definedName>
    <definedName name="__LG2" hidden="1">{#N/A,#N/A,TRUE,"매출진척-1";#N/A,#N/A,TRUE,"매출진척-2";#N/A,#N/A,TRUE,"제품실적";#N/A,#N/A,TRUE,"RAC";#N/A,#N/A,TRUE,"PAC ";#N/A,#N/A,TRUE,"재고현황";#N/A,#N/A,TRUE,"공지사항"}</definedName>
    <definedName name="__ll1"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ll2" hidden="1">{#N/A,#N/A,FALSE,"98소지이동TOTvs99.1 (2)";#N/A,#N/A,FALSE,"TOTAL";#N/A,#N/A,FALSE,"98소지이동TOTvs99.1(b) (2)"}</definedName>
    <definedName name="__ll3" hidden="1">{#N/A,#N/A,FALSE,"98소지이동TOTvs99.1 (2)";#N/A,#N/A,FALSE,"TOTAL";#N/A,#N/A,FALSE,"98소지이동TOTvs99.1(b) (2)"}</definedName>
    <definedName name="__ll4" hidden="1">{#N/A,#N/A,FALSE,"군산원가";#N/A,#N/A,FALSE,"팀별월별";#N/A,#N/A,FALSE,"타공정대체";#N/A,#N/A,FALSE,"기타경비";#N/A,#N/A,FALSE,"원료";#N/A,#N/A,FALSE,"연료"}</definedName>
    <definedName name="__ll5" hidden="1">{#N/A,#N/A,FALSE,"군산원가";#N/A,#N/A,FALSE,"팀별월별";#N/A,#N/A,FALSE,"타공정대체";#N/A,#N/A,FALSE,"기타경비";#N/A,#N/A,FALSE,"원료";#N/A,#N/A,FALSE,"연료"}</definedName>
    <definedName name="__ll6" hidden="1">{#N/A,#N/A,FALSE,"98소지이동TOTvs99.1 (2)";#N/A,#N/A,FALSE,"TOTAL";#N/A,#N/A,FALSE,"98소지이동TOTvs99.1(b) (2)"}</definedName>
    <definedName name="__ll7"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ll8"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ll9" hidden="1">{#N/A,#N/A,FALSE,"Yield";#N/A,#N/A,FALSE,"Loss1";#N/A,#N/A,FALSE,"Loss2";#N/A,#N/A,FALSE,"Hour-Labor(배분)";#N/A,#N/A,FALSE,"Capital Expenditure";#N/A,#N/A,FALSE,"Productivity"}</definedName>
    <definedName name="__ML6" hidden="1">{#N/A,#N/A,FALSE,"98소지이동TOTvs99.1 (2)";#N/A,#N/A,FALSE,"TOTAL";#N/A,#N/A,FALSE,"98소지이동TOTvs99.1(b) (2)"}</definedName>
    <definedName name="__mm1" hidden="1">{#N/A,#N/A,FALSE,"98소지이동TOTvs99.1 (2)";#N/A,#N/A,FALSE,"TOTAL";#N/A,#N/A,FALSE,"98소지이동TOTvs99.1(b) (2)"}</definedName>
    <definedName name="__mm2" hidden="1">{#N/A,#N/A,FALSE,"98소지이동TOTvs99.1 (2)";#N/A,#N/A,FALSE,"TOTAL";#N/A,#N/A,FALSE,"98소지이동TOTvs99.1(b) (2)"}</definedName>
    <definedName name="__mm3" hidden="1">{#N/A,#N/A,FALSE,"군산원가";#N/A,#N/A,FALSE,"팀별월별";#N/A,#N/A,FALSE,"타공정대체";#N/A,#N/A,FALSE,"기타경비";#N/A,#N/A,FALSE,"원료";#N/A,#N/A,FALSE,"연료"}</definedName>
    <definedName name="__mm4" hidden="1">{#N/A,#N/A,FALSE,"군산원가";#N/A,#N/A,FALSE,"팀별월별";#N/A,#N/A,FALSE,"타공정대체";#N/A,#N/A,FALSE,"기타경비";#N/A,#N/A,FALSE,"원료";#N/A,#N/A,FALSE,"연료"}</definedName>
    <definedName name="__mm5" hidden="1">{#N/A,#N/A,FALSE,"98소지이동TOTvs99.1 (2)";#N/A,#N/A,FALSE,"TOTAL";#N/A,#N/A,FALSE,"98소지이동TOTvs99.1(b) (2)"}</definedName>
    <definedName name="__mm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mm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mm8" hidden="1">{#N/A,#N/A,FALSE,"Yield";#N/A,#N/A,FALSE,"Loss1";#N/A,#N/A,FALSE,"Loss2";#N/A,#N/A,FALSE,"Hour-Labor(배분)";#N/A,#N/A,FALSE,"Capital Expenditure";#N/A,#N/A,FALSE,"Productivity"}</definedName>
    <definedName name="__mm9" hidden="1">{#N/A,#N/A,FALSE,"98소지이동TOTvs99.1 (2)";#N/A,#N/A,FALSE,"TOTAL";#N/A,#N/A,FALSE,"98소지이동TOTvs99.1(b) (2)"}</definedName>
    <definedName name="__o2" hidden="1">#REF!</definedName>
    <definedName name="__oo77"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_PF1" hidden="1">{#N/A,#N/A,FALSE,"군산원가";#N/A,#N/A,FALSE,"팀별월별";#N/A,#N/A,FALSE,"타공정대체";#N/A,#N/A,FALSE,"기타경비";#N/A,#N/A,FALSE,"원료";#N/A,#N/A,FALSE,"연료"}</definedName>
    <definedName name="__PU7" hidden="1">{#N/A,#N/A,TRUE,"일정"}</definedName>
    <definedName name="__RR1" hidden="1">{#N/A,#N/A,FALSE,"98소지이동TOTvs99.1 (2)";#N/A,#N/A,FALSE,"TOTAL";#N/A,#N/A,FALSE,"98소지이동TOTvs99.1(b) (2)"}</definedName>
    <definedName name="__RR2" hidden="1">{#N/A,#N/A,FALSE,"군산원가";#N/A,#N/A,FALSE,"팀별월별";#N/A,#N/A,FALSE,"타공정대체";#N/A,#N/A,FALSE,"기타경비";#N/A,#N/A,FALSE,"원료";#N/A,#N/A,FALSE,"연료"}</definedName>
    <definedName name="__RR3" hidden="1">{#N/A,#N/A,FALSE,"군산원가";#N/A,#N/A,FALSE,"팀별월별";#N/A,#N/A,FALSE,"타공정대체";#N/A,#N/A,FALSE,"기타경비";#N/A,#N/A,FALSE,"원료";#N/A,#N/A,FALSE,"연료"}</definedName>
    <definedName name="__RR4" hidden="1">{#N/A,#N/A,FALSE,"98소지이동TOTvs99.1 (2)";#N/A,#N/A,FALSE,"TOTAL";#N/A,#N/A,FALSE,"98소지이동TOTvs99.1(b) (2)"}</definedName>
    <definedName name="__RR5"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RR6"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RR7" hidden="1">{#N/A,#N/A,FALSE,"Yield";#N/A,#N/A,FALSE,"Loss1";#N/A,#N/A,FALSE,"Loss2";#N/A,#N/A,FALSE,"Hour-Labor(배분)";#N/A,#N/A,FALSE,"Capital Expenditure";#N/A,#N/A,FALSE,"Productivity"}</definedName>
    <definedName name="__RR8" hidden="1">{#N/A,#N/A,FALSE,"98소지이동TOTvs99.1 (2)";#N/A,#N/A,FALSE,"TOTAL";#N/A,#N/A,FALSE,"98소지이동TOTvs99.1(b) (2)"}</definedName>
    <definedName name="__SS1" hidden="1">{#N/A,#N/A,FALSE,"98소지이동TOTvs99.1 (2)";#N/A,#N/A,FALSE,"TOTAL";#N/A,#N/A,FALSE,"98소지이동TOTvs99.1(b) (2)"}</definedName>
    <definedName name="__SS10" hidden="1">{#N/A,#N/A,FALSE,"군산원가";#N/A,#N/A,FALSE,"팀별월별";#N/A,#N/A,FALSE,"타공정대체";#N/A,#N/A,FALSE,"기타경비";#N/A,#N/A,FALSE,"원료";#N/A,#N/A,FALSE,"연료"}</definedName>
    <definedName name="__SS11" hidden="1">{#N/A,#N/A,FALSE,"98소지이동TOTvs99.1 (2)";#N/A,#N/A,FALSE,"TOTAL";#N/A,#N/A,FALSE,"98소지이동TOTvs99.1(b) (2)"}</definedName>
    <definedName name="__SS12" hidden="1">{#N/A,#N/A,FALSE,"98소지이동TOTvs99.1 (2)";#N/A,#N/A,FALSE,"TOTAL";#N/A,#N/A,FALSE,"98소지이동TOTvs99.1(b) (2)"}</definedName>
    <definedName name="__SS13" hidden="1">{#N/A,#N/A,FALSE,"98소지이동TOTvs99.1 (2)";#N/A,#N/A,FALSE,"TOTAL";#N/A,#N/A,FALSE,"98소지이동TOTvs99.1(b) (2)"}</definedName>
    <definedName name="__SS14" hidden="1">{#N/A,#N/A,FALSE,"98소지이동TOTvs99.1 (2)";#N/A,#N/A,FALSE,"TOTAL";#N/A,#N/A,FALSE,"98소지이동TOTvs99.1(b) (2)"}</definedName>
    <definedName name="__SS15" hidden="1">{#N/A,#N/A,FALSE,"군산원가";#N/A,#N/A,FALSE,"팀별월별";#N/A,#N/A,FALSE,"타공정대체";#N/A,#N/A,FALSE,"기타경비";#N/A,#N/A,FALSE,"원료";#N/A,#N/A,FALSE,"연료"}</definedName>
    <definedName name="__SS16" hidden="1">{#N/A,#N/A,FALSE,"군산원가";#N/A,#N/A,FALSE,"팀별월별";#N/A,#N/A,FALSE,"타공정대체";#N/A,#N/A,FALSE,"기타경비";#N/A,#N/A,FALSE,"원료";#N/A,#N/A,FALSE,"연료"}</definedName>
    <definedName name="__SS17" hidden="1">{#N/A,#N/A,FALSE,"군산원가";#N/A,#N/A,FALSE,"팀별월별";#N/A,#N/A,FALSE,"타공정대체";#N/A,#N/A,FALSE,"기타경비";#N/A,#N/A,FALSE,"원료";#N/A,#N/A,FALSE,"연료"}</definedName>
    <definedName name="__SS18" hidden="1">{#N/A,#N/A,FALSE,"군산원가";#N/A,#N/A,FALSE,"팀별월별";#N/A,#N/A,FALSE,"타공정대체";#N/A,#N/A,FALSE,"기타경비";#N/A,#N/A,FALSE,"원료";#N/A,#N/A,FALSE,"연료"}</definedName>
    <definedName name="__SS19" hidden="1">{#N/A,#N/A,FALSE,"Yield";#N/A,#N/A,FALSE,"Loss1";#N/A,#N/A,FALSE,"Loss2";#N/A,#N/A,FALSE,"Hour-Labor(배분)";#N/A,#N/A,FALSE,"Capital Expenditure";#N/A,#N/A,FALSE,"Productivity"}</definedName>
    <definedName name="__SS2" hidden="1">{#N/A,#N/A,FALSE,"98소지이동TOTvs99.1 (2)";#N/A,#N/A,FALSE,"TOTAL";#N/A,#N/A,FALSE,"98소지이동TOTvs99.1(b) (2)"}</definedName>
    <definedName name="__SS20" hidden="1">{#N/A,#N/A,FALSE,"98소지이동TOTvs99.1 (2)";#N/A,#N/A,FALSE,"TOTAL";#N/A,#N/A,FALSE,"98소지이동TOTvs99.1(b) (2)"}</definedName>
    <definedName name="__SS21" hidden="1">{#N/A,#N/A,FALSE,"98소지이동TOTvs99.1 (2)";#N/A,#N/A,FALSE,"TOTAL";#N/A,#N/A,FALSE,"98소지이동TOTvs99.1(b) (2)"}</definedName>
    <definedName name="__SS22" hidden="1">{#N/A,#N/A,FALSE,"Yield";#N/A,#N/A,FALSE,"Loss1";#N/A,#N/A,FALSE,"Loss2";#N/A,#N/A,FALSE,"Hour-Labor(배분)";#N/A,#N/A,FALSE,"Capital Expenditure";#N/A,#N/A,FALSE,"Productivity"}</definedName>
    <definedName name="__SS23" hidden="1">{#N/A,#N/A,FALSE,"Yield";#N/A,#N/A,FALSE,"Loss1";#N/A,#N/A,FALSE,"Loss2";#N/A,#N/A,FALSE,"Hour-Labor(배분)";#N/A,#N/A,FALSE,"Capital Expenditure";#N/A,#N/A,FALSE,"Productivity"}</definedName>
    <definedName name="__SS24" hidden="1">{#N/A,#N/A,FALSE,"Yield";#N/A,#N/A,FALSE,"Loss1";#N/A,#N/A,FALSE,"Loss2";#N/A,#N/A,FALSE,"Hour-Labor(배분)";#N/A,#N/A,FALSE,"Capital Expenditure";#N/A,#N/A,FALSE,"Productivity"}</definedName>
    <definedName name="__SS25" hidden="1">{#N/A,#N/A,FALSE,"98소지이동TOTvs99.1 (2)";#N/A,#N/A,FALSE,"TOTAL";#N/A,#N/A,FALSE,"98소지이동TOTvs99.1(b) (2)"}</definedName>
    <definedName name="__SS2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SS27" hidden="1">{#N/A,#N/A,FALSE,"Yield";#N/A,#N/A,FALSE,"Loss1";#N/A,#N/A,FALSE,"Loss2";#N/A,#N/A,FALSE,"Hour-Labor(배분)";#N/A,#N/A,FALSE,"Capital Expenditure";#N/A,#N/A,FALSE,"Productivity"}</definedName>
    <definedName name="__SS28" hidden="1">{#N/A,#N/A,FALSE,"군산원가";#N/A,#N/A,FALSE,"팀별월별";#N/A,#N/A,FALSE,"타공정대체";#N/A,#N/A,FALSE,"기타경비";#N/A,#N/A,FALSE,"원료";#N/A,#N/A,FALSE,"연료"}</definedName>
    <definedName name="__SS29"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SS3" hidden="1">{#N/A,#N/A,FALSE,"군산원가";#N/A,#N/A,FALSE,"팀별월별";#N/A,#N/A,FALSE,"타공정대체";#N/A,#N/A,FALSE,"기타경비";#N/A,#N/A,FALSE,"원료";#N/A,#N/A,FALSE,"연료"}</definedName>
    <definedName name="__SS30"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SS31" hidden="1">{#N/A,#N/A,FALSE,"Yield";#N/A,#N/A,FALSE,"Loss1";#N/A,#N/A,FALSE,"Loss2";#N/A,#N/A,FALSE,"Hour-Labor(배분)";#N/A,#N/A,FALSE,"Capital Expenditure";#N/A,#N/A,FALSE,"Productivity"}</definedName>
    <definedName name="__SS32" hidden="1">{#N/A,#N/A,FALSE,"98소지이동TOTvs99.1 (2)";#N/A,#N/A,FALSE,"TOTAL";#N/A,#N/A,FALSE,"98소지이동TOTvs99.1(b) (2)"}</definedName>
    <definedName name="__SS4" hidden="1">{#N/A,#N/A,FALSE,"군산원가";#N/A,#N/A,FALSE,"팀별월별";#N/A,#N/A,FALSE,"타공정대체";#N/A,#N/A,FALSE,"기타경비";#N/A,#N/A,FALSE,"원료";#N/A,#N/A,FALSE,"연료"}</definedName>
    <definedName name="__SS5" hidden="1">{#N/A,#N/A,FALSE,"98소지이동TOTvs99.1 (2)";#N/A,#N/A,FALSE,"TOTAL";#N/A,#N/A,FALSE,"98소지이동TOTvs99.1(b) (2)"}</definedName>
    <definedName name="__SS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SS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SS8" hidden="1">{#N/A,#N/A,FALSE,"98소지이동TOTvs99.1 (2)";#N/A,#N/A,FALSE,"TOTAL";#N/A,#N/A,FALSE,"98소지이동TOTvs99.1(b) (2)"}</definedName>
    <definedName name="__SS9" hidden="1">{#N/A,#N/A,FALSE,"98소지이동TOTvs99.1 (2)";#N/A,#N/A,FALSE,"TOTAL";#N/A,#N/A,FALSE,"98소지이동TOTvs99.1(b) (2)"}</definedName>
    <definedName name="__SSS1" hidden="1">#REF!</definedName>
    <definedName name="__www1"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__XX1" hidden="1">{#N/A,#N/A,FALSE,"98소지이동TOTvs99.1 (2)";#N/A,#N/A,FALSE,"TOTAL";#N/A,#N/A,FALSE,"98소지이동TOTvs99.1(b) (2)"}</definedName>
    <definedName name="__XX10" hidden="1">{#N/A,#N/A,FALSE,"Yield";#N/A,#N/A,FALSE,"Loss1";#N/A,#N/A,FALSE,"Loss2";#N/A,#N/A,FALSE,"Hour-Labor(배분)";#N/A,#N/A,FALSE,"Capital Expenditure";#N/A,#N/A,FALSE,"Productivity"}</definedName>
    <definedName name="__XX2" hidden="1">{#N/A,#N/A,FALSE,"98소지이동TOTvs99.1 (2)";#N/A,#N/A,FALSE,"TOTAL";#N/A,#N/A,FALSE,"98소지이동TOTvs99.1(b) (2)"}</definedName>
    <definedName name="__XX3" hidden="1">{#N/A,#N/A,FALSE,"98소지이동TOTvs99.1 (2)";#N/A,#N/A,FALSE,"TOTAL";#N/A,#N/A,FALSE,"98소지이동TOTvs99.1(b) (2)"}</definedName>
    <definedName name="__XX4" hidden="1">{#N/A,#N/A,FALSE,"군산원가";#N/A,#N/A,FALSE,"팀별월별";#N/A,#N/A,FALSE,"타공정대체";#N/A,#N/A,FALSE,"기타경비";#N/A,#N/A,FALSE,"원료";#N/A,#N/A,FALSE,"연료"}</definedName>
    <definedName name="__XX5" hidden="1">{#N/A,#N/A,FALSE,"군산원가";#N/A,#N/A,FALSE,"팀별월별";#N/A,#N/A,FALSE,"타공정대체";#N/A,#N/A,FALSE,"기타경비";#N/A,#N/A,FALSE,"원료";#N/A,#N/A,FALSE,"연료"}</definedName>
    <definedName name="__XX6" hidden="1">{#N/A,#N/A,FALSE,"Yield";#N/A,#N/A,FALSE,"Loss1";#N/A,#N/A,FALSE,"Loss2";#N/A,#N/A,FALSE,"Hour-Labor(배분)";#N/A,#N/A,FALSE,"Capital Expenditure";#N/A,#N/A,FALSE,"Productivity"}</definedName>
    <definedName name="__XX7" hidden="1">{#N/A,#N/A,FALSE,"98소지이동TOTvs99.1 (2)";#N/A,#N/A,FALSE,"TOTAL";#N/A,#N/A,FALSE,"98소지이동TOTvs99.1(b) (2)"}</definedName>
    <definedName name="__XX8"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_XX9"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_ZZ1" hidden="1">{#N/A,#N/A,FALSE,"98소지이동TOTvs99.1 (2)";#N/A,#N/A,FALSE,"TOTAL";#N/A,#N/A,FALSE,"98소지이동TOTvs99.1(b) (2)"}</definedName>
    <definedName name="_1">#REF!</definedName>
    <definedName name="_1_?0_F" hidden="1">#REF!</definedName>
    <definedName name="_1__123Graph_A차트_1" hidden="1">#REF!</definedName>
    <definedName name="_10__123Graph_B차트_2" hidden="1">#REF!</definedName>
    <definedName name="_100cc6_" hidden="1">{#N/A,#N/A,FALSE,"Yield";#N/A,#N/A,FALSE,"Loss1";#N/A,#N/A,FALSE,"Loss2";#N/A,#N/A,FALSE,"Hour-Labor(배분)";#N/A,#N/A,FALSE,"Capital Expenditure";#N/A,#N/A,FALSE,"Productivity"}</definedName>
    <definedName name="_104s1_" hidden="1">{#N/A,#N/A,FALSE,"UNIT";#N/A,#N/A,FALSE,"UNIT";#N/A,#N/A,FALSE,"계정"}</definedName>
    <definedName name="_105cc7_" hidden="1">{#N/A,#N/A,FALSE,"Yield";#N/A,#N/A,FALSE,"Loss1";#N/A,#N/A,FALSE,"Loss2";#N/A,#N/A,FALSE,"Hour-Labor(배분)";#N/A,#N/A,FALSE,"Capital Expenditure";#N/A,#N/A,FALSE,"Productivity"}</definedName>
    <definedName name="_105s10_" hidden="1">{#N/A,#N/A,FALSE,"UNIT";#N/A,#N/A,FALSE,"UNIT";#N/A,#N/A,FALSE,"계정"}</definedName>
    <definedName name="_106s11_" hidden="1">{#N/A,#N/A,FALSE,"UNIT";#N/A,#N/A,FALSE,"UNIT";#N/A,#N/A,FALSE,"계정"}</definedName>
    <definedName name="_107s12_" hidden="1">{#N/A,#N/A,FALSE,"UNIT";#N/A,#N/A,FALSE,"UNIT";#N/A,#N/A,FALSE,"계정"}</definedName>
    <definedName name="_108s13_" hidden="1">{#N/A,#N/A,FALSE,"UNIT";#N/A,#N/A,FALSE,"UNIT";#N/A,#N/A,FALSE,"계정"}</definedName>
    <definedName name="_109s14_" hidden="1">{#N/A,#N/A,FALSE,"UNIT";#N/A,#N/A,FALSE,"UNIT";#N/A,#N/A,FALSE,"계정"}</definedName>
    <definedName name="_11__123Graph_B차트_3" hidden="1">#REF!</definedName>
    <definedName name="_110cc8_" hidden="1">{#N/A,#N/A,FALSE,"Yield";#N/A,#N/A,FALSE,"Loss1";#N/A,#N/A,FALSE,"Loss2";#N/A,#N/A,FALSE,"Hour-Labor(배분)";#N/A,#N/A,FALSE,"Capital Expenditure";#N/A,#N/A,FALSE,"Productivity"}</definedName>
    <definedName name="_110s16_" hidden="1">{#N/A,#N/A,FALSE,"UNIT";#N/A,#N/A,FALSE,"UNIT";#N/A,#N/A,FALSE,"계정"}</definedName>
    <definedName name="_111s17_" hidden="1">{#N/A,#N/A,FALSE,"UNIT";#N/A,#N/A,FALSE,"UNIT";#N/A,#N/A,FALSE,"계정"}</definedName>
    <definedName name="_112s2_" hidden="1">{#N/A,#N/A,FALSE,"UNIT";#N/A,#N/A,FALSE,"UNIT";#N/A,#N/A,FALSE,"계정"}</definedName>
    <definedName name="_113s3_" hidden="1">{#N/A,#N/A,FALSE,"UNIT";#N/A,#N/A,FALSE,"UNIT";#N/A,#N/A,FALSE,"계정"}</definedName>
    <definedName name="_114s4_" hidden="1">{#N/A,#N/A,FALSE,"UNIT";#N/A,#N/A,FALSE,"UNIT";#N/A,#N/A,FALSE,"계정"}</definedName>
    <definedName name="_115cc9_" hidden="1">{#N/A,#N/A,FALSE,"98소지이동TOTvs99.1 (2)";#N/A,#N/A,FALSE,"TOTAL";#N/A,#N/A,FALSE,"98소지이동TOTvs99.1(b) (2)"}</definedName>
    <definedName name="_115s5_" hidden="1">{#N/A,#N/A,FALSE,"UNIT";#N/A,#N/A,FALSE,"UNIT";#N/A,#N/A,FALSE,"계정"}</definedName>
    <definedName name="_116s6_" hidden="1">{#N/A,#N/A,FALSE,"UNIT";#N/A,#N/A,FALSE,"UNIT";#N/A,#N/A,FALSE,"계정"}</definedName>
    <definedName name="_117s9_" hidden="1">{#N/A,#N/A,FALSE,"UNIT";#N/A,#N/A,FALSE,"UNIT";#N/A,#N/A,FALSE,"계정"}</definedName>
    <definedName name="_12__123Graph_B차트_4" hidden="1">#REF!</definedName>
    <definedName name="_13__123Graph_B차트_5" hidden="1">#REF!</definedName>
    <definedName name="_14__123Graph_B차트_6" hidden="1">#REF!</definedName>
    <definedName name="_15__123Graph_B차트_7" hidden="1">#REF!</definedName>
    <definedName name="_16__123Graph_B차트_8" hidden="1">#REF!</definedName>
    <definedName name="_17__123Graph_X차트_1" hidden="1">#REF!</definedName>
    <definedName name="_18__123Graph_X차트_2" hidden="1">#REF!</definedName>
    <definedName name="_19__123Graph_X차트_3" hidden="1">#REF!</definedName>
    <definedName name="_2">#REF!</definedName>
    <definedName name="_2__123Graph_A차트_2" hidden="1">#REF!</definedName>
    <definedName name="_2_0_0__123Grap" hidden="1">#REF!</definedName>
    <definedName name="_20__123Graph_X차트_4" hidden="1">#REF!</definedName>
    <definedName name="_21__123Graph_X차트_5" hidden="1">#REF!</definedName>
    <definedName name="_22__123Graph_X차트_6" hidden="1">#REF!</definedName>
    <definedName name="_23__123Graph_X차트_7" hidden="1">#REF!</definedName>
    <definedName name="_24__123Graph_X차트_8" hidden="1">#REF!</definedName>
    <definedName name="_26bb1_" hidden="1">{#N/A,#N/A,FALSE,"98소지이동TOTvs99.1 (2)";#N/A,#N/A,FALSE,"TOTAL";#N/A,#N/A,FALSE,"98소지이동TOTvs99.1(b) (2)"}</definedName>
    <definedName name="_28bb2_" hidden="1">{#N/A,#N/A,FALSE,"98소지이동TOTvs99.1 (2)";#N/A,#N/A,FALSE,"TOTAL";#N/A,#N/A,FALSE,"98소지이동TOTvs99.1(b) (2)"}</definedName>
    <definedName name="_29bb1_" hidden="1">{#N/A,#N/A,FALSE,"98소지이동TOTvs99.1 (2)";#N/A,#N/A,FALSE,"TOTAL";#N/A,#N/A,FALSE,"98소지이동TOTvs99.1(b) (2)"}</definedName>
    <definedName name="_2A1_" hidden="1">{#N/A,#N/A,TRUE,"양식5";#N/A,#N/A,TRUE,"양식1_2_2";#N/A,#N/A,TRUE,"양식1_1_2";#N/A,#N/A,TRUE,"양식2";#N/A,#N/A,TRUE,"양식4";#N/A,#N/A,TRUE,"양식3";#N/A,#N/A,TRUE,"양식6";#N/A,#N/A,TRUE,"양식7";#N/A,#N/A,TRUE,"양식10";#N/A,#N/A,TRUE,"양식11";#N/A,#N/A,TRUE,"양식12";#N/A,#N/A,TRUE,"양식13_1_2";#N/A,#N/A,TRUE,"양식13_2_2";#N/A,#N/A,TRUE,"양식14"}</definedName>
    <definedName name="_2o2_" hidden="1">#REF!</definedName>
    <definedName name="_3__123Graph_A차트_3" hidden="1">#REF!</definedName>
    <definedName name="_30bb3_" hidden="1">{#N/A,#N/A,FALSE,"군산원가";#N/A,#N/A,FALSE,"팀별월별";#N/A,#N/A,FALSE,"타공정대체";#N/A,#N/A,FALSE,"기타경비";#N/A,#N/A,FALSE,"원료";#N/A,#N/A,FALSE,"연료"}</definedName>
    <definedName name="_32bb4_" hidden="1">{#N/A,#N/A,FALSE,"98소지이동TOTvs99.1 (2)";#N/A,#N/A,FALSE,"TOTAL";#N/A,#N/A,FALSE,"98소지이동TOTvs99.1(b) (2)"}</definedName>
    <definedName name="_34bb2_" hidden="1">{#N/A,#N/A,FALSE,"98소지이동TOTvs99.1 (2)";#N/A,#N/A,FALSE,"TOTAL";#N/A,#N/A,FALSE,"98소지이동TOTvs99.1(b) (2)"}</definedName>
    <definedName name="_34bb5_" hidden="1">{#N/A,#N/A,FALSE,"98소지이동TOTvs99.1 (2)";#N/A,#N/A,FALSE,"TOTAL";#N/A,#N/A,FALSE,"98소지이동TOTvs99.1(b) (2)"}</definedName>
    <definedName name="_36bb6_" hidden="1">{#N/A,#N/A,FALSE,"98소지이동TOTvs99.1 (2)";#N/A,#N/A,FALSE,"TOTAL";#N/A,#N/A,FALSE,"98소지이동TOTvs99.1(b) (2)"}</definedName>
    <definedName name="_38bb7_" hidden="1">{#N/A,#N/A,FALSE,"98소지이동TOTvs99.1 (2)";#N/A,#N/A,FALSE,"TOTAL";#N/A,#N/A,FALSE,"98소지이동TOTvs99.1(b) (2)"}</definedName>
    <definedName name="_39bb3_" hidden="1">{#N/A,#N/A,FALSE,"군산원가";#N/A,#N/A,FALSE,"팀별월별";#N/A,#N/A,FALSE,"타공정대체";#N/A,#N/A,FALSE,"기타경비";#N/A,#N/A,FALSE,"원료";#N/A,#N/A,FALSE,"연료"}</definedName>
    <definedName name="_3A3_" hidden="1">{#N/A,#N/A,FALSE,"단축1";#N/A,#N/A,FALSE,"단축2";#N/A,#N/A,FALSE,"단축3";#N/A,#N/A,FALSE,"장축";#N/A,#N/A,FALSE,"4WD"}</definedName>
    <definedName name="_4__123Graph_A차트_4" hidden="1">#REF!</definedName>
    <definedName name="_40bb8_" hidden="1">{#N/A,#N/A,FALSE,"군산원가";#N/A,#N/A,FALSE,"팀별월별";#N/A,#N/A,FALSE,"타공정대체";#N/A,#N/A,FALSE,"기타경비";#N/A,#N/A,FALSE,"원료";#N/A,#N/A,FALSE,"연료"}</definedName>
    <definedName name="_40q12_" hidden="1">{"'Chemical Lab Exhaust외 설치건'!$J$1"}</definedName>
    <definedName name="_42bb9_" hidden="1">{#N/A,#N/A,FALSE,"군산원가";#N/A,#N/A,FALSE,"팀별월별";#N/A,#N/A,FALSE,"타공정대체";#N/A,#N/A,FALSE,"기타경비";#N/A,#N/A,FALSE,"원료";#N/A,#N/A,FALSE,"연료"}</definedName>
    <definedName name="_44bb4_" hidden="1">{#N/A,#N/A,FALSE,"98소지이동TOTvs99.1 (2)";#N/A,#N/A,FALSE,"TOTAL";#N/A,#N/A,FALSE,"98소지이동TOTvs99.1(b) (2)"}</definedName>
    <definedName name="_44cc1_" hidden="1">{#N/A,#N/A,FALSE,"군산원가";#N/A,#N/A,FALSE,"팀별월별";#N/A,#N/A,FALSE,"타공정대체";#N/A,#N/A,FALSE,"기타경비";#N/A,#N/A,FALSE,"원료";#N/A,#N/A,FALSE,"연료"}</definedName>
    <definedName name="_47cc2_" hidden="1">{#N/A,#N/A,FALSE,"군산원가";#N/A,#N/A,FALSE,"팀별월별";#N/A,#N/A,FALSE,"타공정대체";#N/A,#N/A,FALSE,"기타경비";#N/A,#N/A,FALSE,"원료";#N/A,#N/A,FALSE,"연료"}</definedName>
    <definedName name="_49bb5_" hidden="1">{#N/A,#N/A,FALSE,"98소지이동TOTvs99.1 (2)";#N/A,#N/A,FALSE,"TOTAL";#N/A,#N/A,FALSE,"98소지이동TOTvs99.1(b) (2)"}</definedName>
    <definedName name="_49cc3_" hidden="1">{#N/A,#N/A,FALSE,"Yield";#N/A,#N/A,FALSE,"Loss1";#N/A,#N/A,FALSE,"Loss2";#N/A,#N/A,FALSE,"Hour-Labor(배분)";#N/A,#N/A,FALSE,"Capital Expenditure";#N/A,#N/A,FALSE,"Productivity"}</definedName>
    <definedName name="_5__123Graph_A차트_5" hidden="1">#REF!</definedName>
    <definedName name="_51cc4_" hidden="1">{#N/A,#N/A,FALSE,"98소지이동TOTvs99.1 (2)";#N/A,#N/A,FALSE,"TOTAL";#N/A,#N/A,FALSE,"98소지이동TOTvs99.1(b) (2)"}</definedName>
    <definedName name="_53cc5_" hidden="1">{#N/A,#N/A,FALSE,"98소지이동TOTvs99.1 (2)";#N/A,#N/A,FALSE,"TOTAL";#N/A,#N/A,FALSE,"98소지이동TOTvs99.1(b) (2)"}</definedName>
    <definedName name="_54bb6_" hidden="1">{#N/A,#N/A,FALSE,"98소지이동TOTvs99.1 (2)";#N/A,#N/A,FALSE,"TOTAL";#N/A,#N/A,FALSE,"98소지이동TOTvs99.1(b) (2)"}</definedName>
    <definedName name="_55cc6_" hidden="1">{#N/A,#N/A,FALSE,"Yield";#N/A,#N/A,FALSE,"Loss1";#N/A,#N/A,FALSE,"Loss2";#N/A,#N/A,FALSE,"Hour-Labor(배분)";#N/A,#N/A,FALSE,"Capital Expenditure";#N/A,#N/A,FALSE,"Productivity"}</definedName>
    <definedName name="_57cc7_" hidden="1">{#N/A,#N/A,FALSE,"Yield";#N/A,#N/A,FALSE,"Loss1";#N/A,#N/A,FALSE,"Loss2";#N/A,#N/A,FALSE,"Hour-Labor(배분)";#N/A,#N/A,FALSE,"Capital Expenditure";#N/A,#N/A,FALSE,"Productivity"}</definedName>
    <definedName name="_59bb7_" hidden="1">{#N/A,#N/A,FALSE,"98소지이동TOTvs99.1 (2)";#N/A,#N/A,FALSE,"TOTAL";#N/A,#N/A,FALSE,"98소지이동TOTvs99.1(b) (2)"}</definedName>
    <definedName name="_59cc8_" hidden="1">{#N/A,#N/A,FALSE,"Yield";#N/A,#N/A,FALSE,"Loss1";#N/A,#N/A,FALSE,"Loss2";#N/A,#N/A,FALSE,"Hour-Labor(배분)";#N/A,#N/A,FALSE,"Capital Expenditure";#N/A,#N/A,FALSE,"Productivity"}</definedName>
    <definedName name="_6__123Graph_A차트_6" hidden="1">#REF!</definedName>
    <definedName name="_61cc9_" hidden="1">{#N/A,#N/A,FALSE,"98소지이동TOTvs99.1 (2)";#N/A,#N/A,FALSE,"TOTAL";#N/A,#N/A,FALSE,"98소지이동TOTvs99.1(b) (2)"}</definedName>
    <definedName name="_64bb8_" hidden="1">{#N/A,#N/A,FALSE,"군산원가";#N/A,#N/A,FALSE,"팀별월별";#N/A,#N/A,FALSE,"타공정대체";#N/A,#N/A,FALSE,"기타경비";#N/A,#N/A,FALSE,"원료";#N/A,#N/A,FALSE,"연료"}</definedName>
    <definedName name="_69bb9_" hidden="1">{#N/A,#N/A,FALSE,"군산원가";#N/A,#N/A,FALSE,"팀별월별";#N/A,#N/A,FALSE,"타공정대체";#N/A,#N/A,FALSE,"기타경비";#N/A,#N/A,FALSE,"원료";#N/A,#N/A,FALSE,"연료"}</definedName>
    <definedName name="_7__123Graph_A차트_7" hidden="1">#REF!</definedName>
    <definedName name="_74cc1_" hidden="1">{#N/A,#N/A,FALSE,"군산원가";#N/A,#N/A,FALSE,"팀별월별";#N/A,#N/A,FALSE,"타공정대체";#N/A,#N/A,FALSE,"기타경비";#N/A,#N/A,FALSE,"원료";#N/A,#N/A,FALSE,"연료"}</definedName>
    <definedName name="_8__123Graph_A차트_8" hidden="1">#REF!</definedName>
    <definedName name="_80cc2_" hidden="1">{#N/A,#N/A,FALSE,"군산원가";#N/A,#N/A,FALSE,"팀별월별";#N/A,#N/A,FALSE,"타공정대체";#N/A,#N/A,FALSE,"기타경비";#N/A,#N/A,FALSE,"원료";#N/A,#N/A,FALSE,"연료"}</definedName>
    <definedName name="_85cc3_" hidden="1">{#N/A,#N/A,FALSE,"Yield";#N/A,#N/A,FALSE,"Loss1";#N/A,#N/A,FALSE,"Loss2";#N/A,#N/A,FALSE,"Hour-Labor(배분)";#N/A,#N/A,FALSE,"Capital Expenditure";#N/A,#N/A,FALSE,"Productivity"}</definedName>
    <definedName name="_8H922_" hidden="1">{"'Sheet1'!$A$1:$H$36"}</definedName>
    <definedName name="_9__123Graph_B차트_1" hidden="1">#REF!</definedName>
    <definedName name="_90cc4_" hidden="1">{#N/A,#N/A,FALSE,"98소지이동TOTvs99.1 (2)";#N/A,#N/A,FALSE,"TOTAL";#N/A,#N/A,FALSE,"98소지이동TOTvs99.1(b) (2)"}</definedName>
    <definedName name="_92f3_" hidden="1">{#N/A,#N/A,FALSE,"BS";#N/A,#N/A,FALSE,"PL";#N/A,#N/A,FALSE,"A";#N/A,#N/A,FALSE,"B";#N/A,#N/A,FALSE,"B1";#N/A,#N/A,FALSE,"C";#N/A,#N/A,FALSE,"C1";#N/A,#N/A,FALSE,"C2";#N/A,#N/A,FALSE,"D";#N/A,#N/A,FALSE,"E";#N/A,#N/A,FALSE,"F";#N/A,#N/A,FALSE,"AA";#N/A,#N/A,FALSE,"BB";#N/A,#N/A,FALSE,"CC";#N/A,#N/A,FALSE,"DD";#N/A,#N/A,FALSE,"EE";#N/A,#N/A,FALSE,"FF";#N/A,#N/A,FALSE,"PL10";#N/A,#N/A,FALSE,"PL20";#N/A,#N/A,FALSE,"PL30"}</definedName>
    <definedName name="_95cc5_" hidden="1">{#N/A,#N/A,FALSE,"98소지이동TOTvs99.1 (2)";#N/A,#N/A,FALSE,"TOTAL";#N/A,#N/A,FALSE,"98소지이동TOTvs99.1(b) (2)"}</definedName>
    <definedName name="_9H930_" hidden="1">{"'Sheet1'!$A$1:$H$36"}</definedName>
    <definedName name="_ALT3"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ap2" hidden="1">#REF!</definedName>
    <definedName name="_ap3" hidden="1">#REF!</definedName>
    <definedName name="_ap6" hidden="1">#REF!</definedName>
    <definedName name="_bb1" hidden="1">{#N/A,#N/A,FALSE,"98소지이동TOTvs99.1 (2)";#N/A,#N/A,FALSE,"TOTAL";#N/A,#N/A,FALSE,"98소지이동TOTvs99.1(b) (2)"}</definedName>
    <definedName name="_bb2" hidden="1">{#N/A,#N/A,FALSE,"98소지이동TOTvs99.1 (2)";#N/A,#N/A,FALSE,"TOTAL";#N/A,#N/A,FALSE,"98소지이동TOTvs99.1(b) (2)"}</definedName>
    <definedName name="_bb3" hidden="1">{#N/A,#N/A,FALSE,"군산원가";#N/A,#N/A,FALSE,"팀별월별";#N/A,#N/A,FALSE,"타공정대체";#N/A,#N/A,FALSE,"기타경비";#N/A,#N/A,FALSE,"원료";#N/A,#N/A,FALSE,"연료"}</definedName>
    <definedName name="_bb4" hidden="1">{#N/A,#N/A,FALSE,"98소지이동TOTvs99.1 (2)";#N/A,#N/A,FALSE,"TOTAL";#N/A,#N/A,FALSE,"98소지이동TOTvs99.1(b) (2)"}</definedName>
    <definedName name="_bb5" hidden="1">{#N/A,#N/A,FALSE,"98소지이동TOTvs99.1 (2)";#N/A,#N/A,FALSE,"TOTAL";#N/A,#N/A,FALSE,"98소지이동TOTvs99.1(b) (2)"}</definedName>
    <definedName name="_bb6" hidden="1">{#N/A,#N/A,FALSE,"98소지이동TOTvs99.1 (2)";#N/A,#N/A,FALSE,"TOTAL";#N/A,#N/A,FALSE,"98소지이동TOTvs99.1(b) (2)"}</definedName>
    <definedName name="_bb7" hidden="1">{#N/A,#N/A,FALSE,"98소지이동TOTvs99.1 (2)";#N/A,#N/A,FALSE,"TOTAL";#N/A,#N/A,FALSE,"98소지이동TOTvs99.1(b) (2)"}</definedName>
    <definedName name="_bb8" hidden="1">{#N/A,#N/A,FALSE,"군산원가";#N/A,#N/A,FALSE,"팀별월별";#N/A,#N/A,FALSE,"타공정대체";#N/A,#N/A,FALSE,"기타경비";#N/A,#N/A,FALSE,"원료";#N/A,#N/A,FALSE,"연료"}</definedName>
    <definedName name="_bb9" hidden="1">{#N/A,#N/A,FALSE,"군산원가";#N/A,#N/A,FALSE,"팀별월별";#N/A,#N/A,FALSE,"타공정대체";#N/A,#N/A,FALSE,"기타경비";#N/A,#N/A,FALSE,"원료";#N/A,#N/A,FALSE,"연료"}</definedName>
    <definedName name="_cc1" hidden="1">{#N/A,#N/A,FALSE,"군산원가";#N/A,#N/A,FALSE,"팀별월별";#N/A,#N/A,FALSE,"타공정대체";#N/A,#N/A,FALSE,"기타경비";#N/A,#N/A,FALSE,"원료";#N/A,#N/A,FALSE,"연료"}</definedName>
    <definedName name="_cc2" hidden="1">{#N/A,#N/A,FALSE,"군산원가";#N/A,#N/A,FALSE,"팀별월별";#N/A,#N/A,FALSE,"타공정대체";#N/A,#N/A,FALSE,"기타경비";#N/A,#N/A,FALSE,"원료";#N/A,#N/A,FALSE,"연료"}</definedName>
    <definedName name="_cc3" hidden="1">{#N/A,#N/A,FALSE,"Yield";#N/A,#N/A,FALSE,"Loss1";#N/A,#N/A,FALSE,"Loss2";#N/A,#N/A,FALSE,"Hour-Labor(배분)";#N/A,#N/A,FALSE,"Capital Expenditure";#N/A,#N/A,FALSE,"Productivity"}</definedName>
    <definedName name="_cc4" hidden="1">{#N/A,#N/A,FALSE,"98소지이동TOTvs99.1 (2)";#N/A,#N/A,FALSE,"TOTAL";#N/A,#N/A,FALSE,"98소지이동TOTvs99.1(b) (2)"}</definedName>
    <definedName name="_cc5" hidden="1">{#N/A,#N/A,FALSE,"98소지이동TOTvs99.1 (2)";#N/A,#N/A,FALSE,"TOTAL";#N/A,#N/A,FALSE,"98소지이동TOTvs99.1(b) (2)"}</definedName>
    <definedName name="_cc6" hidden="1">{#N/A,#N/A,FALSE,"Yield";#N/A,#N/A,FALSE,"Loss1";#N/A,#N/A,FALSE,"Loss2";#N/A,#N/A,FALSE,"Hour-Labor(배분)";#N/A,#N/A,FALSE,"Capital Expenditure";#N/A,#N/A,FALSE,"Productivity"}</definedName>
    <definedName name="_cc7" hidden="1">{#N/A,#N/A,FALSE,"Yield";#N/A,#N/A,FALSE,"Loss1";#N/A,#N/A,FALSE,"Loss2";#N/A,#N/A,FALSE,"Hour-Labor(배분)";#N/A,#N/A,FALSE,"Capital Expenditure";#N/A,#N/A,FALSE,"Productivity"}</definedName>
    <definedName name="_cc8" hidden="1">{#N/A,#N/A,FALSE,"Yield";#N/A,#N/A,FALSE,"Loss1";#N/A,#N/A,FALSE,"Loss2";#N/A,#N/A,FALSE,"Hour-Labor(배분)";#N/A,#N/A,FALSE,"Capital Expenditure";#N/A,#N/A,FALSE,"Productivity"}</definedName>
    <definedName name="_cc9" hidden="1">{#N/A,#N/A,FALSE,"98소지이동TOTvs99.1 (2)";#N/A,#N/A,FALSE,"TOTAL";#N/A,#N/A,FALSE,"98소지이동TOTvs99.1(b) (2)"}</definedName>
    <definedName name="_Dist_Bin" hidden="1">#N/A</definedName>
    <definedName name="_Dist_Values" hidden="1">#N/A</definedName>
    <definedName name="_FAB6" hidden="1">#REF!</definedName>
    <definedName name="_Fill" localSheetId="8" hidden="1">#REF!</definedName>
    <definedName name="_Fill" hidden="1">#N/A</definedName>
    <definedName name="_FILL1" hidden="1">#REF!</definedName>
    <definedName name="_xlnm._FilterDatabase" hidden="1">#N/A</definedName>
    <definedName name="_HGP1010" hidden="1">{"'Sheet1'!$A$1:$H$36"}</definedName>
    <definedName name="_INT2" hidden="1">{#N/A,#N/A,TRUE,"일정"}</definedName>
    <definedName name="_jh1" hidden="1">{#N/A,#N/A,FALSE,"Yield";#N/A,#N/A,FALSE,"Loss1";#N/A,#N/A,FALSE,"Loss2";#N/A,#N/A,FALSE,"Hour-Labor(배분)";#N/A,#N/A,FALSE,"Capital Expenditure";#N/A,#N/A,FALSE,"Productivity"}</definedName>
    <definedName name="_jh3"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jh4" hidden="1">{#N/A,#N/A,FALSE,"Yield";#N/A,#N/A,FALSE,"Loss1";#N/A,#N/A,FALSE,"Loss2";#N/A,#N/A,FALSE,"Hour-Labor(배분)";#N/A,#N/A,FALSE,"Capital Expenditure";#N/A,#N/A,FALSE,"Productivity"}</definedName>
    <definedName name="_jh5" hidden="1">{#N/A,#N/A,FALSE,"98소지이동TOTvs99.1 (2)";#N/A,#N/A,FALSE,"TOTAL";#N/A,#N/A,FALSE,"98소지이동TOTvs99.1(b) (2)"}</definedName>
    <definedName name="_jj1"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jj2" hidden="1">{#N/A,#N/A,FALSE,"Yield";#N/A,#N/A,FALSE,"Loss1";#N/A,#N/A,FALSE,"Loss2";#N/A,#N/A,FALSE,"Hour-Labor(배분)";#N/A,#N/A,FALSE,"Capital Expenditure";#N/A,#N/A,FALSE,"Productivity"}</definedName>
    <definedName name="_jj3" hidden="1">{#N/A,#N/A,FALSE,"군산원가";#N/A,#N/A,FALSE,"팀별월별";#N/A,#N/A,FALSE,"타공정대체";#N/A,#N/A,FALSE,"기타경비";#N/A,#N/A,FALSE,"원료";#N/A,#N/A,FALSE,"연료"}</definedName>
    <definedName name="_jj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jj5"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jj6" hidden="1">{#N/A,#N/A,FALSE,"Yield";#N/A,#N/A,FALSE,"Loss1";#N/A,#N/A,FALSE,"Loss2";#N/A,#N/A,FALSE,"Hour-Labor(배분)";#N/A,#N/A,FALSE,"Capital Expenditure";#N/A,#N/A,FALSE,"Productivity"}</definedName>
    <definedName name="_jj7" hidden="1">{#N/A,#N/A,FALSE,"98소지이동TOTvs99.1 (2)";#N/A,#N/A,FALSE,"TOTAL";#N/A,#N/A,FALSE,"98소지이동TOTvs99.1(b) (2)"}</definedName>
    <definedName name="_jyr6"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_k1" hidden="1">#REF!</definedName>
    <definedName name="_k2" hidden="1">#REF!</definedName>
    <definedName name="_Key1" localSheetId="8" hidden="1">#REF!</definedName>
    <definedName name="_Key1" hidden="1">#N/A</definedName>
    <definedName name="_Key2" localSheetId="8" hidden="1">#REF!</definedName>
    <definedName name="_Key2" hidden="1">#N/A</definedName>
    <definedName name="_Key3" hidden="1">#REF!</definedName>
    <definedName name="_key8" hidden="1">#REF!</definedName>
    <definedName name="_kl505" hidden="1">{#N/A,#N/A,FALSE,"군산원가";#N/A,#N/A,FALSE,"팀별월별";#N/A,#N/A,FALSE,"타공정대체";#N/A,#N/A,FALSE,"기타경비";#N/A,#N/A,FALSE,"원료";#N/A,#N/A,FALSE,"연료"}</definedName>
    <definedName name="_LG2" hidden="1">{#N/A,#N/A,TRUE,"매출진척-1";#N/A,#N/A,TRUE,"매출진척-2";#N/A,#N/A,TRUE,"제품실적";#N/A,#N/A,TRUE,"RAC";#N/A,#N/A,TRUE,"PAC ";#N/A,#N/A,TRUE,"재고현황";#N/A,#N/A,TRUE,"공지사항"}</definedName>
    <definedName name="_ll1"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ll2" hidden="1">{#N/A,#N/A,FALSE,"98소지이동TOTvs99.1 (2)";#N/A,#N/A,FALSE,"TOTAL";#N/A,#N/A,FALSE,"98소지이동TOTvs99.1(b) (2)"}</definedName>
    <definedName name="_ll3" hidden="1">{#N/A,#N/A,FALSE,"98소지이동TOTvs99.1 (2)";#N/A,#N/A,FALSE,"TOTAL";#N/A,#N/A,FALSE,"98소지이동TOTvs99.1(b) (2)"}</definedName>
    <definedName name="_ll4" hidden="1">{#N/A,#N/A,FALSE,"군산원가";#N/A,#N/A,FALSE,"팀별월별";#N/A,#N/A,FALSE,"타공정대체";#N/A,#N/A,FALSE,"기타경비";#N/A,#N/A,FALSE,"원료";#N/A,#N/A,FALSE,"연료"}</definedName>
    <definedName name="_ll5" hidden="1">{#N/A,#N/A,FALSE,"군산원가";#N/A,#N/A,FALSE,"팀별월별";#N/A,#N/A,FALSE,"타공정대체";#N/A,#N/A,FALSE,"기타경비";#N/A,#N/A,FALSE,"원료";#N/A,#N/A,FALSE,"연료"}</definedName>
    <definedName name="_ll6" hidden="1">{#N/A,#N/A,FALSE,"98소지이동TOTvs99.1 (2)";#N/A,#N/A,FALSE,"TOTAL";#N/A,#N/A,FALSE,"98소지이동TOTvs99.1(b) (2)"}</definedName>
    <definedName name="_ll7"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ll8"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ll9" hidden="1">{#N/A,#N/A,FALSE,"Yield";#N/A,#N/A,FALSE,"Loss1";#N/A,#N/A,FALSE,"Loss2";#N/A,#N/A,FALSE,"Hour-Labor(배분)";#N/A,#N/A,FALSE,"Capital Expenditure";#N/A,#N/A,FALSE,"Productivity"}</definedName>
    <definedName name="_MatInverse_In" hidden="1">#REF!</definedName>
    <definedName name="_MatInverse_Out" hidden="1">#REF!</definedName>
    <definedName name="_MatMult_A" hidden="1">#N/A</definedName>
    <definedName name="_MatMult_AxB" hidden="1">#N/A</definedName>
    <definedName name="_MatMult_B" hidden="1">#REF!</definedName>
    <definedName name="_ML6" hidden="1">{#N/A,#N/A,FALSE,"98소지이동TOTvs99.1 (2)";#N/A,#N/A,FALSE,"TOTAL";#N/A,#N/A,FALSE,"98소지이동TOTvs99.1(b) (2)"}</definedName>
    <definedName name="_mm1" hidden="1">{#N/A,#N/A,FALSE,"98소지이동TOTvs99.1 (2)";#N/A,#N/A,FALSE,"TOTAL";#N/A,#N/A,FALSE,"98소지이동TOTvs99.1(b) (2)"}</definedName>
    <definedName name="_mm2" hidden="1">{#N/A,#N/A,FALSE,"98소지이동TOTvs99.1 (2)";#N/A,#N/A,FALSE,"TOTAL";#N/A,#N/A,FALSE,"98소지이동TOTvs99.1(b) (2)"}</definedName>
    <definedName name="_mm3" hidden="1">{#N/A,#N/A,FALSE,"군산원가";#N/A,#N/A,FALSE,"팀별월별";#N/A,#N/A,FALSE,"타공정대체";#N/A,#N/A,FALSE,"기타경비";#N/A,#N/A,FALSE,"원료";#N/A,#N/A,FALSE,"연료"}</definedName>
    <definedName name="_mm4" hidden="1">{#N/A,#N/A,FALSE,"군산원가";#N/A,#N/A,FALSE,"팀별월별";#N/A,#N/A,FALSE,"타공정대체";#N/A,#N/A,FALSE,"기타경비";#N/A,#N/A,FALSE,"원료";#N/A,#N/A,FALSE,"연료"}</definedName>
    <definedName name="_mm5" hidden="1">{#N/A,#N/A,FALSE,"98소지이동TOTvs99.1 (2)";#N/A,#N/A,FALSE,"TOTAL";#N/A,#N/A,FALSE,"98소지이동TOTvs99.1(b) (2)"}</definedName>
    <definedName name="_mm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mm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mm8" hidden="1">{#N/A,#N/A,FALSE,"Yield";#N/A,#N/A,FALSE,"Loss1";#N/A,#N/A,FALSE,"Loss2";#N/A,#N/A,FALSE,"Hour-Labor(배분)";#N/A,#N/A,FALSE,"Capital Expenditure";#N/A,#N/A,FALSE,"Productivity"}</definedName>
    <definedName name="_mm9" hidden="1">{#N/A,#N/A,FALSE,"98소지이동TOTvs99.1 (2)";#N/A,#N/A,FALSE,"TOTAL";#N/A,#N/A,FALSE,"98소지이동TOTvs99.1(b) (2)"}</definedName>
    <definedName name="_o2" hidden="1">#REF!</definedName>
    <definedName name="_o3" hidden="1">#REF!</definedName>
    <definedName name="_oo" hidden="1">#REF!</definedName>
    <definedName name="_oo1" hidden="1">#REF!</definedName>
    <definedName name="_oo77"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op" hidden="1">#REF!</definedName>
    <definedName name="_op1" hidden="1">#REF!</definedName>
    <definedName name="_Order1" hidden="1">255</definedName>
    <definedName name="_Order2" hidden="1">255</definedName>
    <definedName name="_Parse_In" hidden="1">#N/A</definedName>
    <definedName name="_Parse_Out" hidden="1">#N/A</definedName>
    <definedName name="_PF1" hidden="1">{#N/A,#N/A,FALSE,"군산원가";#N/A,#N/A,FALSE,"팀별월별";#N/A,#N/A,FALSE,"타공정대체";#N/A,#N/A,FALSE,"기타경비";#N/A,#N/A,FALSE,"원료";#N/A,#N/A,FALSE,"연료"}</definedName>
    <definedName name="_PLm20" hidden="1">{#N/A,#N/A,FALSE,"BS";#N/A,#N/A,FALSE,"PL";#N/A,#N/A,FALSE,"처분";#N/A,#N/A,FALSE,"현금";#N/A,#N/A,FALSE,"매출";#N/A,#N/A,FALSE,"원가";#N/A,#N/A,FALSE,"경영"}</definedName>
    <definedName name="_PU7" hidden="1">{#N/A,#N/A,TRUE,"일정"}</definedName>
    <definedName name="_Regression_Int" hidden="1">1</definedName>
    <definedName name="_Regression_Out" hidden="1">#N/A</definedName>
    <definedName name="_Regression_X" hidden="1">#N/A</definedName>
    <definedName name="_Regression_Y" hidden="1">#N/A</definedName>
    <definedName name="_RR1" hidden="1">{#N/A,#N/A,FALSE,"98소지이동TOTvs99.1 (2)";#N/A,#N/A,FALSE,"TOTAL";#N/A,#N/A,FALSE,"98소지이동TOTvs99.1(b) (2)"}</definedName>
    <definedName name="_RR2" hidden="1">{#N/A,#N/A,FALSE,"군산원가";#N/A,#N/A,FALSE,"팀별월별";#N/A,#N/A,FALSE,"타공정대체";#N/A,#N/A,FALSE,"기타경비";#N/A,#N/A,FALSE,"원료";#N/A,#N/A,FALSE,"연료"}</definedName>
    <definedName name="_RR3" hidden="1">{#N/A,#N/A,FALSE,"군산원가";#N/A,#N/A,FALSE,"팀별월별";#N/A,#N/A,FALSE,"타공정대체";#N/A,#N/A,FALSE,"기타경비";#N/A,#N/A,FALSE,"원료";#N/A,#N/A,FALSE,"연료"}</definedName>
    <definedName name="_RR4" hidden="1">{#N/A,#N/A,FALSE,"98소지이동TOTvs99.1 (2)";#N/A,#N/A,FALSE,"TOTAL";#N/A,#N/A,FALSE,"98소지이동TOTvs99.1(b) (2)"}</definedName>
    <definedName name="_RR5"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RR6"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RR7" hidden="1">{#N/A,#N/A,FALSE,"Yield";#N/A,#N/A,FALSE,"Loss1";#N/A,#N/A,FALSE,"Loss2";#N/A,#N/A,FALSE,"Hour-Labor(배분)";#N/A,#N/A,FALSE,"Capital Expenditure";#N/A,#N/A,FALSE,"Productivity"}</definedName>
    <definedName name="_RR8" hidden="1">{#N/A,#N/A,FALSE,"98소지이동TOTvs99.1 (2)";#N/A,#N/A,FALSE,"TOTAL";#N/A,#N/A,FALSE,"98소지이동TOTvs99.1(b) (2)"}</definedName>
    <definedName name="_s1" hidden="1">#REF!</definedName>
    <definedName name="_s2" hidden="1">#REF!</definedName>
    <definedName name="_Sort" localSheetId="8" hidden="1">#REF!</definedName>
    <definedName name="_Sort" hidden="1">#N/A</definedName>
    <definedName name="_SORT1" hidden="1">#REF!</definedName>
    <definedName name="_Sort2" hidden="1">#REF!</definedName>
    <definedName name="_SS1" hidden="1">{#N/A,#N/A,FALSE,"98소지이동TOTvs99.1 (2)";#N/A,#N/A,FALSE,"TOTAL";#N/A,#N/A,FALSE,"98소지이동TOTvs99.1(b) (2)"}</definedName>
    <definedName name="_SS10" hidden="1">{#N/A,#N/A,FALSE,"군산원가";#N/A,#N/A,FALSE,"팀별월별";#N/A,#N/A,FALSE,"타공정대체";#N/A,#N/A,FALSE,"기타경비";#N/A,#N/A,FALSE,"원료";#N/A,#N/A,FALSE,"연료"}</definedName>
    <definedName name="_SS11" hidden="1">{#N/A,#N/A,FALSE,"98소지이동TOTvs99.1 (2)";#N/A,#N/A,FALSE,"TOTAL";#N/A,#N/A,FALSE,"98소지이동TOTvs99.1(b) (2)"}</definedName>
    <definedName name="_SS12" hidden="1">{#N/A,#N/A,FALSE,"98소지이동TOTvs99.1 (2)";#N/A,#N/A,FALSE,"TOTAL";#N/A,#N/A,FALSE,"98소지이동TOTvs99.1(b) (2)"}</definedName>
    <definedName name="_SS13" hidden="1">{#N/A,#N/A,FALSE,"98소지이동TOTvs99.1 (2)";#N/A,#N/A,FALSE,"TOTAL";#N/A,#N/A,FALSE,"98소지이동TOTvs99.1(b) (2)"}</definedName>
    <definedName name="_SS14" hidden="1">{#N/A,#N/A,FALSE,"98소지이동TOTvs99.1 (2)";#N/A,#N/A,FALSE,"TOTAL";#N/A,#N/A,FALSE,"98소지이동TOTvs99.1(b) (2)"}</definedName>
    <definedName name="_SS15" hidden="1">{#N/A,#N/A,FALSE,"군산원가";#N/A,#N/A,FALSE,"팀별월별";#N/A,#N/A,FALSE,"타공정대체";#N/A,#N/A,FALSE,"기타경비";#N/A,#N/A,FALSE,"원료";#N/A,#N/A,FALSE,"연료"}</definedName>
    <definedName name="_SS16" hidden="1">{#N/A,#N/A,FALSE,"군산원가";#N/A,#N/A,FALSE,"팀별월별";#N/A,#N/A,FALSE,"타공정대체";#N/A,#N/A,FALSE,"기타경비";#N/A,#N/A,FALSE,"원료";#N/A,#N/A,FALSE,"연료"}</definedName>
    <definedName name="_SS17" hidden="1">{#N/A,#N/A,FALSE,"군산원가";#N/A,#N/A,FALSE,"팀별월별";#N/A,#N/A,FALSE,"타공정대체";#N/A,#N/A,FALSE,"기타경비";#N/A,#N/A,FALSE,"원료";#N/A,#N/A,FALSE,"연료"}</definedName>
    <definedName name="_SS18" hidden="1">{#N/A,#N/A,FALSE,"군산원가";#N/A,#N/A,FALSE,"팀별월별";#N/A,#N/A,FALSE,"타공정대체";#N/A,#N/A,FALSE,"기타경비";#N/A,#N/A,FALSE,"원료";#N/A,#N/A,FALSE,"연료"}</definedName>
    <definedName name="_SS19" hidden="1">{#N/A,#N/A,FALSE,"Yield";#N/A,#N/A,FALSE,"Loss1";#N/A,#N/A,FALSE,"Loss2";#N/A,#N/A,FALSE,"Hour-Labor(배분)";#N/A,#N/A,FALSE,"Capital Expenditure";#N/A,#N/A,FALSE,"Productivity"}</definedName>
    <definedName name="_SS2" hidden="1">{#N/A,#N/A,FALSE,"98소지이동TOTvs99.1 (2)";#N/A,#N/A,FALSE,"TOTAL";#N/A,#N/A,FALSE,"98소지이동TOTvs99.1(b) (2)"}</definedName>
    <definedName name="_SS20" hidden="1">{#N/A,#N/A,FALSE,"98소지이동TOTvs99.1 (2)";#N/A,#N/A,FALSE,"TOTAL";#N/A,#N/A,FALSE,"98소지이동TOTvs99.1(b) (2)"}</definedName>
    <definedName name="_SS21" hidden="1">{#N/A,#N/A,FALSE,"98소지이동TOTvs99.1 (2)";#N/A,#N/A,FALSE,"TOTAL";#N/A,#N/A,FALSE,"98소지이동TOTvs99.1(b) (2)"}</definedName>
    <definedName name="_SS22" hidden="1">{#N/A,#N/A,FALSE,"Yield";#N/A,#N/A,FALSE,"Loss1";#N/A,#N/A,FALSE,"Loss2";#N/A,#N/A,FALSE,"Hour-Labor(배분)";#N/A,#N/A,FALSE,"Capital Expenditure";#N/A,#N/A,FALSE,"Productivity"}</definedName>
    <definedName name="_SS23" hidden="1">{#N/A,#N/A,FALSE,"Yield";#N/A,#N/A,FALSE,"Loss1";#N/A,#N/A,FALSE,"Loss2";#N/A,#N/A,FALSE,"Hour-Labor(배분)";#N/A,#N/A,FALSE,"Capital Expenditure";#N/A,#N/A,FALSE,"Productivity"}</definedName>
    <definedName name="_SS24" hidden="1">{#N/A,#N/A,FALSE,"Yield";#N/A,#N/A,FALSE,"Loss1";#N/A,#N/A,FALSE,"Loss2";#N/A,#N/A,FALSE,"Hour-Labor(배분)";#N/A,#N/A,FALSE,"Capital Expenditure";#N/A,#N/A,FALSE,"Productivity"}</definedName>
    <definedName name="_SS25" hidden="1">{#N/A,#N/A,FALSE,"98소지이동TOTvs99.1 (2)";#N/A,#N/A,FALSE,"TOTAL";#N/A,#N/A,FALSE,"98소지이동TOTvs99.1(b) (2)"}</definedName>
    <definedName name="_SS2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SS27" hidden="1">{#N/A,#N/A,FALSE,"Yield";#N/A,#N/A,FALSE,"Loss1";#N/A,#N/A,FALSE,"Loss2";#N/A,#N/A,FALSE,"Hour-Labor(배분)";#N/A,#N/A,FALSE,"Capital Expenditure";#N/A,#N/A,FALSE,"Productivity"}</definedName>
    <definedName name="_SS28" hidden="1">{#N/A,#N/A,FALSE,"군산원가";#N/A,#N/A,FALSE,"팀별월별";#N/A,#N/A,FALSE,"타공정대체";#N/A,#N/A,FALSE,"기타경비";#N/A,#N/A,FALSE,"원료";#N/A,#N/A,FALSE,"연료"}</definedName>
    <definedName name="_SS29"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SS3" hidden="1">{#N/A,#N/A,FALSE,"군산원가";#N/A,#N/A,FALSE,"팀별월별";#N/A,#N/A,FALSE,"타공정대체";#N/A,#N/A,FALSE,"기타경비";#N/A,#N/A,FALSE,"원료";#N/A,#N/A,FALSE,"연료"}</definedName>
    <definedName name="_SS30"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SS31" hidden="1">{#N/A,#N/A,FALSE,"Yield";#N/A,#N/A,FALSE,"Loss1";#N/A,#N/A,FALSE,"Loss2";#N/A,#N/A,FALSE,"Hour-Labor(배분)";#N/A,#N/A,FALSE,"Capital Expenditure";#N/A,#N/A,FALSE,"Productivity"}</definedName>
    <definedName name="_SS32" hidden="1">{#N/A,#N/A,FALSE,"98소지이동TOTvs99.1 (2)";#N/A,#N/A,FALSE,"TOTAL";#N/A,#N/A,FALSE,"98소지이동TOTvs99.1(b) (2)"}</definedName>
    <definedName name="_SS4" hidden="1">{#N/A,#N/A,FALSE,"군산원가";#N/A,#N/A,FALSE,"팀별월별";#N/A,#N/A,FALSE,"타공정대체";#N/A,#N/A,FALSE,"기타경비";#N/A,#N/A,FALSE,"원료";#N/A,#N/A,FALSE,"연료"}</definedName>
    <definedName name="_SS5" hidden="1">{#N/A,#N/A,FALSE,"98소지이동TOTvs99.1 (2)";#N/A,#N/A,FALSE,"TOTAL";#N/A,#N/A,FALSE,"98소지이동TOTvs99.1(b) (2)"}</definedName>
    <definedName name="_SS6"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SS7"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SS8" hidden="1">{#N/A,#N/A,FALSE,"98소지이동TOTvs99.1 (2)";#N/A,#N/A,FALSE,"TOTAL";#N/A,#N/A,FALSE,"98소지이동TOTvs99.1(b) (2)"}</definedName>
    <definedName name="_SS9" hidden="1">{#N/A,#N/A,FALSE,"98소지이동TOTvs99.1 (2)";#N/A,#N/A,FALSE,"TOTAL";#N/A,#N/A,FALSE,"98소지이동TOTvs99.1(b) (2)"}</definedName>
    <definedName name="_SSS1" hidden="1">#REF!</definedName>
    <definedName name="_SW2" hidden="1">{#N/A,#N/A,TRUE,"양식5";#N/A,#N/A,TRUE,"양식1_2_2";#N/A,#N/A,TRUE,"양식1_1_2";#N/A,#N/A,TRUE,"양식2";#N/A,#N/A,TRUE,"양식4";#N/A,#N/A,TRUE,"양식3";#N/A,#N/A,TRUE,"양식6";#N/A,#N/A,TRUE,"양식7";#N/A,#N/A,TRUE,"양식10";#N/A,#N/A,TRUE,"양식11";#N/A,#N/A,TRUE,"양식12";#N/A,#N/A,TRUE,"양식13_1_2";#N/A,#N/A,TRUE,"양식13_2_2";#N/A,#N/A,TRUE,"양식14"}</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B1" hidden="1">#REF!</definedName>
    <definedName name="_TB2" hidden="1">#REF!</definedName>
    <definedName name="_TB3" hidden="1">#REF!</definedName>
    <definedName name="_ui" hidden="1">#REF!</definedName>
    <definedName name="_ui1" hidden="1">#REF!</definedName>
    <definedName name="_www1"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_XX1" hidden="1">{#N/A,#N/A,FALSE,"98소지이동TOTvs99.1 (2)";#N/A,#N/A,FALSE,"TOTAL";#N/A,#N/A,FALSE,"98소지이동TOTvs99.1(b) (2)"}</definedName>
    <definedName name="_XX10" hidden="1">{#N/A,#N/A,FALSE,"Yield";#N/A,#N/A,FALSE,"Loss1";#N/A,#N/A,FALSE,"Loss2";#N/A,#N/A,FALSE,"Hour-Labor(배분)";#N/A,#N/A,FALSE,"Capital Expenditure";#N/A,#N/A,FALSE,"Productivity"}</definedName>
    <definedName name="_XX2" hidden="1">{#N/A,#N/A,FALSE,"98소지이동TOTvs99.1 (2)";#N/A,#N/A,FALSE,"TOTAL";#N/A,#N/A,FALSE,"98소지이동TOTvs99.1(b) (2)"}</definedName>
    <definedName name="_XX3" hidden="1">{#N/A,#N/A,FALSE,"98소지이동TOTvs99.1 (2)";#N/A,#N/A,FALSE,"TOTAL";#N/A,#N/A,FALSE,"98소지이동TOTvs99.1(b) (2)"}</definedName>
    <definedName name="_XX4" hidden="1">{#N/A,#N/A,FALSE,"군산원가";#N/A,#N/A,FALSE,"팀별월별";#N/A,#N/A,FALSE,"타공정대체";#N/A,#N/A,FALSE,"기타경비";#N/A,#N/A,FALSE,"원료";#N/A,#N/A,FALSE,"연료"}</definedName>
    <definedName name="_XX5" hidden="1">{#N/A,#N/A,FALSE,"군산원가";#N/A,#N/A,FALSE,"팀별월별";#N/A,#N/A,FALSE,"타공정대체";#N/A,#N/A,FALSE,"기타경비";#N/A,#N/A,FALSE,"원료";#N/A,#N/A,FALSE,"연료"}</definedName>
    <definedName name="_XX6" hidden="1">{#N/A,#N/A,FALSE,"Yield";#N/A,#N/A,FALSE,"Loss1";#N/A,#N/A,FALSE,"Loss2";#N/A,#N/A,FALSE,"Hour-Labor(배분)";#N/A,#N/A,FALSE,"Capital Expenditure";#N/A,#N/A,FALSE,"Productivity"}</definedName>
    <definedName name="_XX7" hidden="1">{#N/A,#N/A,FALSE,"98소지이동TOTvs99.1 (2)";#N/A,#N/A,FALSE,"TOTAL";#N/A,#N/A,FALSE,"98소지이동TOTvs99.1(b) (2)"}</definedName>
    <definedName name="_XX8"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_XX9"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_ZZ1" hidden="1">{#N/A,#N/A,FALSE,"98소지이동TOTvs99.1 (2)";#N/A,#N/A,FALSE,"TOTAL";#N/A,#N/A,FALSE,"98소지이동TOTvs99.1(b) (2)"}</definedName>
    <definedName name="\a">#REF!</definedName>
    <definedName name="\b">#N/A</definedName>
    <definedName name="\d">#REF!</definedName>
    <definedName name="\i">#REF!</definedName>
    <definedName name="\p">#REF!</definedName>
    <definedName name="\q">#N/A</definedName>
    <definedName name="\r">#N/A</definedName>
    <definedName name="\x">#REF!</definedName>
    <definedName name="\z">#REF!</definedName>
    <definedName name="Ⅱ" hidden="1">{#N/A,#N/A,FALSE,"정공"}</definedName>
    <definedName name="A" localSheetId="8">#REF!</definedName>
    <definedName name="a" hidden="1">#REF!</definedName>
    <definedName name="aa">#REF!</definedName>
    <definedName name="AAA">#REF!</definedName>
    <definedName name="AAAA" hidden="1">{#N/A,#N/A,FALSE,"Aging Summary";#N/A,#N/A,FALSE,"Ratio Analysis";#N/A,#N/A,FALSE,"Test 120 Day Accts";#N/A,#N/A,FALSE,"Tickmarks"}</definedName>
    <definedName name="AAAAAAAAA" hidden="1">{"'Sheet1'!$A$1:$H$36"}</definedName>
    <definedName name="aaaaaaaaaa">#REF!</definedName>
    <definedName name="AAAAS" hidden="1">{#N/A,#N/A,FALSE,"정공"}</definedName>
    <definedName name="Aas" hidden="1">{#N/A,#N/A,FALSE,"을지 (4)";#N/A,#N/A,FALSE,"을지 (5)";#N/A,#N/A,FALSE,"을지 (6)"}</definedName>
    <definedName name="AAT" hidden="1">{#N/A,#N/A,TRUE,"일정"}</definedName>
    <definedName name="abbreviations" hidden="1">{"'매출'!$A$1:$I$22"}</definedName>
    <definedName name="ABC" hidden="1">{#N/A,#N/A,FALSE,"초도품";#N/A,#N/A,FALSE,"초도품 (2)";#N/A,#N/A,FALSE,"초도품 (3)";#N/A,#N/A,FALSE,"초도품 (4)";#N/A,#N/A,FALSE,"초도품 (5)";#N/A,#N/A,FALSE,"초도품 (6)"}</definedName>
    <definedName name="ABCDEF" hidden="1">{#N/A,#N/A,FALSE,"정공"}</definedName>
    <definedName name="ABCD관리" hidden="1">{#N/A,#N/A,FALSE,"정공"}</definedName>
    <definedName name="Access_Button" hidden="1">"업체현황_카드발송_List"</definedName>
    <definedName name="Access_Button1" hidden="1">"업체현황_카드발송_List"</definedName>
    <definedName name="Access_Button2" hidden="1">"업체현황_카드발송_List"</definedName>
    <definedName name="Access_Button3" hidden="1">"카드발송_카드발송_List1"</definedName>
    <definedName name="Access_Button4" hidden="1">"업체현황_카드발송_List"</definedName>
    <definedName name="AccessDatabase" hidden="1">"C:\생산판매\long98\9802장판원본.mdb"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CON" hidden="1">{#N/A,#N/A,TRUE,"일정"}</definedName>
    <definedName name="AD" hidden="1">{#N/A,#N/A,FALSE,"을지 (4)";#N/A,#N/A,FALSE,"을지 (5)";#N/A,#N/A,FALSE,"을지 (6)"}</definedName>
    <definedName name="ADSF" hidden="1">{#N/A,#N/A,TRUE,"매출진척-1";#N/A,#N/A,TRUE,"매출진척-2";#N/A,#N/A,TRUE,"제품실적";#N/A,#N/A,TRUE,"RAC";#N/A,#N/A,TRUE,"PAC ";#N/A,#N/A,TRUE,"재고현황";#N/A,#N/A,TRUE,"공지사항"}</definedName>
    <definedName name="adw"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afasdf" hidden="1">#REF!</definedName>
    <definedName name="ALㅓ머" hidden="1">{#N/A,#N/A,FALSE,"UNIT";#N/A,#N/A,FALSE,"UNIT";#N/A,#N/A,FALSE,"계정"}</definedName>
    <definedName name="anscount" hidden="1">2</definedName>
    <definedName name="AOCNFTHSDLR" hidden="1">{#N/A,#N/A,FALSE,"정공"}</definedName>
    <definedName name="AS"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AS2DocOpenMode" hidden="1">"AS2DocumentEdit"</definedName>
    <definedName name="AS2LinkLS" hidden="1">#REF!</definedName>
    <definedName name="AS2ReportLS" hidden="1">1</definedName>
    <definedName name="AS2StaticLS" hidden="1">#REF!</definedName>
    <definedName name="AS2SyncStepLS" hidden="1">0</definedName>
    <definedName name="AS2TickmarkLS" hidden="1">#REF!</definedName>
    <definedName name="AS2VersionLS" hidden="1">300</definedName>
    <definedName name="ASA" hidden="1">{#N/A,#N/A,FALSE,"교재수정"}</definedName>
    <definedName name="asdwdwdqw" hidden="1">{#N/A,#N/A,FALSE,"Yield";#N/A,#N/A,FALSE,"Loss1";#N/A,#N/A,FALSE,"Loss2";#N/A,#N/A,FALSE,"Hour-Labor(배분)";#N/A,#N/A,FALSE,"Capital Expenditure";#N/A,#N/A,FALSE,"Productivity"}</definedName>
    <definedName name="ASE" hidden="1">{#N/A,#N/A,FALSE,"초도품";#N/A,#N/A,FALSE,"초도품 (2)";#N/A,#N/A,FALSE,"초도품 (3)";#N/A,#N/A,FALSE,"초도품 (4)";#N/A,#N/A,FALSE,"초도품 (5)";#N/A,#N/A,FALSE,"초도품 (6)"}</definedName>
    <definedName name="ASS" hidden="1">{#N/A,#N/A,FALSE,"을지 (4)";#N/A,#N/A,FALSE,"을지 (5)";#N/A,#N/A,FALSE,"을지 (6)"}</definedName>
    <definedName name="ASSUMPTIONS"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AWE" hidden="1">{#N/A,#N/A,FALSE,"초도품";#N/A,#N/A,FALSE,"초도품 (2)";#N/A,#N/A,FALSE,"초도품 (3)";#N/A,#N/A,FALSE,"초도품 (4)";#N/A,#N/A,FALSE,"초도품 (5)";#N/A,#N/A,FALSE,"초도품 (6)"}</definedName>
    <definedName name="axcdf" hidden="1">{#N/A,#N/A,FALSE,"정공"}</definedName>
    <definedName name="AXD" hidden="1">{#N/A,#N/A,FALSE,"초도품";#N/A,#N/A,FALSE,"초도품 (2)";#N/A,#N/A,FALSE,"초도품 (3)";#N/A,#N/A,FALSE,"초도품 (4)";#N/A,#N/A,FALSE,"초도품 (5)";#N/A,#N/A,FALSE,"초도품 (6)"}</definedName>
    <definedName name="B" localSheetId="8">#REF!</definedName>
    <definedName name="b" hidden="1">#REF!</definedName>
    <definedName name="babo"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bbbbb"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bby1"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BS"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dfbe" hidden="1">{#N/A,#N/A,FALSE,"Sheet1"}</definedName>
    <definedName name="bfgbfb"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bfr" hidden="1">#REF!</definedName>
    <definedName name="BG_Del" hidden="1">15</definedName>
    <definedName name="BG_Ins" hidden="1">4</definedName>
    <definedName name="BG_Mod" hidden="1">6</definedName>
    <definedName name="bhbcd" hidden="1">{#N/A,#N/A,FALSE,"98소지이동TOTvs99.1 (2)";#N/A,#N/A,FALSE,"TOTAL";#N/A,#N/A,FALSE,"98소지이동TOTvs99.1(b) (2)"}</definedName>
    <definedName name="bj"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jj"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jjj"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bn" hidden="1">{#N/A,#N/A,FALSE,"Aging Summary";#N/A,#N/A,FALSE,"Ratio Analysis";#N/A,#N/A,FALSE,"Test 120 Day Accts";#N/A,#N/A,FALSE,"Tickmarks"}</definedName>
    <definedName name="book1" hidden="1">{#N/A,#N/A,FALSE,"UNIT";#N/A,#N/A,FALSE,"UNIT";#N/A,#N/A,FALSE,"계정"}</definedName>
    <definedName name="bs" hidden="1">#REF!</definedName>
    <definedName name="BS_일본" hidden="1">#REF!</definedName>
    <definedName name="bsbco"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sbyco"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BS차이내역" hidden="1">{#N/A,#N/A,FALSE,"정공"}</definedName>
    <definedName name="bvcz" hidden="1">#REF!</definedName>
    <definedName name="bvvv"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CAP1B"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CAPA" hidden="1">{#N/A,#N/A,FALSE,"인원";#N/A,#N/A,FALSE,"비용2";#N/A,#N/A,FALSE,"비용1";#N/A,#N/A,FALSE,"비용";#N/A,#N/A,FALSE,"보증2";#N/A,#N/A,FALSE,"보증1";#N/A,#N/A,FALSE,"보증";#N/A,#N/A,FALSE,"손익1";#N/A,#N/A,FALSE,"손익";#N/A,#N/A,FALSE,"부서별매출";#N/A,#N/A,FALSE,"매출"}</definedName>
    <definedName name="cc0" hidden="1">{"'5국공정'!$A$1:$E$128"}</definedName>
    <definedName name="CCASH"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ccc" hidden="1">{#N/A,#N/A,FALSE,"정공"}</definedName>
    <definedName name="CDE" hidden="1">{#N/A,#N/A,TRUE,"일정"}</definedName>
    <definedName name="cdhbkjbkjnkjnlmmn" hidden="1">{#N/A,#N/A,TRUE,"일정"}</definedName>
    <definedName name="CF" hidden="1">#REF!</definedName>
    <definedName name="CF02기초" hidden="1">{#N/A,#N/A,TRUE,"Summary";#N/A,#N/A,TRUE,"IS";#N/A,#N/A,TRUE,"Adj";#N/A,#N/A,TRUE,"BS";#N/A,#N/A,TRUE,"CF";#N/A,#N/A,TRUE,"Debt";#N/A,#N/A,TRUE,"IRR"}</definedName>
    <definedName name="CFAB7" hidden="1">{"'Sheet1'!$A$1:$H$36"}</definedName>
    <definedName name="cfclear" hidden="1">{#N/A,#N/A,FALSE,"BS";#N/A,#N/A,FALSE,"PL";#N/A,#N/A,FALSE,"처분";#N/A,#N/A,FALSE,"현금";#N/A,#N/A,FALSE,"매출";#N/A,#N/A,FALSE,"원가";#N/A,#N/A,FALSE,"경영"}</definedName>
    <definedName name="CFFF"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CFSAG" hidden="1">{"'손익현황'!$A$1:$J$29"}</definedName>
    <definedName name="CF요인" hidden="1">#REF!</definedName>
    <definedName name="chang" hidden="1">{#N/A,#N/A,FALSE,"을지 (4)";#N/A,#N/A,FALSE,"을지 (5)";#N/A,#N/A,FALSE,"을지 (6)"}</definedName>
    <definedName name="CHANGER" hidden="1">{"'Sheet1'!$A$1:$H$36"}</definedName>
    <definedName name="ChangeRange" localSheetId="11" hidden="1">#REF!</definedName>
    <definedName name="ChangeRange" hidden="1">#REF!</definedName>
    <definedName name="CHO" hidden="1">#REF!</definedName>
    <definedName name="CLAIM" hidden="1">{#N/A,#N/A,FALSE,"98소지이동TOTvs99.1 (2)";#N/A,#N/A,FALSE,"TOTAL";#N/A,#N/A,FALSE,"98소지이동TOTvs99.1(b) (2)"}</definedName>
    <definedName name="CLAIM2" hidden="1">{#N/A,#N/A,FALSE,"98소지이동TOTvs99.1 (2)";#N/A,#N/A,FALSE,"TOTAL";#N/A,#N/A,FALSE,"98소지이동TOTvs99.1(b) (2)"}</definedName>
    <definedName name="Communication" hidden="1">{#N/A,#N/A,FALSE,"교육시간"}</definedName>
    <definedName name="ContentsHelp" localSheetId="11" hidden="1">#REF!</definedName>
    <definedName name="ContentsHelp" hidden="1">#REF!</definedName>
    <definedName name="CreateTable" localSheetId="11" hidden="1">#REF!</definedName>
    <definedName name="CreateTable" hidden="1">#REF!</definedName>
    <definedName name="CT" hidden="1">#REF!</definedName>
    <definedName name="CVD" hidden="1">#REF!</definedName>
    <definedName name="CX" hidden="1">255</definedName>
    <definedName name="cxx" hidden="1">#REF!</definedName>
    <definedName name="cxzczxcasdasd" hidden="1">{#N/A,#N/A,TRUE,"일정"}</definedName>
    <definedName name="CY_Accounts_Receivable">#REF!</definedName>
    <definedName name="CY_Current_Liabilities">#REF!</definedName>
    <definedName name="CY_Gross_Profit">#REF!</definedName>
    <definedName name="CY_Interest_Expense">#REF!</definedName>
    <definedName name="CY_Inventory">#REF!</definedName>
    <definedName name="CY_NET_PROFIT">#REF!</definedName>
    <definedName name="CY_Net_Revenue">#REF!</definedName>
    <definedName name="CY_Operating_Income">#REF!</definedName>
    <definedName name="CY_QUICK_ASSETS">#REF!</definedName>
    <definedName name="CY_Tangible_Assets">#REF!</definedName>
    <definedName name="CY_TOTAL_ASSETS">#REF!</definedName>
    <definedName name="CY_TOTAL_CURR_ASSETS">#REF!</definedName>
    <definedName name="CY_TOTAL_DEBT">#REF!</definedName>
    <definedName name="CY_TOTAL_EQUITY">#REF!</definedName>
    <definedName name="CY_경상이익">#REF!</definedName>
    <definedName name="CY_단기차입금">#REF!</definedName>
    <definedName name="CY_매입채무">#REF!</definedName>
    <definedName name="CY_사채">#REF!</definedName>
    <definedName name="CY_유동성장기부채">#REF!</definedName>
    <definedName name="CY_장기차입금">#REF!</definedName>
    <definedName name="cycle" hidden="1">#REF!</definedName>
    <definedName name="D">#REF!</definedName>
    <definedName name="data1" hidden="1">#REF!</definedName>
    <definedName name="data2" hidden="1">#REF!</definedName>
    <definedName name="data3" hidden="1">#REF!</definedName>
    <definedName name="DATA3월"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DATABASE1" hidden="1">#REF!</definedName>
    <definedName name="dddd" hidden="1">{#N/A,#N/A,FALSE,"UNIT";#N/A,#N/A,FALSE,"UNIT";#N/A,#N/A,FALSE,"계정"}</definedName>
    <definedName name="DDDDDD" hidden="1">{#N/A,#N/A,FALSE,"98소지이동TOTvs99.1 (2)";#N/A,#N/A,FALSE,"TOTAL";#N/A,#N/A,FALSE,"98소지이동TOTvs99.1(b) (2)"}</definedName>
    <definedName name="DDDDDDD"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dddddddd" hidden="1">{"'5국공정'!$A$1:$E$128"}</definedName>
    <definedName name="DDDDDDDDD" hidden="1">{#N/A,#N/A,FALSE,"군산원가";#N/A,#N/A,FALSE,"팀별월별";#N/A,#N/A,FALSE,"타공정대체";#N/A,#N/A,FALSE,"기타경비";#N/A,#N/A,FALSE,"원료";#N/A,#N/A,FALSE,"연료"}</definedName>
    <definedName name="DDDDDDDDDD"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DDDDDDDDDDD" hidden="1">{#N/A,#N/A,FALSE,"98소지이동TOTvs99.1 (2)";#N/A,#N/A,FALSE,"TOTAL";#N/A,#N/A,FALSE,"98소지이동TOTvs99.1(b) (2)"}</definedName>
    <definedName name="DDDDDDDDDDDD" hidden="1">{#N/A,#N/A,FALSE,"Yield";#N/A,#N/A,FALSE,"Loss1";#N/A,#N/A,FALSE,"Loss2";#N/A,#N/A,FALSE,"Hour-Labor(배분)";#N/A,#N/A,FALSE,"Capital Expenditure";#N/A,#N/A,FALSE,"Productivity"}</definedName>
    <definedName name="DDDDDDDDDDDDD" hidden="1">{#N/A,#N/A,FALSE,"98소지이동TOTvs99.1 (2)";#N/A,#N/A,FALSE,"TOTAL";#N/A,#N/A,FALSE,"98소지이동TOTvs99.1(b) (2)"}</definedName>
    <definedName name="DDDDDDDDDDDDDDD" hidden="1">{#N/A,#N/A,FALSE,"98소지이동TOTvs99.1 (2)";#N/A,#N/A,FALSE,"TOTAL";#N/A,#N/A,FALSE,"98소지이동TOTvs99.1(b) (2)"}</definedName>
    <definedName name="DDDDDDDDDDDDDDDD" hidden="1">{#N/A,#N/A,FALSE,"98소지이동TOTvs99.1 (2)";#N/A,#N/A,FALSE,"TOTAL";#N/A,#N/A,FALSE,"98소지이동TOTvs99.1(b) (2)"}</definedName>
    <definedName name="DDDDDDDDDDDDDDDDDDD" hidden="1">{#N/A,#N/A,FALSE,"98소지이동TOTvs99.1 (2)";#N/A,#N/A,FALSE,"TOTAL";#N/A,#N/A,FALSE,"98소지이동TOTvs99.1(b) (2)"}</definedName>
    <definedName name="DDDDDDDDDDDDDDDDDDDDD" hidden="1">{#N/A,#N/A,FALSE,"98소지이동TOTvs99.1 (2)";#N/A,#N/A,FALSE,"TOTAL";#N/A,#N/A,FALSE,"98소지이동TOTvs99.1(b) (2)"}</definedName>
    <definedName name="DDDDDDDDDDDDDDDDDDDDDD" hidden="1">{#N/A,#N/A,FALSE,"군산원가";#N/A,#N/A,FALSE,"팀별월별";#N/A,#N/A,FALSE,"타공정대체";#N/A,#N/A,FALSE,"기타경비";#N/A,#N/A,FALSE,"원료";#N/A,#N/A,FALSE,"연료"}</definedName>
    <definedName name="DDDDDDDDDDDDDDDDDDDDDDDD" hidden="1">{#N/A,#N/A,FALSE,"군산원가";#N/A,#N/A,FALSE,"팀별월별";#N/A,#N/A,FALSE,"타공정대체";#N/A,#N/A,FALSE,"기타경비";#N/A,#N/A,FALSE,"원료";#N/A,#N/A,FALSE,"연료"}</definedName>
    <definedName name="DDDDDDDDDDDDDDDDDDDDDDDDDD" hidden="1">{#N/A,#N/A,FALSE,"군산원가";#N/A,#N/A,FALSE,"팀별월별";#N/A,#N/A,FALSE,"타공정대체";#N/A,#N/A,FALSE,"기타경비";#N/A,#N/A,FALSE,"원료";#N/A,#N/A,FALSE,"연료"}</definedName>
    <definedName name="DDDDDDDDDDDDDDDDDDDDDDDDDDD" hidden="1">{#N/A,#N/A,FALSE,"군산원가";#N/A,#N/A,FALSE,"팀별월별";#N/A,#N/A,FALSE,"타공정대체";#N/A,#N/A,FALSE,"기타경비";#N/A,#N/A,FALSE,"원료";#N/A,#N/A,FALSE,"연료"}</definedName>
    <definedName name="DDDDDDDDDDDDDDDDDDDDDDDDDDDDD" hidden="1">{#N/A,#N/A,FALSE,"Yield";#N/A,#N/A,FALSE,"Loss1";#N/A,#N/A,FALSE,"Loss2";#N/A,#N/A,FALSE,"Hour-Labor(배분)";#N/A,#N/A,FALSE,"Capital Expenditure";#N/A,#N/A,FALSE,"Productivity"}</definedName>
    <definedName name="DDDDDDDDDDDDDDDDDDDDDDDDDDDDDDD" hidden="1">{#N/A,#N/A,FALSE,"98소지이동TOTvs99.1 (2)";#N/A,#N/A,FALSE,"TOTAL";#N/A,#N/A,FALSE,"98소지이동TOTvs99.1(b) (2)"}</definedName>
    <definedName name="DDDDDDDDDDDDDDDDDDDDDDDDDDDDDDDD"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DDDDDDDDDDDDDDDDDDDDDDDDDDDDDDDDD" hidden="1">{#N/A,#N/A,FALSE,"Yield";#N/A,#N/A,FALSE,"Loss1";#N/A,#N/A,FALSE,"Loss2";#N/A,#N/A,FALSE,"Hour-Labor(배분)";#N/A,#N/A,FALSE,"Capital Expenditure";#N/A,#N/A,FALSE,"Productivity"}</definedName>
    <definedName name="DDDDDDDDDDDDDDDDDDDDDDDDDDDDDDDDDDDDDD" hidden="1">{#N/A,#N/A,FALSE,"군산원가";#N/A,#N/A,FALSE,"팀별월별";#N/A,#N/A,FALSE,"타공정대체";#N/A,#N/A,FALSE,"기타경비";#N/A,#N/A,FALSE,"원료";#N/A,#N/A,FALSE,"연료"}</definedName>
    <definedName name="DDDDDDDDDDDDDDDDDDDDDDDDDDDDDDDDDDDDDDD"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DDDDDDDDDDDDDDDDDDDDDDDDDDDDDDDDDDDDDDDD"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DDDDDDDDDDDDDDDDDDDDDDDDDDDDDDDDDDDDDDDDDDDDDDDDDDDDDDDD" hidden="1">{#N/A,#N/A,FALSE,"Yield";#N/A,#N/A,FALSE,"Loss1";#N/A,#N/A,FALSE,"Loss2";#N/A,#N/A,FALSE,"Hour-Labor(배분)";#N/A,#N/A,FALSE,"Capital Expenditure";#N/A,#N/A,FALSE,"Productivity"}</definedName>
    <definedName name="dddfg" hidden="1">{#N/A,#N/A,FALSE,"정공"}</definedName>
    <definedName name="DDS" hidden="1">{#N/A,#N/A,FALSE,"을지 (4)";#N/A,#N/A,FALSE,"을지 (5)";#N/A,#N/A,FALSE,"을지 (6)"}</definedName>
    <definedName name="ddssfas" hidden="1">{#N/A,#N/A,FALSE,"계약직(여)"}</definedName>
    <definedName name="DeleteRange" localSheetId="11" hidden="1">#REF!</definedName>
    <definedName name="DeleteRange" hidden="1">#REF!</definedName>
    <definedName name="DeleteTable" localSheetId="11" hidden="1">#REF!</definedName>
    <definedName name="DeleteTable" hidden="1">#REF!</definedName>
    <definedName name="DF" hidden="1">{#N/A,#N/A,FALSE,"Aging Summary";#N/A,#N/A,FALSE,"Ratio Analysis";#N/A,#N/A,FALSE,"Test 120 Day Accts";#N/A,#N/A,FALSE,"Tickmarks"}</definedName>
    <definedName name="dfakdf" hidden="1">#REF!</definedName>
    <definedName name="DFDF" hidden="1">{#N/A,#N/A,FALSE,"Aging Summary";#N/A,#N/A,FALSE,"Ratio Analysis";#N/A,#N/A,FALSE,"Test 120 Day Accts";#N/A,#N/A,FALSE,"Tickmarks"}</definedName>
    <definedName name="DFDF1" hidden="1">{#N/A,#N/A,FALSE,"Aging Summary";#N/A,#N/A,FALSE,"Ratio Analysis";#N/A,#N/A,FALSE,"Test 120 Day Accts";#N/A,#N/A,FALSE,"Tickmarks"}</definedName>
    <definedName name="dfds" hidden="1">{#N/A,#N/A,FALSE,"Aging Summary";#N/A,#N/A,FALSE,"Ratio Analysis";#N/A,#N/A,FALSE,"Test 120 Day Accts";#N/A,#N/A,FALSE,"Tickmarks"}</definedName>
    <definedName name="dfgfghh"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DFGHDFG" hidden="1">#REF!</definedName>
    <definedName name="dfgsdgf" hidden="1">#N/A</definedName>
    <definedName name="dfs" hidden="1">{#N/A,#N/A,FALSE,"Sheet1"}</definedName>
    <definedName name="dfsgdfsg" hidden="1">{#N/A,#N/A,FALSE,"98소지이동TOTvs99.1 (2)";#N/A,#N/A,FALSE,"TOTAL";#N/A,#N/A,FALSE,"98소지이동TOTvs99.1(b) (2)"}</definedName>
    <definedName name="dgdfg"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Discount" hidden="1">#REF!</definedName>
    <definedName name="display_area_2" hidden="1">#REF!</definedName>
    <definedName name="djld" hidden="1">{#N/A,#N/A,FALSE,"손익표지";#N/A,#N/A,FALSE,"손익계산";#N/A,#N/A,FALSE,"일반관리비";#N/A,#N/A,FALSE,"영업외수익";#N/A,#N/A,FALSE,"영업외비용";#N/A,#N/A,FALSE,"매출액";#N/A,#N/A,FALSE,"요약손익";#N/A,#N/A,FALSE,"요약대차";#N/A,#N/A,FALSE,"매출채권현황";#N/A,#N/A,FALSE,"매출채권명세"}</definedName>
    <definedName name="djs" hidden="1">#REF!</definedName>
    <definedName name="DKC">#REF!</definedName>
    <definedName name="dkdk" hidden="1">{#N/A,#N/A,FALSE,"BS";#N/A,#N/A,FALSE,"PL";#N/A,#N/A,FALSE,"처분";#N/A,#N/A,FALSE,"현금";#N/A,#N/A,FALSE,"매출";#N/A,#N/A,FALSE,"원가";#N/A,#N/A,FALSE,"경영"}</definedName>
    <definedName name="dkdkd" hidden="1">{#N/A,#N/A,FALSE,"UNIT";#N/A,#N/A,FALSE,"UNIT";#N/A,#N/A,FALSE,"계정"}</definedName>
    <definedName name="dkdlrh" hidden="1">{"'Sheet1'!$A$1:$D$15"}</definedName>
    <definedName name="DLF" hidden="1">{#N/A,#N/A,TRUE,"일정"}</definedName>
    <definedName name="DLWJS" hidden="1">{#N/A,#N/A,FALSE,"Yield";#N/A,#N/A,FALSE,"Loss1";#N/A,#N/A,FALSE,"Loss2";#N/A,#N/A,FALSE,"Hour-Labor(배분)";#N/A,#N/A,FALSE,"Capital Expenditure";#N/A,#N/A,FALSE,"Productivity"}</definedName>
    <definedName name="dma" hidden="1">{#N/A,#N/A,FALSE,"BS";#N/A,#N/A,FALSE,"PL";#N/A,#N/A,FALSE,"처분";#N/A,#N/A,FALSE,"현금";#N/A,#N/A,FALSE,"매출";#N/A,#N/A,FALSE,"원가";#N/A,#N/A,FALSE,"경영"}</definedName>
    <definedName name="DN" hidden="1">{"'Sheet1'!$A$1:$H$36"}</definedName>
    <definedName name="druk" hidden="1">{"YTD/Forecast",#N/A,TRUE,"Fcst_TPLN";"Monthly Averages",#N/A,TRUE,"Fcst_TPLN"}</definedName>
    <definedName name="DS" hidden="1">{#N/A,#N/A,FALSE,"초도품";#N/A,#N/A,FALSE,"초도품 (2)";#N/A,#N/A,FALSE,"초도품 (3)";#N/A,#N/A,FALSE,"초도품 (4)";#N/A,#N/A,FALSE,"초도품 (5)";#N/A,#N/A,FALSE,"초도품 (6)"}</definedName>
    <definedName name="DSA" hidden="1">{#N/A,#N/A,FALSE,"을지 (4)";#N/A,#N/A,FALSE,"을지 (5)";#N/A,#N/A,FALSE,"을지 (6)"}</definedName>
    <definedName name="dsdf" hidden="1">{#N/A,#N/A,TRUE,"Summary";#N/A,#N/A,TRUE,"IS";#N/A,#N/A,TRUE,"Adj";#N/A,#N/A,TRUE,"BS";#N/A,#N/A,TRUE,"CF";#N/A,#N/A,TRUE,"Debt";#N/A,#N/A,TRUE,"IRR"}</definedName>
    <definedName name="dud" hidden="1">{#N/A,#N/A,FALSE,"Aging Summary";#N/A,#N/A,FALSE,"Ratio Analysis";#N/A,#N/A,FALSE,"Test 120 Day Accts";#N/A,#N/A,FALSE,"Tickmarks"}</definedName>
    <definedName name="dydirvy3" hidden="1">{"'Sheet1'!$A$1:$H$36"}</definedName>
    <definedName name="ee" hidden="1">#REF!</definedName>
    <definedName name="EKSWHD" hidden="1">{#N/A,#N/A,FALSE,"Yield";#N/A,#N/A,FALSE,"Loss1";#N/A,#N/A,FALSE,"Loss2";#N/A,#N/A,FALSE,"Hour-Labor(배분)";#N/A,#N/A,FALSE,"Capital Expenditure";#N/A,#N/A,FALSE,"Productivity"}</definedName>
    <definedName name="erw" hidden="1">#REF!</definedName>
    <definedName name="erwrwe" hidden="1">{#N/A,#N/A,FALSE,"Sheet1"}</definedName>
    <definedName name="ew"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EW56W56" hidden="1">255</definedName>
    <definedName name="EWA" hidden="1">{#N/A,#N/A,FALSE,"초도품";#N/A,#N/A,FALSE,"초도품 (2)";#N/A,#N/A,FALSE,"초도품 (3)";#N/A,#N/A,FALSE,"초도품 (4)";#N/A,#N/A,FALSE,"초도품 (5)";#N/A,#N/A,FALSE,"초도품 (6)"}</definedName>
    <definedName name="ewe" hidden="1">{#N/A,#N/A,FALSE,"COL-HIS"}</definedName>
    <definedName name="Excel" hidden="1">{"'Sheet1'!$B$10:$C$19","'Sheet1'!$A$53:$C$65"}</definedName>
    <definedName name="EXL" hidden="1">#REF!</definedName>
    <definedName name="EXT" hidden="1">{#N/A,#N/A,TRUE,"일정"}</definedName>
    <definedName name="EXTT" hidden="1">{#N/A,#N/A,TRUE,"일정"}</definedName>
    <definedName name="E마트청주" hidden="1">{"YTD/Forecast",#N/A,TRUE,"Fcst_TPLN";"Monthly Averages",#N/A,TRUE,"Fcst_TPLN"}</definedName>
    <definedName name="f" hidden="1">{#N/A,#N/A,FALSE,"Aging Summary";#N/A,#N/A,FALSE,"Ratio Analysis";#N/A,#N/A,FALSE,"Test 120 Day Accts";#N/A,#N/A,FALSE,"Tickmarks"}</definedName>
    <definedName name="f.a" hidden="1">{#N/A,#N/A,FALSE,"Aging Summary";#N/A,#N/A,FALSE,"Ratio Analysis";#N/A,#N/A,FALSE,"Test 120 Day Accts";#N/A,#N/A,FALSE,"Tickmarks"}</definedName>
    <definedName name="F5TF" hidden="1">#REF!</definedName>
    <definedName name="FCode" hidden="1">#REF!</definedName>
    <definedName name="FD" hidden="1">{#N/A,#N/A,FALSE,"Aging Summary";#N/A,#N/A,FALSE,"Ratio Analysis";#N/A,#N/A,FALSE,"Test 120 Day Accts";#N/A,#N/A,FALSE,"Tickmarks"}</definedName>
    <definedName name="FDD" hidden="1">{#N/A,#N/A,FALSE,"Aging Summary";#N/A,#N/A,FALSE,"Ratio Analysis";#N/A,#N/A,FALSE,"Test 120 Day Accts";#N/A,#N/A,FALSE,"Tickmarks"}</definedName>
    <definedName name="fddsdf"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fdf" hidden="1">{#N/A,#N/A,FALSE,"Sheet1"}</definedName>
    <definedName name="FDFD"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fdsfdf"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FFAB7" hidden="1">#REF!</definedName>
    <definedName name="fgd"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fgfgfgf"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fggadg" hidden="1">{#N/A,#N/A,FALSE,"Aging Summary";#N/A,#N/A,FALSE,"Ratio Analysis";#N/A,#N/A,FALSE,"Test 120 Day Accts";#N/A,#N/A,FALSE,"Tickmarks"}</definedName>
    <definedName name="fgvfgf" hidden="1">{#N/A,#N/A,FALSE,"98소지이동TOTvs99.1 (2)";#N/A,#N/A,FALSE,"TOTAL";#N/A,#N/A,FALSE,"98소지이동TOTvs99.1(b) (2)"}</definedName>
    <definedName name="fhjgj" hidden="1">{#N/A,#N/A,FALSE,"98소지이동TOTvs99.1 (2)";#N/A,#N/A,FALSE,"TOTAL";#N/A,#N/A,FALSE,"98소지이동TOTvs99.1(b) (2)"}</definedName>
    <definedName name="fila" hidden="1">{#N/A,#N/A,FALSE,"채권채무";#N/A,#N/A,FALSE,"control sheet"}</definedName>
    <definedName name="filter" hidden="1">#REF!</definedName>
    <definedName name="finding" hidden="1">{#N/A,#N/A,FALSE,"BS";#N/A,#N/A,FALSE,"PL";#N/A,#N/A,FALSE,"처분";#N/A,#N/A,FALSE,"현금";#N/A,#N/A,FALSE,"매출";#N/A,#N/A,FALSE,"원가";#N/A,#N/A,FALSE,"경영"}</definedName>
    <definedName name="findingss" hidden="1">{#N/A,#N/A,FALSE,"Aging Summary";#N/A,#N/A,FALSE,"Ratio Analysis";#N/A,#N/A,FALSE,"Test 120 Day Accts";#N/A,#N/A,FALSE,"Tickmarks"}</definedName>
    <definedName name="fjalaslaslfasllaa" hidden="1">{#N/A,#N/A,FALSE,"을지 (4)";#N/A,#N/A,FALSE,"을지 (5)";#N/A,#N/A,FALSE,"을지 (6)"}</definedName>
    <definedName name="fjdi0s" hidden="1">#N/A</definedName>
    <definedName name="FK" hidden="1">{"'Sheet1'!$A$1:$H$36"}</definedName>
    <definedName name="fkfj" hidden="1">#REF!</definedName>
    <definedName name="FS" hidden="1">{#N/A,#N/A,FALSE,"PHOTO5";#N/A,#N/A,FALSE,"ETCH5";#N/A,#N/A,FALSE,"DIFF5";#N/A,#N/A,FALSE,"CVD5";#N/A,#N/A,FALSE,"I5";#N/A,#N/A,FALSE,"METAL5";#N/A,#N/A,FALSE,"PHOTO6";#N/A,#N/A,FALSE,"ETCH6";#N/A,#N/A,FALSE,"DIFF6";#N/A,#N/A,FALSE,"CVD6";#N/A,#N/A,FALSE,"I6";#N/A,#N/A,FALSE,"METAL6"}</definedName>
    <definedName name="gdmhgdmhg" hidden="1">{#N/A,#N/A,TRUE,"일정"}</definedName>
    <definedName name="gfgfdg"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gfs" hidden="1">#REF!</definedName>
    <definedName name="gg" hidden="1">{#N/A,#N/A,TRUE,"Summary";#N/A,#N/A,TRUE,"IS";#N/A,#N/A,TRUE,"Adj";#N/A,#N/A,TRUE,"BS";#N/A,#N/A,TRUE,"CF";#N/A,#N/A,TRUE,"Debt";#N/A,#N/A,TRUE,"IRR"}</definedName>
    <definedName name="GGG" hidden="1">#REF!</definedName>
    <definedName name="gggg"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GHF"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gkg" hidden="1">{"'Matrix'!$A$3:$J$47"}</definedName>
    <definedName name="GML"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grew" hidden="1">#REF!</definedName>
    <definedName name="gsdg" hidden="1">{#N/A,#N/A,FALSE,"Yield";#N/A,#N/A,FALSE,"Loss1";#N/A,#N/A,FALSE,"Loss2";#N/A,#N/A,FALSE,"Hour-Labor(배분)";#N/A,#N/A,FALSE,"Capital Expenditure";#N/A,#N/A,FALSE,"Productivity"}</definedName>
    <definedName name="gusg" hidden="1">{#N/A,#N/A,TRUE,"Summary";#N/A,#N/A,TRUE,"IS";#N/A,#N/A,TRUE,"Adj";#N/A,#N/A,TRUE,"BS";#N/A,#N/A,TRUE,"CF";#N/A,#N/A,TRUE,"Debt";#N/A,#N/A,TRUE,"IRR"}</definedName>
    <definedName name="gvdasskv" hidden="1">{#N/A,#N/A,TRUE,"일정"}</definedName>
    <definedName name="gvgvg"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HDFHDH"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HDS" hidden="1">#REF!</definedName>
    <definedName name="hehheheh" hidden="1">{#N/A,#N/A,FALSE,"Aging Summary";#N/A,#N/A,FALSE,"Ratio Analysis";#N/A,#N/A,FALSE,"Test 120 Day Accts";#N/A,#N/A,FALSE,"Tickmarks"}</definedName>
    <definedName name="HFEF" hidden="1">#REF!</definedName>
    <definedName name="hg" hidden="1">#REF!</definedName>
    <definedName name="HGC" hidden="1">{"'Sheet1'!$A$1:$H$36"}</definedName>
    <definedName name="HGFS" hidden="1">#REF!</definedName>
    <definedName name="hgfshg" hidden="1">{#N/A,#N/A,TRUE,"일정"}</definedName>
    <definedName name="hgfxd" hidden="1">{#N/A,#N/A,TRUE,"일정"}</definedName>
    <definedName name="hgkvg"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hgr" hidden="1">#REF!</definedName>
    <definedName name="hhghg"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hhh"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HiddenRows" hidden="1">#REF!</definedName>
    <definedName name="HIGH" hidden="1">#REF!</definedName>
    <definedName name="hjkhk"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HJKOL" hidden="1">#N/A</definedName>
    <definedName name="hluyilu"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hrd" hidden="1">#REF!</definedName>
    <definedName name="html" hidden="1">{"'Sheet1'!$B$10:$C$19","'Sheet1'!$A$53:$C$65"}</definedName>
    <definedName name="HTML_CodePage" hidden="1">949</definedName>
    <definedName name="HTML_Control" hidden="1">{"'5국공정'!$A$1:$E$128"}</definedName>
    <definedName name="HTML_Description" hidden="1">""</definedName>
    <definedName name="HTML_Email" hidden="1">"jaemins@netian.co.kr"</definedName>
    <definedName name="HTML_Header" hidden="1">""</definedName>
    <definedName name="HTML_LastUpdate" hidden="1">"99-01-11"</definedName>
    <definedName name="HTML_LineAfter" hidden="1">FALSE</definedName>
    <definedName name="HTML_LineBefore" hidden="1">TRUE</definedName>
    <definedName name="HTML_Name" hidden="1">"김재민"</definedName>
    <definedName name="HTML_OBDlg2" hidden="1">TRUE</definedName>
    <definedName name="HTML_OBDlg4" hidden="1">TRUE</definedName>
    <definedName name="HTML_OS" hidden="1">0</definedName>
    <definedName name="HTML_PathFile" hidden="1">"C:\홈페이지\일위대가.htm"</definedName>
    <definedName name="HTML_Title" hidden="1">"직접노무비"</definedName>
    <definedName name="HTML1_1" hidden="1">"[수주관리98.xls]회선현황!$A$5:$O$53"</definedName>
    <definedName name="HTML1_10" hidden="1">""</definedName>
    <definedName name="HTML1_11" hidden="1">1</definedName>
    <definedName name="HTML1_12" hidden="1">"C:\My Documents\98년\1월\영업현황\시험.htm"</definedName>
    <definedName name="HTML1_2" hidden="1">1</definedName>
    <definedName name="HTML1_3" hidden="1">"수주관리98"</definedName>
    <definedName name="HTML1_4" hidden="1">"회선현황"</definedName>
    <definedName name="HTML1_5" hidden="1">""</definedName>
    <definedName name="HTML1_6" hidden="1">-4146</definedName>
    <definedName name="HTML1_7" hidden="1">-4146</definedName>
    <definedName name="HTML1_8" hidden="1">"98-01-21"</definedName>
    <definedName name="HTML1_9" hidden="1">"김은광"</definedName>
    <definedName name="HTML10_1" hidden="1">"'[수주관리98.xls]2월1주차'!$A$1:$P$31"</definedName>
    <definedName name="HTML10_10" hidden="1">""</definedName>
    <definedName name="HTML10_11" hidden="1">1</definedName>
    <definedName name="HTML10_12" hidden="1">"C:\My Documents\98년\영업현황\일일현황-98.2.6.htm"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"'[수주관리98.xls]2월2주차'!$A$1:$P$21"</definedName>
    <definedName name="HTML11_10" hidden="1">""</definedName>
    <definedName name="HTML11_11" hidden="1">1</definedName>
    <definedName name="HTML11_12" hidden="1">"C:\My Documents\98년\영업현황\일일현황-98.2.12.htm"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"'[수주관리98.xls]2월2주차'!$A$1:$P$34"</definedName>
    <definedName name="HTML12_10" hidden="1">""</definedName>
    <definedName name="HTML12_11" hidden="1">1</definedName>
    <definedName name="HTML12_12" hidden="1">"C:\My Documents\98년\영업현황\일일현황-98.2.13.htm"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"'[수주관리98.xls]2월2주차'!$A$1:$P$19"</definedName>
    <definedName name="HTML13_10" hidden="1">""</definedName>
    <definedName name="HTML13_11" hidden="1">1</definedName>
    <definedName name="HTML13_12" hidden="1">"C:\My Documents\98년\영업현황\일일현황-98.2.12.htm"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"'[수주관리98.xls]2월2주차'!$A$1:$P$17"</definedName>
    <definedName name="HTML14_10" hidden="1">""</definedName>
    <definedName name="HTML14_11" hidden="1">1</definedName>
    <definedName name="HTML14_12" hidden="1">"C:\My Documents\98년\영업현황\일일현황-98.2.9.htm"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"'[수주관리98.xls]2월3주차'!$A$1:$P$20"</definedName>
    <definedName name="HTML15_10" hidden="1">""</definedName>
    <definedName name="HTML15_11" hidden="1">1</definedName>
    <definedName name="HTML15_12" hidden="1">"C:\My Documents\98년\영업현황\일일현황-98.2.16.htm"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"'[수주통합관리98_2_21.xls]2월3주차'!$A$1:$I$89"</definedName>
    <definedName name="HTML16_10" hidden="1">""</definedName>
    <definedName name="HTML16_11" hidden="1">1</definedName>
    <definedName name="HTML16_12" hidden="1">"C:\My Documents\98년\영업현황\일일현황-98.2.25.htm"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"'[수주통합관리98_2_21.xls]2월3주차'!$A$4:$H$30"</definedName>
    <definedName name="HTML17_10" hidden="1">""</definedName>
    <definedName name="HTML17_11" hidden="1">1</definedName>
    <definedName name="HTML17_12" hidden="1">"C:\My Documents\98년\영업현황\1월 수주현황.htm"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"'[수주통합관리98_2_21.xls]2월3주차'!$A$32:$I$58"</definedName>
    <definedName name="HTML18_10" hidden="1">""</definedName>
    <definedName name="HTML18_11" hidden="1">1</definedName>
    <definedName name="HTML18_12" hidden="1">"C:\My Documents\98년\영업현황\2월 수주현황(2월25일 현재).htm"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"'[수주통합관리98_2_21.xls]2월3주차'!$A$63:$F$89"</definedName>
    <definedName name="HTML19_10" hidden="1">""</definedName>
    <definedName name="HTML19_11" hidden="1">1</definedName>
    <definedName name="HTML19_12" hidden="1">"C:\My Documents\98년\영업현황\월별현황(2월25일 현재).htm"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"[수주관리98.xls]일일현황!$A$1:$L$10"</definedName>
    <definedName name="HTML2_10" hidden="1">""</definedName>
    <definedName name="HTML2_11" hidden="1">1</definedName>
    <definedName name="HTML2_12" hidden="1">"C:\My Documents\98년\1월\영업현황\일일현황-98.1.22.htm"</definedName>
    <definedName name="HTML2_2" hidden="1">1</definedName>
    <definedName name="HTML2_3" hidden="1">""</definedName>
    <definedName name="HTML2_4" hidden="1">""</definedName>
    <definedName name="HTML2_5" hidden="1">""</definedName>
    <definedName name="HTML2_6" hidden="1">-4146</definedName>
    <definedName name="HTML2_7" hidden="1">1</definedName>
    <definedName name="HTML2_8" hidden="1">"98-01-22"</definedName>
    <definedName name="HTML2_9" hidden="1">""</definedName>
    <definedName name="HTML20_1" hidden="1">"'[수주통합관리98_2_25.xls]2월4주차'!$A$71:$F$97"</definedName>
    <definedName name="HTML20_10" hidden="1">""</definedName>
    <definedName name="HTML20_11" hidden="1">1</definedName>
    <definedName name="HTML20_12" hidden="1">"C:\My Documents\98년\영업현황\월별현황(2월 마감분).htm"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"'[수주통합관리98_2_25.xls]2월4주차'!$A$4:$H$29"</definedName>
    <definedName name="HTML21_10" hidden="1">""</definedName>
    <definedName name="HTML21_11" hidden="1">1</definedName>
    <definedName name="HTML21_12" hidden="1">"C:\My Documents\98년\영업현황\1월 수주현황(1월 마감분).htm"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"'[수주통합관리98_2_25.xls]2월4주차'!$A$31:$I$66"</definedName>
    <definedName name="HTML22_10" hidden="1">""</definedName>
    <definedName name="HTML22_11" hidden="1">1</definedName>
    <definedName name="HTML22_12" hidden="1">"C:\My Documents\98년\영업현황\1월 수주현황(2월 마감분).htm"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"[수주통합관리98_2_25.xls]보고양식!$A$32:$I$68"</definedName>
    <definedName name="HTML23_10" hidden="1">""</definedName>
    <definedName name="HTML23_11" hidden="1">1</definedName>
    <definedName name="HTML23_12" hidden="1">"C:\My Documents\98년\영업현황\2월 수주현황(2월 마감분).htm"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"[수주통합관리98_2_25.xls]보고양식!$A$73:$F$98"</definedName>
    <definedName name="HTML24_10" hidden="1">""</definedName>
    <definedName name="HTML24_11" hidden="1">1</definedName>
    <definedName name="HTML24_12" hidden="1">"C:\My Documents\98년\영업현황\월별현황(2월 마감분).htm"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"[수주통합관리98_2_25.xls]보고양식!$A$4:$I$29"</definedName>
    <definedName name="HTML25_10" hidden="1">""</definedName>
    <definedName name="HTML25_11" hidden="1">1</definedName>
    <definedName name="HTML25_12" hidden="1">"C:\My Documents\98년\영업현황\1월 수주현황(1월 마감분).htm"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definedName>
    <definedName name="HTML25_9" hidden="1">""</definedName>
    <definedName name="HTML26_1" hidden="1">"[수주통합관리98_2_25.xls]보고양식!$A$31:$K$80"</definedName>
    <definedName name="HTML26_10" hidden="1">""</definedName>
    <definedName name="HTML26_11" hidden="1">1</definedName>
    <definedName name="HTML26_12" hidden="1">"C:\My Documents\98년\영업현황\2월 수주현황(2월 마감분).htm"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"[수주통합관리98_2_25.xls]보고양식!$B$84:$G$109"</definedName>
    <definedName name="HTML27_10" hidden="1">""</definedName>
    <definedName name="HTML27_11" hidden="1">1</definedName>
    <definedName name="HTML27_12" hidden="1">"C:\My Documents\98년\영업현황\월별현황(2월 마감분).htm"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"[수주통합관리98_3_2.xls]보고양식!$B$92:$G$117"</definedName>
    <definedName name="HTML28_10" hidden="1">""</definedName>
    <definedName name="HTML28_11" hidden="1">1</definedName>
    <definedName name="HTML28_12" hidden="1">"C:\My Documents\98년\영업현황\월별현황(2월 마감분).htm"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29_1" hidden="1">"[수주통합관리98_3_2.xls]보고양식!$A$31:$K$88"</definedName>
    <definedName name="HTML29_10" hidden="1">""</definedName>
    <definedName name="HTML29_11" hidden="1">1</definedName>
    <definedName name="HTML29_12" hidden="1">"C:\My Documents\98년\영업현황\2월 수주현황(2월 마감분).htm"</definedName>
    <definedName name="HTML29_2" hidden="1">1</definedName>
    <definedName name="HTML29_3" hidden="1">""</definedName>
    <definedName name="HTML29_4" hidden="1">""</definedName>
    <definedName name="HTML29_5" hidden="1">""</definedName>
    <definedName name="HTML29_6" hidden="1">-4146</definedName>
    <definedName name="HTML29_7" hidden="1">-4146</definedName>
    <definedName name="HTML29_8" hidden="1">""</definedName>
    <definedName name="HTML29_9" hidden="1">""</definedName>
    <definedName name="HTML3_1" hidden="1">"[수주관리98.xls]일일현황!$A$1:$N$9"</definedName>
    <definedName name="HTML3_10" hidden="1">""</definedName>
    <definedName name="HTML3_11" hidden="1">1</definedName>
    <definedName name="HTML3_12" hidden="1">"C:\My Documents\98년\영업현황\일일현황-98.1.23.htm"</definedName>
    <definedName name="HTML3_2" hidden="1">1</definedName>
    <definedName name="HTML3_3" hidden="1">""</definedName>
    <definedName name="HTML3_4" hidden="1">""</definedName>
    <definedName name="HTML3_5" hidden="1">""</definedName>
    <definedName name="HTML3_6" hidden="1">1</definedName>
    <definedName name="HTML3_7" hidden="1">1</definedName>
    <definedName name="HTML3_8" hidden="1">""</definedName>
    <definedName name="HTML3_9" hidden="1">""</definedName>
    <definedName name="HTML30_1" hidden="1">"'[사본 - 영업통합관리(수주.매출).xls]보고양식'!$A$114:$K$131"</definedName>
    <definedName name="HTML30_10" hidden="1">""</definedName>
    <definedName name="HTML30_11" hidden="1">1</definedName>
    <definedName name="HTML30_12" hidden="1">"C:\My Documents\98년\영업현황\일일현황-98.3.12.htm"</definedName>
    <definedName name="HTML30_2" hidden="1">1</definedName>
    <definedName name="HTML30_3" hidden="1">""</definedName>
    <definedName name="HTML30_4" hidden="1">""</definedName>
    <definedName name="HTML30_5" hidden="1">""</definedName>
    <definedName name="HTML30_6" hidden="1">-4146</definedName>
    <definedName name="HTML30_7" hidden="1">-4146</definedName>
    <definedName name="HTML30_8" hidden="1">""</definedName>
    <definedName name="HTML30_9" hidden="1">""</definedName>
    <definedName name="HTML4_1" hidden="1">"[수주관리98.xls]영업!$A$1:$N$15"</definedName>
    <definedName name="HTML4_10" hidden="1">""</definedName>
    <definedName name="HTML4_11" hidden="1">1</definedName>
    <definedName name="HTML4_12" hidden="1">"C:\My Documents\98년\영업현황\일일현황-98.1.31.htm"</definedName>
    <definedName name="HTML4_2" hidden="1">1</definedName>
    <definedName name="HTML4_3" hidden="1">""</definedName>
    <definedName name="HTML4_4" hidden="1">""</definedName>
    <definedName name="HTML4_5" hidden="1">""</definedName>
    <definedName name="HTML4_6" hidden="1">1</definedName>
    <definedName name="HTML4_7" hidden="1">1</definedName>
    <definedName name="HTML4_8" hidden="1">"98-01-31"</definedName>
    <definedName name="HTML4_9" hidden="1">""</definedName>
    <definedName name="HTML5_1" hidden="1">"[수주관리98.xls]영업!$A$1:$N$29"</definedName>
    <definedName name="HTML5_10" hidden="1">""</definedName>
    <definedName name="HTML5_11" hidden="1">1</definedName>
    <definedName name="HTML5_12" hidden="1">"C:\My Documents\98년\영업현황\일일현황-98.1.31.v.htm"</definedName>
    <definedName name="HTML5_2" hidden="1">1</definedName>
    <definedName name="HTML5_3" hidden="1">""</definedName>
    <definedName name="HTML5_4" hidden="1">""</definedName>
    <definedName name="HTML5_5" hidden="1">""</definedName>
    <definedName name="HTML5_6" hidden="1">1</definedName>
    <definedName name="HTML5_7" hidden="1">1</definedName>
    <definedName name="HTML5_8" hidden="1">""</definedName>
    <definedName name="HTML5_9" hidden="1">""</definedName>
    <definedName name="HTML6_1" hidden="1">"'[수주관리98.xls]2월'!$A$1:$P$48"</definedName>
    <definedName name="HTML6_10" hidden="1">""</definedName>
    <definedName name="HTML6_11" hidden="1">1</definedName>
    <definedName name="HTML6_12" hidden="1">"C:\My Documents\98년\영업현황\일일현황-98.1.31.htm"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"'[수주관리98.xls]2월'!$A$3:$P$30"</definedName>
    <definedName name="HTML7_10" hidden="1">""</definedName>
    <definedName name="HTML7_11" hidden="1">1</definedName>
    <definedName name="HTML7_12" hidden="1">"C:\My Documents\98년\영업현황\일일현황-98.1.31.htm"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"'[수주관리98.xls]2월'!$A$1:$P$30"</definedName>
    <definedName name="HTML8_10" hidden="1">""</definedName>
    <definedName name="HTML8_11" hidden="1">1</definedName>
    <definedName name="HTML8_12" hidden="1">"C:\My Documents\98년\영업현황\일일현황-98.1.31.htm"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"'[수주관리98.xls]2월'!$A$1:$P$19"</definedName>
    <definedName name="HTML9_10" hidden="1">""</definedName>
    <definedName name="HTML9_11" hidden="1">1</definedName>
    <definedName name="HTML9_12" hidden="1">"C:\My Documents\98년\영업현황\일일현황-98.2.10.htm"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30</definedName>
    <definedName name="htr" hidden="1">#N/A</definedName>
    <definedName name="HUI" hidden="1">#N/A</definedName>
    <definedName name="HYLO"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ibv" hidden="1">#REF!</definedName>
    <definedName name="ii" hidden="1">{#N/A,#N/A,FALSE,"UNIT";#N/A,#N/A,FALSE,"UNIT";#N/A,#N/A,FALSE,"계정"}</definedName>
    <definedName name="iiiooo"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IJHY" hidden="1">#N/A</definedName>
    <definedName name="INT" hidden="1">{#N/A,#N/A,TRUE,"일정"}</definedName>
    <definedName name="interestoverall" hidden="1">{#N/A,#N/A,FALSE,"Aging Summary";#N/A,#N/A,FALSE,"Ratio Analysis";#N/A,#N/A,FALSE,"Test 120 Day Accts";#N/A,#N/A,FALSE,"Tickmarks"}</definedName>
    <definedName name="inv" hidden="1">#REF!</definedName>
    <definedName name="inwon" hidden="1">{#N/A,#N/A,FALSE,"UNIT";#N/A,#N/A,FALSE,"UNIT";#N/A,#N/A,FALSE,"계정"}</definedName>
    <definedName name="IS"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IT" hidden="1">{"'Sheet1'!$A$1:$H$36"}</definedName>
    <definedName name="IT수정" hidden="1">{"'Sheet1'!$A$1:$H$36"}</definedName>
    <definedName name="iuiu"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jf" hidden="1">#REF!</definedName>
    <definedName name="jfc" hidden="1">#REF!</definedName>
    <definedName name="jfhsoidjvciovjdsoi" hidden="1">{#N/A,#N/A,FALSE,"계약직(여)"}</definedName>
    <definedName name="jgfsjhgfsjhgfsdjhgfds" hidden="1">{#N/A,#N/A,TRUE,"일정"}</definedName>
    <definedName name="jghjg"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JGR" hidden="1">#REF!</definedName>
    <definedName name="jh" hidden="1">{#N/A,#N/A,FALSE,"98소지이동TOTvs99.1 (2)";#N/A,#N/A,FALSE,"TOTAL";#N/A,#N/A,FALSE,"98소지이동TOTvs99.1(b) (2)"}</definedName>
    <definedName name="jhbjkhkj" hidden="1">{#N/A,#N/A,TRUE,"Summary";#N/A,#N/A,TRUE,"IS";#N/A,#N/A,TRUE,"Adj";#N/A,#N/A,TRUE,"BS";#N/A,#N/A,TRUE,"CF";#N/A,#N/A,TRUE,"Debt";#N/A,#N/A,TRUE,"IRR"}</definedName>
    <definedName name="jhkh"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JJJJ" hidden="1">#N/A</definedName>
    <definedName name="jkljlkjl" hidden="1">{#N/A,#N/A,FALSE,"UNIT";#N/A,#N/A,FALSE,"UNIT";#N/A,#N/A,FALSE,"계정"}</definedName>
    <definedName name="JUU" hidden="1">#N/A</definedName>
    <definedName name="jyj" hidden="1">{#N/A,#N/A,FALSE,"Yield";#N/A,#N/A,FALSE,"Loss1";#N/A,#N/A,FALSE,"Loss2";#N/A,#N/A,FALSE,"Hour-Labor(배분)";#N/A,#N/A,FALSE,"Capital Expenditure";#N/A,#N/A,FALSE,"Productivity"}</definedName>
    <definedName name="jyjy" hidden="1">{#N/A,#N/A,FALSE,"Yield";#N/A,#N/A,FALSE,"Loss1";#N/A,#N/A,FALSE,"Loss2";#N/A,#N/A,FALSE,"Hour-Labor(배분)";#N/A,#N/A,FALSE,"Capital Expenditure";#N/A,#N/A,FALSE,"Productivity"}</definedName>
    <definedName name="k" hidden="1">{"'5국공정'!$A$1:$E$128"}</definedName>
    <definedName name="KC" hidden="1">{#N/A,#N/A,FALSE,"을지 (4)";#N/A,#N/A,FALSE,"을지 (5)";#N/A,#N/A,FALSE,"을지 (6)"}</definedName>
    <definedName name="kcsq"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KDCSS"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key" hidden="1">#REF!</definedName>
    <definedName name="khjgy" hidden="1">#REF!</definedName>
    <definedName name="KIECO" hidden="1">#REF!</definedName>
    <definedName name="KK" localSheetId="8">#REF!</definedName>
    <definedName name="KK"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KKKD" hidden="1">{#N/A,#N/A,FALSE,"Yield";#N/A,#N/A,FALSE,"Loss1";#N/A,#N/A,FALSE,"Loss2";#N/A,#N/A,FALSE,"Hour-Labor(배분)";#N/A,#N/A,FALSE,"Capital Expenditure";#N/A,#N/A,FALSE,"Productivity"}</definedName>
    <definedName name="kkkk" hidden="1">{#N/A,"수불부",FALSE,"사급자재수불서";#N/A,"수불부",FALSE,"사급자재수불서"}</definedName>
    <definedName name="kkkkk"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KN" hidden="1">{#N/A,#N/A,FALSE,"을지 (4)";#N/A,#N/A,FALSE,"을지 (5)";#N/A,#N/A,FALSE,"을지 (6)"}</definedName>
    <definedName name="ksksks" hidden="1">#REF!</definedName>
    <definedName name="kuyu" hidden="1">#REF!</definedName>
    <definedName name="kyf" hidden="1">#REF!</definedName>
    <definedName name="l" hidden="1">{#N/A,#N/A,FALSE,"Aging Summary";#N/A,#N/A,FALSE,"Ratio Analysis";#N/A,#N/A,FALSE,"Test 120 Day Accts";#N/A,#N/A,FALSE,"Tickmarks"}</definedName>
    <definedName name="LHSDHSD" hidden="1">{#N/A,#N/A,TRUE,"일정"}</definedName>
    <definedName name="LINE검토2" hidden="1">{#N/A,#N/A,TRUE,"Y생산";#N/A,#N/A,TRUE,"Y판매";#N/A,#N/A,TRUE,"Y총물량";#N/A,#N/A,TRUE,"Y능력";#N/A,#N/A,TRUE,"YKD"}</definedName>
    <definedName name="ljkl"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LKJ" hidden="1">{#N/A,#N/A,FALSE,"을지 (4)";#N/A,#N/A,FALSE,"을지 (5)";#N/A,#N/A,FALSE,"을지 (6)"}</definedName>
    <definedName name="ll" hidden="1">#N/A</definedName>
    <definedName name="llll" hidden="1">#REF!</definedName>
    <definedName name="loan" hidden="1">{#N/A,#N/A,FALSE,"98소지이동TOTvs99.1 (2)";#N/A,#N/A,FALSE,"TOTAL";#N/A,#N/A,FALSE,"98소지이동TOTvs99.1(b) (2)"}</definedName>
    <definedName name="Loss1" hidden="1">{#N/A,#N/A,FALSE,"98소지이동TOTvs99.1 (2)";#N/A,#N/A,FALSE,"TOTAL";#N/A,#N/A,FALSE,"98소지이동TOTvs99.1(b) (2)"}</definedName>
    <definedName name="MASTER" hidden="1">{#N/A,#N/A,TRUE,"일정"}</definedName>
    <definedName name="MerrillPrintIt" localSheetId="11" hidden="1">#REF!</definedName>
    <definedName name="MerrillPrintIt" hidden="1">#REF!</definedName>
    <definedName name="MG" hidden="1">#REF!</definedName>
    <definedName name="mhay" hidden="1">#REF!</definedName>
    <definedName name="mjyu" hidden="1">#REF!</definedName>
    <definedName name="ML4.0" hidden="1">{#N/A,#N/A,FALSE,"98소지이동TOTvs99.1 (2)";#N/A,#N/A,FALSE,"TOTAL";#N/A,#N/A,FALSE,"98소지이동TOTvs99.1(b) (2)"}</definedName>
    <definedName name="ML5.5" hidden="1">{#N/A,#N/A,FALSE,"98소지이동TOTvs99.1 (2)";#N/A,#N/A,FALSE,"TOTAL";#N/A,#N/A,FALSE,"98소지이동TOTvs99.1(b) (2)"}</definedName>
    <definedName name="ML6.0" hidden="1">{#N/A,#N/A,FALSE,"군산원가";#N/A,#N/A,FALSE,"팀별월별";#N/A,#N/A,FALSE,"타공정대체";#N/A,#N/A,FALSE,"기타경비";#N/A,#N/A,FALSE,"원료";#N/A,#N/A,FALSE,"연료"}</definedName>
    <definedName name="ML6.00" hidden="1">{#N/A,#N/A,FALSE,"Yield";#N/A,#N/A,FALSE,"Loss1";#N/A,#N/A,FALSE,"Loss2";#N/A,#N/A,FALSE,"Hour-Labor(배분)";#N/A,#N/A,FALSE,"Capital Expenditure";#N/A,#N/A,FALSE,"Productivity"}</definedName>
    <definedName name="ML7.00" hidden="1">{#N/A,#N/A,FALSE,"Yield";#N/A,#N/A,FALSE,"Loss1";#N/A,#N/A,FALSE,"Loss2";#N/A,#N/A,FALSE,"Hour-Labor(배분)";#N/A,#N/A,FALSE,"Capital Expenditure";#N/A,#N/A,FALSE,"Productivity"}</definedName>
    <definedName name="ML8.0" hidden="1">{#N/A,#N/A,FALSE,"군산원가";#N/A,#N/A,FALSE,"팀별월별";#N/A,#N/A,FALSE,"타공정대체";#N/A,#N/A,FALSE,"기타경비";#N/A,#N/A,FALSE,"원료";#N/A,#N/A,FALSE,"연료"}</definedName>
    <definedName name="MO" hidden="1">#REF!</definedName>
    <definedName name="modify" hidden="1">{"'Sheet1'!$A$1:$H$36"}</definedName>
    <definedName name="moh" hidden="1">{#N/A,#N/A,FALSE,"98소지이동TOTvs99.1 (2)";#N/A,#N/A,FALSE,"TOTAL";#N/A,#N/A,FALSE,"98소지이동TOTvs99.1(b) (2)"}</definedName>
    <definedName name="MYJ" hidden="1">{#N/A,#N/A,FALSE,"UNIT";#N/A,#N/A,FALSE,"UNIT";#N/A,#N/A,FALSE,"계정"}</definedName>
    <definedName name="N">#REF!</definedName>
    <definedName name="NewRange" localSheetId="11" hidden="1">#REF!</definedName>
    <definedName name="NewRange" hidden="1">#REF!</definedName>
    <definedName name="nlbu" hidden="1">{#N/A,#N/A,FALSE,"Yield";#N/A,#N/A,FALSE,"Loss1";#N/A,#N/A,FALSE,"Loss2";#N/A,#N/A,FALSE,"Hour-Labor(배분)";#N/A,#N/A,FALSE,"Capital Expenditure";#N/A,#N/A,FALSE,"Productivity"}</definedName>
    <definedName name="nnn" hidden="1">{#N/A,#N/A,TRUE,"양식5";#N/A,#N/A,TRUE,"양식1_2_2";#N/A,#N/A,TRUE,"양식1_1_2";#N/A,#N/A,TRUE,"양식2";#N/A,#N/A,TRUE,"양식4";#N/A,#N/A,TRUE,"양식3";#N/A,#N/A,TRUE,"양식6";#N/A,#N/A,TRUE,"양식7";#N/A,#N/A,TRUE,"양식10";#N/A,#N/A,TRUE,"양식11";#N/A,#N/A,TRUE,"양식12";#N/A,#N/A,TRUE,"양식13_1_2";#N/A,#N/A,TRUE,"양식13_2_2";#N/A,#N/A,TRUE,"양식14"}</definedName>
    <definedName name="nnnk"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O">#REF!</definedName>
    <definedName name="ocf" hidden="1">#REF!</definedName>
    <definedName name="ohh" hidden="1">#REF!</definedName>
    <definedName name="oo" hidden="1">#REF!</definedName>
    <definedName name="ooop" hidden="1">{"'매출'!$A$1:$I$22"}</definedName>
    <definedName name="op" hidden="1">#REF!</definedName>
    <definedName name="Order" hidden="1">0</definedName>
    <definedName name="OrderTable" hidden="1">#REF!</definedName>
    <definedName name="ownership" hidden="1">{#N/A,#N/A,TRUE,"Summary";#N/A,#N/A,TRUE,"IS";#N/A,#N/A,TRUE,"Adj";#N/A,#N/A,TRUE,"BS";#N/A,#N/A,TRUE,"CF";#N/A,#N/A,TRUE,"Debt";#N/A,#N/A,TRUE,"IRR"}</definedName>
    <definedName name="P">#N/A</definedName>
    <definedName name="pay" hidden="1">#REF!</definedName>
    <definedName name="payment1" hidden="1">#REF!</definedName>
    <definedName name="pe"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PHASE4" hidden="1">{#N/A,#N/A,FALSE,"삼진정공";#N/A,#N/A,FALSE,"영신금속";#N/A,#N/A,FALSE,"태양금속";#N/A,#N/A,FALSE,"진합정공";#N/A,#N/A,FALSE,"코리아";#N/A,#N/A,FALSE,"풍강금속";#N/A,#N/A,FALSE,"선일기계"}</definedName>
    <definedName name="PHOTO" hidden="1">#REF!</definedName>
    <definedName name="PH단계별" hidden="1">{#N/A,#N/A,TRUE,"일정"}</definedName>
    <definedName name="PJT비용_B" hidden="1">{#N/A,#N/A,FALSE,"교재수정"}</definedName>
    <definedName name="POR1C1R53C43RTRT">#REF!</definedName>
    <definedName name="PPK" hidden="1">{#N/A,#N/A,FALSE,"96 3월물량표";#N/A,#N/A,FALSE,"96 4월물량표";#N/A,#N/A,FALSE,"96 5월물량표"}</definedName>
    <definedName name="_xlnm.Print_Area" localSheetId="16">'지점별 손익'!$B$1:$J$54</definedName>
    <definedName name="_xlnm.Print_Area">#REF!</definedName>
    <definedName name="PRINT_AREA_MI">#N/A</definedName>
    <definedName name="_xlnm.Print_Titles">#REF!</definedName>
    <definedName name="Print_Titles_MI">#REF!</definedName>
    <definedName name="ProdForm" hidden="1">#REF!</definedName>
    <definedName name="Product" hidden="1">#REF!</definedName>
    <definedName name="Project_Name">#REF!</definedName>
    <definedName name="PROPOSED"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prueba" hidden="1">#REF!</definedName>
    <definedName name="PY_Accounts_Receivable">#REF!</definedName>
    <definedName name="PY_Current_Liabilities">#REF!</definedName>
    <definedName name="PY_Gross_Profit">#REF!</definedName>
    <definedName name="PY_Interest_Expense">#REF!</definedName>
    <definedName name="PY_Inventory">#REF!</definedName>
    <definedName name="PY_NET_PROFIT">#REF!</definedName>
    <definedName name="PY_Net_Revenue">#REF!</definedName>
    <definedName name="PY_Operating_Income">#REF!</definedName>
    <definedName name="PY_QUICK_ASSETS">#REF!</definedName>
    <definedName name="PY_Tangible_Assets">#REF!</definedName>
    <definedName name="PY_TOTAL_ASSETS">#REF!</definedName>
    <definedName name="PY_TOTAL_CURR_ASSETS">#REF!</definedName>
    <definedName name="PY_TOTAL_DEBT">#REF!</definedName>
    <definedName name="PY_TOTAL_EQUITY">#REF!</definedName>
    <definedName name="PY_경상이익">#REF!</definedName>
    <definedName name="PY_단기차입금">#REF!</definedName>
    <definedName name="PY_매입채무">#REF!</definedName>
    <definedName name="PY_사채">#REF!</definedName>
    <definedName name="PY_유동성장기부채">#REF!</definedName>
    <definedName name="PY_장기차입금">#REF!</definedName>
    <definedName name="PY2_Accounts_Receivable">#REF!</definedName>
    <definedName name="PY2_Current_Liabilities">#REF!</definedName>
    <definedName name="PY2_Gross_Profit">#REF!</definedName>
    <definedName name="PY2_Interest_Expense">#REF!</definedName>
    <definedName name="PY2_Inventory">#REF!</definedName>
    <definedName name="PY2_NET_PROFIT">#REF!</definedName>
    <definedName name="PY2_Net_Revenue">#REF!</definedName>
    <definedName name="PY2_Operating_Income">#REF!</definedName>
    <definedName name="PY2_QUICK_ASSETS">#REF!</definedName>
    <definedName name="PY2_Tangible_Assets">#REF!</definedName>
    <definedName name="PY2_TOTAL_ASSETS">#REF!</definedName>
    <definedName name="PY2_TOTAL_CURR_ASSETS">#REF!</definedName>
    <definedName name="PY2_TOTAL_DEBT">#REF!</definedName>
    <definedName name="PY2_TOTAL_EQUITY">#REF!</definedName>
    <definedName name="PY2_경상이익">#REF!</definedName>
    <definedName name="PY2_단기차입금">#REF!</definedName>
    <definedName name="PY2_매입채무">#REF!</definedName>
    <definedName name="PY2_사채">#REF!</definedName>
    <definedName name="PY2_유동성장기부채">#REF!</definedName>
    <definedName name="PY2_장기차입금">#REF!</definedName>
    <definedName name="QAW" hidden="1">{#N/A,#N/A,FALSE,"을지 (4)";#N/A,#N/A,FALSE,"을지 (5)";#N/A,#N/A,FALSE,"을지 (6)"}</definedName>
    <definedName name="QE" hidden="1">{#N/A,#N/A,FALSE,"초도품";#N/A,#N/A,FALSE,"초도품 (2)";#N/A,#N/A,FALSE,"초도품 (3)";#N/A,#N/A,FALSE,"초도품 (4)";#N/A,#N/A,FALSE,"초도품 (5)";#N/A,#N/A,FALSE,"초도품 (6)"}</definedName>
    <definedName name="QNQNNQ" hidden="1">{#N/A,#N/A,FALSE,"Yield";#N/A,#N/A,FALSE,"Loss1";#N/A,#N/A,FALSE,"Loss2";#N/A,#N/A,FALSE,"Hour-Labor(배분)";#N/A,#N/A,FALSE,"Capital Expenditure";#N/A,#N/A,FALSE,"Productivity"}</definedName>
    <definedName name="qq" hidden="1">{#N/A,#N/A,FALSE,"정공"}</definedName>
    <definedName name="qqq" hidden="1">{#N/A,#N/A,FALSE,"BS";#N/A,#N/A,FALSE,"PL";#N/A,#N/A,FALSE,"처분";#N/A,#N/A,FALSE,"현금";#N/A,#N/A,FALSE,"매출";#N/A,#N/A,FALSE,"원가";#N/A,#N/A,FALSE,"경영"}</definedName>
    <definedName name="QQQQQ" hidden="1">{#N/A,#N/A,FALSE,"UNIT";#N/A,#N/A,FALSE,"UNIT";#N/A,#N/A,FALSE,"계정"}</definedName>
    <definedName name="qqqqqq"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qqqqqqqq" hidden="1">{#N/A,#N/A,FALSE,"인원";#N/A,#N/A,FALSE,"비용2";#N/A,#N/A,FALSE,"비용1";#N/A,#N/A,FALSE,"비용";#N/A,#N/A,FALSE,"보증2";#N/A,#N/A,FALSE,"보증1";#N/A,#N/A,FALSE,"보증";#N/A,#N/A,FALSE,"손익1";#N/A,#N/A,FALSE,"손익";#N/A,#N/A,FALSE,"부서별매출";#N/A,#N/A,FALSE,"매출"}</definedName>
    <definedName name="qqqqqqqqq" hidden="1">{#N/A,#N/A,FALSE,"인원";#N/A,#N/A,FALSE,"비용2";#N/A,#N/A,FALSE,"비용1";#N/A,#N/A,FALSE,"비용";#N/A,#N/A,FALSE,"보증2";#N/A,#N/A,FALSE,"보증1";#N/A,#N/A,FALSE,"보증";#N/A,#N/A,FALSE,"손익1";#N/A,#N/A,FALSE,"손익";#N/A,#N/A,FALSE,"부서별매출";#N/A,#N/A,FALSE,"매출"}</definedName>
    <definedName name="qqqqqqqqqqq" hidden="1">{#N/A,#N/A,FALSE,"인원";#N/A,#N/A,FALSE,"비용2";#N/A,#N/A,FALSE,"비용1";#N/A,#N/A,FALSE,"비용";#N/A,#N/A,FALSE,"보증2";#N/A,#N/A,FALSE,"보증1";#N/A,#N/A,FALSE,"보증";#N/A,#N/A,FALSE,"손익1";#N/A,#N/A,FALSE,"손익";#N/A,#N/A,FALSE,"부서별매출";#N/A,#N/A,FALSE,"매출"}</definedName>
    <definedName name="QSS" hidden="1">{#N/A,#N/A,FALSE,"을지 (4)";#N/A,#N/A,FALSE,"을지 (5)";#N/A,#N/A,FALSE,"을지 (6)"}</definedName>
    <definedName name="Qt" hidden="1">{"YTD/Forecast",#N/A,TRUE,"Fcst_TPLN";"Monthly Averages",#N/A,TRUE,"Fcst_TPLN"}</definedName>
    <definedName name="QW" hidden="1">{#N/A,#N/A,FALSE,"을지 (4)";#N/A,#N/A,FALSE,"을지 (5)";#N/A,#N/A,FALSE,"을지 (6)"}</definedName>
    <definedName name="QWA" hidden="1">{#N/A,#N/A,FALSE,"을지 (4)";#N/A,#N/A,FALSE,"을지 (5)";#N/A,#N/A,FALSE,"을지 (6)"}</definedName>
    <definedName name="QWE" hidden="1">{#N/A,#N/A,FALSE,"을지 (4)";#N/A,#N/A,FALSE,"을지 (5)";#N/A,#N/A,FALSE,"을지 (6)"}</definedName>
    <definedName name="qww" hidden="1">{#N/A,#N/A,FALSE,"교재수정"}</definedName>
    <definedName name="R_COVER" hidden="1">{#N/A,#N/A,FALSE,"단축1";#N/A,#N/A,FALSE,"단축2";#N/A,#N/A,FALSE,"단축3";#N/A,#N/A,FALSE,"장축";#N/A,#N/A,FALSE,"4WD"}</definedName>
    <definedName name="RCArea" hidden="1">#REF!</definedName>
    <definedName name="RE" hidden="1">{#N/A,#N/A,FALSE,"초도품";#N/A,#N/A,FALSE,"초도품 (2)";#N/A,#N/A,FALSE,"초도품 (3)";#N/A,#N/A,FALSE,"초도품 (4)";#N/A,#N/A,FALSE,"초도품 (5)";#N/A,#N/A,FALSE,"초도품 (6)"}</definedName>
    <definedName name="RedefinePrintTableRange" localSheetId="11" hidden="1">#REF!</definedName>
    <definedName name="RedefinePrintTableRange" hidden="1">#REF!</definedName>
    <definedName name="reee" hidden="1">#REF!</definedName>
    <definedName name="ReportCreated">TRUE</definedName>
    <definedName name="rews" hidden="1">#N/A</definedName>
    <definedName name="RISK내용" hidden="1">{#N/A,#N/A,FALSE,"UNIT";#N/A,#N/A,FALSE,"UNIT";#N/A,#N/A,FALSE,"계정"}</definedName>
    <definedName name="rk" hidden="1">{#N/A,#N/A,FALSE,"BS";#N/A,#N/A,FALSE,"PL";#N/A,#N/A,FALSE,"처분";#N/A,#N/A,FALSE,"현금";#N/A,#N/A,FALSE,"매출";#N/A,#N/A,FALSE,"원가";#N/A,#N/A,FALSE,"경영"}</definedName>
    <definedName name="RKRKR" hidden="1">{#N/A,#N/A,FALSE,"초도품";#N/A,#N/A,FALSE,"초도품 (2)";#N/A,#N/A,FALSE,"초도품 (3)";#N/A,#N/A,FALSE,"초도품 (4)";#N/A,#N/A,FALSE,"초도품 (5)";#N/A,#N/A,FALSE,"초도품 (6)"}</definedName>
    <definedName name="RLDJE"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rldje1"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RLTNF" hidden="1">{#N/A,#N/A,FALSE,"Yield";#N/A,#N/A,FALSE,"Loss1";#N/A,#N/A,FALSE,"Loss2";#N/A,#N/A,FALSE,"Hour-Labor(배분)";#N/A,#N/A,FALSE,"Capital Expenditure";#N/A,#N/A,FALSE,"Productivity"}</definedName>
    <definedName name="rPghlr" hidden="1">{#N/A,#N/A,FALSE,"기술료 비교"}</definedName>
    <definedName name="RR.BRAKE" hidden="1">{#N/A,#N/A,FALSE,"단축1";#N/A,#N/A,FALSE,"단축2";#N/A,#N/A,FALSE,"단축3";#N/A,#N/A,FALSE,"장축";#N/A,#N/A,FALSE,"4WD"}</definedName>
    <definedName name="RR.BRK" hidden="1">{#N/A,#N/A,FALSE,"단축1";#N/A,#N/A,FALSE,"단축2";#N/A,#N/A,FALSE,"단축3";#N/A,#N/A,FALSE,"장축";#N/A,#N/A,FALSE,"4WD"}</definedName>
    <definedName name="RRR" hidden="1">#REF!</definedName>
    <definedName name="rrrw"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rturur"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 hidden="1">{#N/A,#N/A,FALSE,"BS";#N/A,#N/A,FALSE,"PL";#N/A,#N/A,FALSE,"처분";#N/A,#N/A,FALSE,"현금";#N/A,#N/A,FALSE,"매출";#N/A,#N/A,FALSE,"원가";#N/A,#N/A,FALSE,"경영"}</definedName>
    <definedName name="sadadsa" hidden="1">{#N/A,#N/A,FALSE,"Yield";#N/A,#N/A,FALSE,"Loss1";#N/A,#N/A,FALSE,"Loss2";#N/A,#N/A,FALSE,"Hour-Labor(배분)";#N/A,#N/A,FALSE,"Capital Expenditure";#N/A,#N/A,FALSE,"Productivity"}</definedName>
    <definedName name="sadas" hidden="1">{#N/A,#N/A,FALSE,"98소지이동TOTvs99.1 (2)";#N/A,#N/A,FALSE,"TOTAL";#N/A,#N/A,FALSE,"98소지이동TOTvs99.1(b) (2)"}</definedName>
    <definedName name="sales12" hidden="1">#REF!</definedName>
    <definedName name="sales3" hidden="1">#REF!</definedName>
    <definedName name="sales4" hidden="1">#REF!</definedName>
    <definedName name="sales5" hidden="1">#REF!</definedName>
    <definedName name="sales9" hidden="1">#REF!</definedName>
    <definedName name="SAPBEXdnldView" hidden="1">"0F5S3HX9SYKSM6JWXAENKRVXZ"</definedName>
    <definedName name="SAPBEXrevision" hidden="1">1</definedName>
    <definedName name="SAPBEXsysID" hidden="1">"BWP"</definedName>
    <definedName name="SAPBEXwbID" hidden="1">"42EOBBR0ESV7SIVXR0TWAHCYG"</definedName>
    <definedName name="sd" hidden="1">#REF!</definedName>
    <definedName name="sdadasasdas"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sdf" hidden="1">#N/A</definedName>
    <definedName name="SDFGS"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DGF" hidden="1">#N/A</definedName>
    <definedName name="sdsgrth"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sdvs"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EJINBS" hidden="1">{#N/A,#N/A,FALSE,"정공"}</definedName>
    <definedName name="sert" hidden="1">{#N/A,#N/A,FALSE,"PHOTO5";#N/A,#N/A,FALSE,"ETCH5";#N/A,#N/A,FALSE,"DIFF5";#N/A,#N/A,FALSE,"CVD5";#N/A,#N/A,FALSE,"I5";#N/A,#N/A,FALSE,"METAL5";#N/A,#N/A,FALSE,"PHOTO6";#N/A,#N/A,FALSE,"ETCH6";#N/A,#N/A,FALSE,"DIFF6";#N/A,#N/A,FALSE,"CVD6";#N/A,#N/A,FALSE,"I6";#N/A,#N/A,FALSE,"METAL6"}</definedName>
    <definedName name="sfdfdfd"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SFDG"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FSF" hidden="1">{#N/A,#N/A,TRUE,"일정"}</definedName>
    <definedName name="sheet" hidden="1">{#N/A,#N/A,FALSE,"UNIT";#N/A,#N/A,FALSE,"UNIT";#N/A,#N/A,FALSE,"계정"}</definedName>
    <definedName name="SIW" hidden="1">#REF!</definedName>
    <definedName name="SK" hidden="1">#REF!</definedName>
    <definedName name="skkdk" hidden="1">#REF!</definedName>
    <definedName name="SpecialPrice" hidden="1">#REF!</definedName>
    <definedName name="SP야근10월" hidden="1">{"YTD/Forecast",#N/A,TRUE,"Fcst_TPLN";"Monthly Averages",#N/A,TRUE,"Fcst_TPLN"}</definedName>
    <definedName name="SSD" hidden="1">{#N/A,#N/A,FALSE,"을지 (4)";#N/A,#N/A,FALSE,"을지 (5)";#N/A,#N/A,FALSE,"을지 (6)"}</definedName>
    <definedName name="SSS" hidden="1">#REF!</definedName>
    <definedName name="SSSEE"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SSSSSS" hidden="1">{#N/A,#N/A,FALSE,"98소지이동TOTvs99.1 (2)";#N/A,#N/A,FALSE,"TOTAL";#N/A,#N/A,FALSE,"98소지이동TOTvs99.1(b) (2)"}</definedName>
    <definedName name="Start" hidden="1">{#N/A,#N/A,TRUE,"일정"}</definedName>
    <definedName name="Status_AMAT" hidden="1">#N/A</definedName>
    <definedName name="Stocks" hidden="1">{#N/A,#N/A,FALSE,"Aging Summary";#N/A,#N/A,FALSE,"Ratio Analysis";#N/A,#N/A,FALSE,"Test 120 Day Accts";#N/A,#N/A,FALSE,"Tickmarks"}</definedName>
    <definedName name="SUK" hidden="1">#REF!</definedName>
    <definedName name="SUKHEE" hidden="1">#REF!</definedName>
    <definedName name="T" hidden="1">#REF!</definedName>
    <definedName name="TB" hidden="1">#REF!</definedName>
    <definedName name="tbl_ProdInfo" hidden="1">#REF!</definedName>
    <definedName name="teww" hidden="1">#N/A</definedName>
    <definedName name="TextRefCopyRangeCount" hidden="1">1</definedName>
    <definedName name="TF" hidden="1">#REF!</definedName>
    <definedName name="tffff"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tftft"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tggf" hidden="1">#N/A</definedName>
    <definedName name="THEME2" hidden="1">{#N/A,#N/A,FALSE,"96 3월물량표";#N/A,#N/A,FALSE,"96 4월물량표";#N/A,#N/A,FALSE,"96 5월물량표"}</definedName>
    <definedName name="TORSION" hidden="1">{#N/A,#N/A,FALSE,"단축1";#N/A,#N/A,FALSE,"단축2";#N/A,#N/A,FALSE,"단축3";#N/A,#N/A,FALSE,"장축";#N/A,#N/A,FALSE,"4WD"}</definedName>
    <definedName name="trg" hidden="1">#REF!</definedName>
    <definedName name="TT" hidden="1">{#N/A,#N/A,FALSE,"UNIT";#N/A,#N/A,FALSE,"UNIT";#N/A,#N/A,FALSE,"계정"}</definedName>
    <definedName name="tthh" hidden="1">#N/A</definedName>
    <definedName name="ttp" hidden="1">{#N/A,#N/A,FALSE,"Yield";#N/A,#N/A,FALSE,"Loss1";#N/A,#N/A,FALSE,"Loss2";#N/A,#N/A,FALSE,"Hour-Labor(배분)";#N/A,#N/A,FALSE,"Capital Expenditure";#N/A,#N/A,FALSE,"Productivity"}</definedName>
    <definedName name="ttt" localSheetId="8">#REF!</definedName>
    <definedName name="TTT" hidden="1">{"'Sheet1'!$A$1:$H$36"}</definedName>
    <definedName name="tttq"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ui" hidden="1">#REF!</definedName>
    <definedName name="uuu"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uuui"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uuuu"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v" hidden="1">{#N/A,#N/A,FALSE,"BS";#N/A,#N/A,FALSE,"PL";#N/A,#N/A,FALSE,"처분";#N/A,#N/A,FALSE,"현금";#N/A,#N/A,FALSE,"매출";#N/A,#N/A,FALSE,"원가";#N/A,#N/A,FALSE,"경영"}</definedName>
    <definedName name="vbnvbnv"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vcc"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VDSAG" hidden="1">{#N/A,#N/A,TRUE,"일정"}</definedName>
    <definedName name="vision2" hidden="1">{#N/A,#N/A,FALSE,"손익표지";#N/A,#N/A,FALSE,"손익계산";#N/A,#N/A,FALSE,"일반관리비";#N/A,#N/A,FALSE,"영업외수익";#N/A,#N/A,FALSE,"영업외비용";#N/A,#N/A,FALSE,"매출액";#N/A,#N/A,FALSE,"요약손익";#N/A,#N/A,FALSE,"요약대차";#N/A,#N/A,FALSE,"매출채권현황";#N/A,#N/A,FALSE,"매출채권명세"}</definedName>
    <definedName name="vvv"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w" hidden="1">{#N/A,#N/A,FALSE,"BS";#N/A,#N/A,FALSE,"PL";#N/A,#N/A,FALSE,"처분";#N/A,#N/A,FALSE,"현금";#N/A,#N/A,FALSE,"매출";#N/A,#N/A,FALSE,"원가";#N/A,#N/A,FALSE,"경영"}</definedName>
    <definedName name="WA" hidden="1">{#N/A,#N/A,FALSE,"초도품";#N/A,#N/A,FALSE,"초도품 (2)";#N/A,#N/A,FALSE,"초도품 (3)";#N/A,#N/A,FALSE,"초도품 (4)";#N/A,#N/A,FALSE,"초도품 (5)";#N/A,#N/A,FALSE,"초도품 (6)"}</definedName>
    <definedName name="WACC">#REF!</definedName>
    <definedName name="wdd" hidden="1">{#N/A,#N/A,FALSE,"UNIT";#N/A,#N/A,FALSE,"UNIT";#N/A,#N/A,FALSE,"계정"}</definedName>
    <definedName name="weee"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wefd" hidden="1">#REF!</definedName>
    <definedName name="wew" hidden="1">#REF!</definedName>
    <definedName name="wjd" hidden="1">{#N/A,#N/A,FALSE,"BS";#N/A,#N/A,FALSE,"PL";#N/A,#N/A,FALSE,"처분";#N/A,#N/A,FALSE,"현금";#N/A,#N/A,FALSE,"매출";#N/A,#N/A,FALSE,"원가";#N/A,#N/A,FALSE,"경영"}</definedName>
    <definedName name="WJRCL" hidden="1">{#N/A,#N/A,FALSE,"군산원가";#N/A,#N/A,FALSE,"팀별월별";#N/A,#N/A,FALSE,"타공정대체";#N/A,#N/A,FALSE,"기타경비";#N/A,#N/A,FALSE,"원료";#N/A,#N/A,FALSE,"연료"}</definedName>
    <definedName name="wkgk" hidden="1">{#N/A,#N/A,FALSE,"BS";#N/A,#N/A,FALSE,"PL";#N/A,#N/A,FALSE,"처분";#N/A,#N/A,FALSE,"현금";#N/A,#N/A,FALSE,"매출";#N/A,#N/A,FALSE,"원가";#N/A,#N/A,FALSE,"경영"}</definedName>
    <definedName name="WKIWOR" hidden="1">{#N/A,#N/A,FALSE,"삼진정공";#N/A,#N/A,FALSE,"영신금속";#N/A,#N/A,FALSE,"태양금속";#N/A,#N/A,FALSE,"진합정공";#N/A,#N/A,FALSE,"코리아";#N/A,#N/A,FALSE,"풍강금속";#N/A,#N/A,FALSE,"선일기계"}</definedName>
    <definedName name="WPL" hidden="1">{#N/A,#N/A,FALSE,"BS";#N/A,#N/A,FALSE,"PL";#N/A,#N/A,FALSE,"처분";#N/A,#N/A,FALSE,"현금";#N/A,#N/A,FALSE,"매출";#N/A,#N/A,FALSE,"원가";#N/A,#N/A,FALSE,"경영"}</definedName>
    <definedName name="WQ" hidden="1">{#N/A,#N/A,FALSE,"을지 (4)";#N/A,#N/A,FALSE,"을지 (5)";#N/A,#N/A,FALSE,"을지 (6)"}</definedName>
    <definedName name="WQQ"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rn.345." hidden="1">{#N/A,#N/A,FALSE,"96 3월물량표";#N/A,#N/A,FALSE,"96 4월물량표";#N/A,#N/A,FALSE,"96 5월물량표"}</definedName>
    <definedName name="wrn.5월사장단회의." hidden="1">{#N/A,#N/A,FALSE,"9905";#N/A,#N/A,FALSE,"5누적";#N/A,#N/A,FALSE,"99년trim (2)";#N/A,#N/A,FALSE,"Loss1(5)";#N/A,#N/A,FALSE,"Yield(5)";#N/A,#N/A,FALSE,"Sheet2"}</definedName>
    <definedName name="wrn.aa." hidden="1">{#N/A,#N/A,FALSE,"UNIT";#N/A,#N/A,FALSE,"UNIT";#N/A,#N/A,FALSE,"계정"}</definedName>
    <definedName name="wrn.ACHESON94TAXRETURN." hidden="1">{#N/A,#N/A,FALSE,"일반적사항";#N/A,#N/A,FALSE,"주요재무자료";#N/A,#N/A,FALSE,"표지";#N/A,#N/A,FALSE,"총괄표";#N/A,#N/A,FALSE,"1호 과표세액";#N/A,#N/A,FALSE,"1-2호 농어촌과표";#N/A,#N/A,FALSE,"2호 서식";#N/A,#N/A,FALSE,"3(1)호 공제감면";#N/A,#N/A,FALSE,"임시특별감면";#N/A,#N/A,FALSE,"3(1)부7 기업합리";#N/A,#N/A,FALSE,"3(3)호(갑) 원천납부";#N/A,#N/A,FALSE,"5호 농어촌";#N/A,#N/A,FALSE,"6호 소득금액";#N/A,#N/A,FALSE,"6호 첨부(익)";#N/A,#N/A,FALSE,"6호 첨부(손)";#N/A,#N/A,FALSE,"6-1호 수입금액";#N/A,#N/A,FALSE,"6-3호 퇴충";#N/A,#N/A,FALSE,"6-3(4)호 대손";#N/A,#N/A,FALSE,"6-4호 접대(갑)";#N/A,#N/A,FALSE,"6-4호 접대(을)";#N/A,#N/A,FALSE,"6-6호(부표) 자본적지출";#N/A,#N/A,FALSE,"6-10호 재고자산";#N/A,#N/A,FALSE,"6-11호 세금과공과";#N/A,#N/A,FALSE,"6-12호 선급비용";#N/A,#N/A,FALSE,"6-14호 부동산보유";#N/A,#N/A,FALSE,"9호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definedName>
    <definedName name="wrn.AFR200." hidden="1">{"AFR200_P1",#N/A,FALSE,"AFR200";"AFR200_P2",#N/A,FALSE,"AFR200";"AFR200_P3",#N/A,FALSE,"AFR200";"AFR200_P4",#N/A,FALSE,"AFR200";"AFR200_P5",#N/A,FALSE,"AFR200"}</definedName>
    <definedName name="wrn.Aging._.and._.Trend._.Analysis." hidden="1">{#N/A,#N/A,FALSE,"Aging Summary";#N/A,#N/A,FALSE,"Ratio Analysis";#N/A,#N/A,FALSE,"Test 120 Day Accts";#N/A,#N/A,FALSE,"Tickmarks"}</definedName>
    <definedName name="wrn.AU._.검사성적서." hidden="1">{#N/A,#N/A,FALSE,"을지 (4)";#N/A,#N/A,FALSE,"을지 (5)";#N/A,#N/A,FALSE,"을지 (6)"}</definedName>
    <definedName name="wrn.AU._.초도품._.보증서." hidden="1">{#N/A,#N/A,FALSE,"초도품";#N/A,#N/A,FALSE,"초도품 (2)";#N/A,#N/A,FALSE,"초도품 (3)";#N/A,#N/A,FALSE,"초도품 (4)";#N/A,#N/A,FALSE,"초도품 (5)";#N/A,#N/A,FALSE,"초도품 (6)"}</definedName>
    <definedName name="wrn.BL94TAXRETURN." hidden="1">{#N/A,#N/A,FALSE,"일반적사항";#N/A,#N/A,FALSE,"주요재무자료";#N/A,#N/A,FALSE,"10(2)호 소득공제";#N/A,#N/A,FALSE,"표지";#N/A,#N/A,FALSE,"총괄표";#N/A,#N/A,FALSE,"1호 과표세액";#N/A,#N/A,FALSE,"2호 서식";#N/A,#N/A,FALSE,"2호부표 최저한세";#N/A,#N/A,FALSE,"3(1)호 공제감면";#N/A,#N/A,FALSE,"3(1) 부1 공제감면";#N/A,#N/A,FALSE,"임시특별감면";#N/A,#N/A,FALSE,"3(1)부7 기업합리";#N/A,#N/A,FALSE,"3(3)호(갑) 원천납부";#N/A,#N/A,FALSE,"5호 농어촌";#N/A,#N/A,FALSE,"6호 소득금액";#N/A,#N/A,FALSE,"6호 첨부(익)";#N/A,#N/A,FALSE,"6호 첨부(손)";#N/A,#N/A,FALSE,"재고자산추인";#N/A,#N/A,FALSE,"6-1호 수입금액";#N/A,#N/A,FALSE,"6-2(2)호 중소투자";#N/A,#N/A,FALSE,"6-2(4)호 해외시장";#N/A,#N/A,FALSE,"6-2(12)호 수출손실";#N/A,#N/A,FALSE,"6-3호 퇴충";#N/A,#N/A,FALSE,"6-3(3)호 단퇴";#N/A,#N/A,FALSE,"6-3(4)호 대손";#N/A,#N/A,FALSE,"6-4호 접대(갑)";#N/A,#N/A,FALSE,"6-4호 접대(을)";#N/A,#N/A,FALSE,"6-5호 외화(갑)";#N/A,#N/A,FALSE,"6-5호 외화(을)";#N/A,#N/A,FALSE,"6-6호(부표) 자본적지출";#N/A,#N/A,FALSE,"감가총괄";#N/A,#N/A,FALSE,"6-10호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조정수입";#N/A,#N/A,FALSE,"10(4)호 소득구분";#N/A,#N/A,FALSE,"12호 중소검토";#N/A,#N/A,FALSE,"14(1)호 갑 주식";#N/A,#N/A,FALSE,"59호 해외특수";#N/A,#N/A,FALSE,"요약 BS";#N/A,#N/A,FALSE,"요약 PL";#N/A,#N/A,FALSE,"요약원가";#N/A,#N/A,FALSE,"요약RE";#N/A,#N/A,FALSE,"60호 을 적정유보";#N/A,#N/A,FALSE,"60호 갑 적정유보";#N/A,#N/A,FALSE,"표지";#N/A,#N/A,FALSE,"총괄표";#N/A,#N/A,FALSE,"1호 과표세액";#N/A,#N/A,FALSE,"1호 과표세액";#N/A,#N/A,FALSE,"1호 과표세액";#N/A,#N/A,FALSE,"1-2호 농어촌과표";#N/A,#N/A,FALSE,"2호 서식";#N/A,#N/A,FALSE,"2호부표 최저한세";#N/A,#N/A,FALSE,"3(1)호 공제감면";#N/A,#N/A,FALSE,"3(1) 부1 공제감면";#N/A,#N/A,FALSE,"3(1) 부2 공제감면";#N/A,#N/A,FALSE,"3(1) 부3 세액조정";#N/A,#N/A,FALSE,"3(1) 부4 공제감면";#N/A,#N/A,FALSE,"3호 임시투자공제";#N/A,#N/A,FALSE,"3(1)부7 기업합리";#N/A,#N/A,FALSE,"3(3)호(갑) 원천납부";#N/A,#N/A,FALSE,"5호 농어촌";#N/A,#N/A,FALSE,"6호 소득금액";#N/A,#N/A,FALSE,"6호 첨부(익)";#N/A,#N/A,FALSE,"6-1호 수입금액";#N/A,#N/A,FALSE,"6-1호 수입금액";#N/A,#N/A,FALSE,"6-3호 퇴충";#N/A,#N/A,FALSE,"6-3(3)호 단퇴";#N/A,#N/A,FALSE,"6-3(4)호 대손";#N/A,#N/A,FALSE,"6-4호 접대(갑)";#N/A,#N/A,FALSE,"6-4호 접대(을)";#N/A,#N/A,FALSE,"6-5호 외화(갑)";#N/A,#N/A,FALSE,"6-5호 외화(을)";#N/A,#N/A,FALSE,"6-6호(부표) 자본적지출";#N/A,#N/A,FALSE,"6-10호 재고자산";#N/A,#N/A,FALSE,"6-11호 세금과공과";#N/A,#N/A,FALSE,"6-12호 선급비용";#N/A,#N/A,FALSE,"9호 자본금(갑)";#N/A,#N/A,FALSE,"9호 자본금(을)";#N/A,#N/A,FALSE,"10(2)호 소득공제";#N/A,#N/A,FALSE,"10(3)호 부표";#N/A,#N/A,FALSE,"10(3)호 주요계정";#N/A,#N/A,FALSE,"10(4)호 조정수입";#N/A,#N/A,FALSE,"14(1)호 갑 주식";#N/A,#N/A,FALSE,"59호 해외특수";#N/A,#N/A,FALSE,"60호 갑 적정유보";#N/A,#N/A,FALSE,"60호 을 적정유보";#N/A,#N/A,FALSE,"요약 BS";#N/A,#N/A,FALSE,"요약 PL";#N/A,#N/A,FALSE,"요약원가";#N/A,#N/A,FALSE,"요약RE";#N/A,#N/A,FALSE,"요약RE"}</definedName>
    <definedName name="wrn.CIC94TAX." hidden="1">{#N/A,#N/A,FALSE,"일반적사항";#N/A,#N/A,FALSE,"주요재무자료";#N/A,#N/A,FALSE,"표지";#N/A,#N/A,FALSE,"총괄표";#N/A,#N/A,FALSE,"1호 과표세액";#N/A,#N/A,FALSE,"2호 서식";#N/A,#N/A,FALSE,"3(3)호(갑) 원천납부";#N/A,#N/A,FALSE,"6호 소득금액";#N/A,#N/A,FALSE,"6호 첨부(익)";#N/A,#N/A,FALSE,"6호 첨부(익)";#N/A,#N/A,FALSE,"6호 첨부(손)";#N/A,#N/A,FALSE,"6-1호 수입금액";#N/A,#N/A,FALSE,"6-3호 퇴충";#N/A,#N/A,FALSE,"6-4호 접대(갑)";#N/A,#N/A,FALSE,"6-4호 접대(을)";#N/A,#N/A,FALSE,"감가총괄";#N/A,#N/A,FALSE,"6-6(3)호 감가(정액)";#N/A,#N/A,FALSE,"전기부인액추인";#N/A,#N/A,FALSE,"6-6호(부표) 자본적지출";#N/A,#N/A,FALSE,"6-10호 재고자산";#N/A,#N/A,FALSE,"6-11호 세금과공과";#N/A,#N/A,FALSE,"6-12호 선급비용";#N/A,#N/A,FALSE,"9호 자본금(갑)";#N/A,#N/A,FALSE,"9호 자본금(을)";#N/A,#N/A,FALSE,"10(4)호 조정수입";#N/A,#N/A,FALSE,"59호 해외특수"}</definedName>
    <definedName name="wrn.COLLECTION._.HISTORY._.REPORT." hidden="1">{#N/A,#N/A,FALSE,"COL-HIS"}</definedName>
    <definedName name="wrn.COSA._.FS._.국문." hidden="1">{#N/A,#N/A,FALSE,"BS";#N/A,#N/A,FALSE,"PL";#N/A,#N/A,FALSE,"처분";#N/A,#N/A,FALSE,"현금";#N/A,#N/A,FALSE,"매출";#N/A,#N/A,FALSE,"원가";#N/A,#N/A,FALSE,"경영"}</definedName>
    <definedName name="wrn.COSA94TAXRETURN." hidden="1">{#N/A,#N/A,FALSE,"일반적사항";#N/A,#N/A,FALSE,"주요재무자료";#N/A,#N/A,FALSE,"표지";#N/A,#N/A,FALSE,"총괄표";#N/A,#N/A,FALSE,"1호 과표세액";#N/A,#N/A,FALSE,"1-2호 농어촌과표";#N/A,#N/A,FALSE,"2호 서식";#N/A,#N/A,FALSE,"2호부표 최저한세";#N/A,#N/A,FALSE,"3(1)부7 기업합리";#N/A,#N/A,FALSE,"3(3)호(갑) 원천납부";#N/A,#N/A,FALSE,"5호 농어촌";#N/A,#N/A,FALSE,"5호2 농감면(갑)";#N/A,#N/A,FALSE,"6호 소득금액";#N/A,#N/A,FALSE,"6호 첨부(익)";#N/A,#N/A,FALSE,"6호 첨부(손)";#N/A,#N/A,FALSE,"6-1호 수입금액";#N/A,#N/A,FALSE,"6-3호 퇴충";#N/A,#N/A,FALSE,"6-3(3)호 단퇴";#N/A,#N/A,FALSE,"6-3(4)호 대손";#N/A,#N/A,FALSE,"6-4호 접대(갑)";#N/A,#N/A,FALSE,"6-4호 접대(을)";#N/A,#N/A,FALSE,"6-5호 외화(갑)";#N/A,#N/A,FALSE,"6-5호 외화(을)";#N/A,#N/A,FALSE,"감가총괄";#N/A,#N/A,FALSE,"6-6(3)호 감가(정액)";#N/A,#N/A,FALSE,"6-6호(부표)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자본금(을)";#N/A,#N/A,FALSE,"10(2)호 소득공제";#N/A,#N/A,FALSE,"10(3)호 주요계정";#N/A,#N/A,FALSE,"10(3)호 부표";#N/A,#N/A,FALSE,"10(4)호 조정수입";#N/A,#N/A,FALSE,"14(1)호 갑 주식";#N/A,#N/A,FALSE,"59호 해외특수";#N/A,#N/A,FALSE,"요약 BS";#N/A,#N/A,FALSE,"요약 PL";#N/A,#N/A,FALSE,"요약RE"}</definedName>
    <definedName name="wrn.DDD."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wrn.druk" hidden="1">{"YTD/Forecast",#N/A,TRUE,"Fcst_TPLN";"Monthly Averages",#N/A,TRUE,"Fcst_TPLN"}</definedName>
    <definedName name="wrn.exco." hidden="1">{#N/A,#N/A,FALSE,"Yield";#N/A,#N/A,FALSE,"Loss1";#N/A,#N/A,FALSE,"Loss2";#N/A,#N/A,FALSE,"Hour-Labor(배분)";#N/A,#N/A,FALSE,"Capital Expenditure";#N/A,#N/A,FALSE,"Productivity"}</definedName>
    <definedName name="wrn.EXCO1월loss현황분석자료." hidden="1">{#N/A,#N/A,FALSE,"98소지이동TOTvs99.1 (2)";#N/A,#N/A,FALSE,"TOTAL";#N/A,#N/A,FALSE,"98소지이동TOTvs99.1(b) (2)"}</definedName>
    <definedName name="wrn.HWITEM." hidden="1">{#N/A,#N/A,FALSE,"삼진정공";#N/A,#N/A,FALSE,"영신금속";#N/A,#N/A,FALSE,"태양금속";#N/A,#N/A,FALSE,"진합정공";#N/A,#N/A,FALSE,"코리아";#N/A,#N/A,FALSE,"풍강금속";#N/A,#N/A,FALSE,"선일기계"}</definedName>
    <definedName name="wrn.IFF94TAX." hidden="1">{#N/A,#N/A,FALSE,"일반적사항";#N/A,#N/A,FALSE,"주요재무자료";#N/A,#N/A,FALSE,"표지";#N/A,#N/A,FALSE,"총괄표";#N/A,#N/A,FALSE,"1호 과표세액";#N/A,#N/A,FALSE,"2호 서식";#N/A,#N/A,FALSE,"3(3)호(갑) 원천납부";#N/A,#N/A,FALSE,"6호 소득금액";#N/A,#N/A,FALSE,"6호 첨부(익)";#N/A,#N/A,FALSE,"6호 첨부(손)";#N/A,#N/A,FALSE,"6-1호 수입금액";#N/A,#N/A,FALSE,"6-3호 퇴충";#N/A,#N/A,FALSE,"6-4호 접대(갑)";#N/A,#N/A,FALSE,"6-4호 접대(을)";#N/A,#N/A,FALSE,"6-5 갑 외화";#N/A,#N/A,FALSE,"6-5을 외화";#N/A,#N/A,FALSE,"감가총괄";#N/A,#N/A,FALSE,"전기부인액추인";#N/A,#N/A,FALSE,"6-6호(부표) 자본적지출";#N/A,#N/A,FALSE,"6-11호 세금과공과";#N/A,#N/A,FALSE,"6-12호 선급비용";#N/A,#N/A,FALSE,"9호 자본금(갑)";#N/A,#N/A,FALSE,"9호 자본금(을)";#N/A,#N/A,FALSE,"10(3)호 주요계정";#N/A,#N/A,FALSE,"10(4)호 조정수입";#N/A,#N/A,FALSE,"12호 중소검토";#N/A,#N/A,FALSE,"14(1) 주주이동(갑)";#N/A,#N/A,FALSE,"59호 해외특수";#N/A,#N/A,FALSE,"해외명세";#N/A,#N/A,FALSE,"요약 BS";#N/A,#N/A,FALSE,"요약RE";#N/A,#N/A,FALSE,"요약 PL"}</definedName>
    <definedName name="wrn.iIMPRESSION._.DOC."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wrn.IMPRESSION._.RP2."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wrn.jck94TAXRETURN."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wrn.Lead._.Schedule." hidden="1">{#N/A,#N/A,FALSE,"BS";#N/A,#N/A,FALSE,"PL";#N/A,#N/A,FALSE,"A";#N/A,#N/A,FALSE,"B";#N/A,#N/A,FALSE,"B1";#N/A,#N/A,FALSE,"C";#N/A,#N/A,FALSE,"C1";#N/A,#N/A,FALSE,"C2";#N/A,#N/A,FALSE,"D";#N/A,#N/A,FALSE,"E";#N/A,#N/A,FALSE,"F";#N/A,#N/A,FALSE,"AA";#N/A,#N/A,FALSE,"BB";#N/A,#N/A,FALSE,"CC";#N/A,#N/A,FALSE,"DD";#N/A,#N/A,FALSE,"EE";#N/A,#N/A,FALSE,"FF";#N/A,#N/A,FALSE,"PL10";#N/A,#N/A,FALSE,"PL20";#N/A,#N/A,FALSE,"PL30"}</definedName>
    <definedName name="wrn.PAIM._.TAX._.PRO." hidden="1">{#N/A,#N/A,FALSE,"표지";#N/A,#N/A,FALSE,"총괄표";#N/A,#N/A,FALSE,"1호 과표세액";#N/A,#N/A,FALSE,"2호 서식";#N/A,#N/A,FALSE,"3(3)호(갑) 원천납부";#N/A,#N/A,FALSE,"6호 소득금액";#N/A,#N/A,FALSE,"6호 첨부(익)";#N/A,#N/A,FALSE,"6호 첨부(손)";#N/A,#N/A,FALSE,"6-1호 수입금액";#N/A,#N/A,FALSE,"6-3호 퇴충";#N/A,#N/A,FALSE,"6-3(3)호 단퇴";#N/A,#N/A,FALSE,"6-3(4)호 대손";#N/A,#N/A,FALSE,"6-4호 접대(갑)";#N/A,#N/A,FALSE,"6-4호 접대(을)";#N/A,#N/A,FALSE,"6-5호 외화(갑)";#N/A,#N/A,FALSE,"6-5호 외화(을)";#N/A,#N/A,FALSE,"6-6호(부표) 자본적지출";#N/A,#N/A,FALSE,"6-11호 세금과공과";#N/A,#N/A,FALSE,"6-12호 선급비용";#N/A,#N/A,FALSE,"9호 자본금(갑)";#N/A,#N/A,FALSE,"9호 자본금(을)";#N/A,#N/A,FALSE,"10(3)호 주요계정";#N/A,#N/A,FALSE,"10(3)호 부표";#N/A,#N/A,FALSE,"10(4)호 조정수입";#N/A,#N/A,FALSE,"요약 BS";#N/A,#N/A,FALSE,"요약 PL";#N/A,#N/A,FALSE,"요약RE"}</definedName>
    <definedName name="wrn.Plan._.Europe._.pdts._.transparents." hidden="1">{#N/A,#N/A,FALSE,"TRANSP2";#N/A,#N/A,FALSE,"VISOL2";#N/A,#N/A,FALSE,"ITR2";#N/A,#N/A,FALSE,"CSOL2";#N/A,#N/A,FALSE,"FEUILLETE2";#N/A,#N/A,FALSE,"TRMP2";#N/A,#N/A,FALSE,"ARG2";#N/A,#N/A,FALSE,"VIMP2"}</definedName>
    <definedName name="wrn.Planone." hidden="1">{#N/A,#N/A,FALSE,"TRANSP1";#N/A,#N/A,FALSE,"VISOL1";#N/A,#N/A,FALSE,"ITR1";#N/A,#N/A,FALSE,"CSOL1";#N/A,#N/A,FALSE,"FEUILLETE1";#N/A,#N/A,FALSE,"TRMP1";#N/A,#N/A,FALSE,"ARG1";#N/A,#N/A,FALSE,"VIMP1"}</definedName>
    <definedName name="wrn.Print." hidden="1">{"YTD/Forecast",#N/A,TRUE,"Fcst_TPLN";"Monthly Averages",#N/A,TRUE,"Fcst_TPLN"}</definedName>
    <definedName name="wrn.PrintAll." hidden="1">{#N/A,#N/A,TRUE,"Summary";#N/A,#N/A,TRUE,"IS";#N/A,#N/A,TRUE,"Adj";#N/A,#N/A,TRUE,"BS";#N/A,#N/A,TRUE,"CF";#N/A,#N/A,TRUE,"Debt";#N/A,#N/A,TRUE,"IRR"}</definedName>
    <definedName name="wrn.RPT." hidden="1">{#N/A,#N/A,FALSE,"인원";#N/A,#N/A,FALSE,"비용2";#N/A,#N/A,FALSE,"비용1";#N/A,#N/A,FALSE,"비용";#N/A,#N/A,FALSE,"보증2";#N/A,#N/A,FALSE,"보증1";#N/A,#N/A,FALSE,"보증";#N/A,#N/A,FALSE,"손익1";#N/A,#N/A,FALSE,"손익";#N/A,#N/A,FALSE,"부서별매출";#N/A,#N/A,FALSE,"매출"}</definedName>
    <definedName name="wrn.SAA94TAX." hidden="1">{#N/A,#N/A,TRUE,"표지";#N/A,#N/A,TRUE,"총괄표";#N/A,#N/A,TRUE,"1호 과표세액";#N/A,#N/A,TRUE,"2호 서식";#N/A,#N/A,TRUE,"3(1) 부3 세액조정";#N/A,#N/A,TRUE,"임시투자공제";#N/A,#N/A,TRUE,"조8호 기술인력";#N/A,#N/A,TRUE,"3(1)부7 기업합리";#N/A,#N/A,TRUE,"3(3)호(갑) 원천납부";#N/A,#N/A,TRUE,"6호 소득금액";#N/A,#N/A,TRUE,"6호 첨부(익)";#N/A,#N/A,TRUE,"6호 첨부(손)";#N/A,#N/A,TRUE,"6-1호 수입금액";#N/A,#N/A,TRUE,"6-2(4)호 해외시장";#N/A,#N/A,TRUE,"6-2(12)호 수출손실";#N/A,#N/A,TRUE,"6-3호 퇴충";#N/A,#N/A,TRUE,"6-3(3)호 단퇴";#N/A,#N/A,TRUE,"6-3(4)호 대손";#N/A,#N/A,TRUE,"6-4호 접대(갑)";#N/A,#N/A,TRUE,"6-4호 접대(을)";#N/A,#N/A,TRUE,"6-5호 외화(갑)";#N/A,#N/A,TRUE,"6-5호 외화(을)";#N/A,#N/A,TRUE,"6-6호(부표) 자본적지출";#N/A,#N/A,TRUE,"6-10호 재고자산";#N/A,#N/A,TRUE,"6-11호 세금과공과";#N/A,#N/A,TRUE,"6-12호 선급비용";#N/A,#N/A,TRUE,"6-13호 기부금";#N/A,#N/A,TRUE,"6-14호 부동산보유";#N/A,#N/A,TRUE,"8호 기부금조정";#N/A,#N/A,TRUE,"9호 자본금(갑)";#N/A,#N/A,TRUE,"9호 자본금(을)";#N/A,#N/A,TRUE,"10(3)호 주요계정";#N/A,#N/A,TRUE,"10(3)호 부표";#N/A,#N/A,TRUE,"10(4)호 조정수입";#N/A,#N/A,TRUE,"14(1)호 갑 주식";#N/A,#N/A,TRUE,"요약 BS";#N/A,#N/A,TRUE,"요약 PL";#N/A,#N/A,TRUE,"요약원가";#N/A,#N/A,TRUE,"요약RE"}</definedName>
    <definedName name="wrn.saasimple." hidden="1">{#N/A,#N/A,FALSE,"1호 과표세액";#N/A,#N/A,FALSE,"2호 서식";#N/A,#N/A,FALSE,"3(1)부7 기업합리";#N/A,#N/A,FALSE,"6호 소득금액";#N/A,#N/A,FALSE,"6호 첨부(익)";#N/A,#N/A,FALSE,"6호 첨부(손)";#N/A,#N/A,FALSE,"6-1호 수입금액";#N/A,#N/A,FALSE,"6-3(4)호 대손";#N/A,#N/A,FALSE,"6-3호 퇴충";#N/A,#N/A,FALSE,"6-3(3)호 단퇴";#N/A,#N/A,FALSE,"6-3(4)호 대손";#N/A,#N/A,FALSE,"6-4호 접대(갑)";#N/A,#N/A,FALSE,"6-4호 접대(을)";#N/A,#N/A,FALSE,"6-5호 외화(갑)";#N/A,#N/A,FALSE,"6-5호 외화(을)";#N/A,#N/A,FALSE,"6-11호 세금과공과";#N/A,#N/A,FALSE,"6-13호 기부금";#N/A,#N/A,FALSE,"8호 기부금조정";#N/A,#N/A,FALSE,"9호 자본금(갑)";#N/A,#N/A,FALSE,"9호 자본금(을)";#N/A,#N/A,FALSE,"10(3)호 주요계정";#N/A,#N/A,FALSE,"10(3)호 부표";#N/A,#N/A,FALSE,"요약 PL";#N/A,#N/A,FALSE,"10(4)호 조정수입";#N/A,#N/A,FALSE,"14(1)호 갑 주식"}</definedName>
    <definedName name="wrn.SHIN." hidden="1">{#N/A,#N/A,FALSE,"LANOS표면현황";#N/A,#N/A,FALSE,"표면처리업체별";#N/A,#N/A,FALSE,"사양별";#N/A,#N/A,FALSE,"제작업체별";#N/A,#N/A,FALSE,"장착부위";#N/A,#N/A,FALSE,"업체주소";#N/A,#N/A,FALSE,"불량현황"}</definedName>
    <definedName name="wrn.SummaryReport." hidden="1">{"Header",#N/A,TRUE,"Summary";"ProjectInfo",#N/A,TRUE,"Total Value"}</definedName>
    <definedName name="wrn.UNIONGAS94TAXRETURN." hidden="1">{#N/A,#N/A,FALSE,"일반적사항";#N/A,#N/A,FALSE,"주요재무자료";#N/A,#N/A,FALSE,"표지";#N/A,#N/A,FALSE,"총괄표";#N/A,#N/A,FALSE,"1호 과표세액";#N/A,#N/A,FALSE,"1-2호 농어촌과표";#N/A,#N/A,FALSE,"2호 서식";#N/A,#N/A,FALSE,"2호부표 최저한세";#N/A,#N/A,FALSE,"3(1)호 공제감면";#N/A,#N/A,FALSE,"3(1) 부3 세액조정";#N/A,#N/A,FALSE,"3호 임시투자공제";#N/A,#N/A,FALSE,"조8호 기술인력";#N/A,#N/A,FALSE,"3(1)부7 기업합리";#N/A,#N/A,FALSE,"3(3)호(갑) 원천납부";#N/A,#N/A,FALSE,"5호 농어촌";#N/A,#N/A,FALSE,"5호2 농감면(갑)";#N/A,#N/A,FALSE,"6호 소득금액";#N/A,#N/A,FALSE,"6호 첨부(익)";#N/A,#N/A,FALSE,"6호 첨부(손)";#N/A,#N/A,FALSE,"6-1호 수입금액";#N/A,#N/A,FALSE,"6-3호 퇴충";#N/A,#N/A,FALSE,"6-3(4)호 대손";#N/A,#N/A,FALSE,"6-4호 접대(갑)";#N/A,#N/A,FALSE,"6-4호 접대(을)";#N/A,#N/A,FALSE,"6-5호 외화(갑)";#N/A,#N/A,FALSE,"6-6호(부표) 자본적지출";#N/A,#N/A,FALSE,"6-7호 가지급금(갑)";#N/A,#N/A,FALSE,"6-7호 가지급(을)";#N/A,#N/A,FALSE,"6-10호 재고자산";#N/A,#N/A,FALSE,"6-11호 세금과공과";#N/A,#N/A,FALSE,"6-12호 선급비용";#N/A,#N/A,FALSE,"6-13호 기부금";#N/A,#N/A,FALSE,"6-14호 부동산보유";#N/A,#N/A,FALSE,"8호 기부금조정";#N/A,#N/A,FALSE,"9호 자본금(갑)";#N/A,#N/A,FALSE,"9호 자본금(을)";#N/A,#N/A,FALSE,"10(3)호 주요계정";#N/A,#N/A,FALSE,"10(3)호 부표";#N/A,#N/A,FALSE,"10(4)호 조정수입";#N/A,#N/A,FALSE,"14(1)호 갑 주식";#N/A,#N/A,FALSE,"59호 해외특수";#N/A,#N/A,FALSE,"60호 갑 적정유보";#N/A,#N/A,FALSE,"60호 을 적정유보";#N/A,#N/A,FALSE,"요약 BS";#N/A,#N/A,FALSE,"요약 PL";#N/A,#N/A,FALSE,"요약원가";#N/A,#N/A,FALSE,"요약RE"}</definedName>
    <definedName name="wrn.Y차._.종합." hidden="1">{#N/A,#N/A,TRUE,"Y생산";#N/A,#N/A,TRUE,"Y판매";#N/A,#N/A,TRUE,"Y총물량";#N/A,#N/A,TRUE,"Y능력";#N/A,#N/A,TRUE,"YKD"}</definedName>
    <definedName name="wrn.간단한세무조정계산서."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wrn.감가." hidden="1">{#N/A,#N/A,FALSE,"buildings"}</definedName>
    <definedName name="wrn.고명석._.하반기._.업무보고." hidden="1">{#N/A,#N/A,FALSE,"검사-1";#N/A,#N/A,FALSE,"품질관리공정도";#N/A,#N/A,FALSE,"DR-1";#N/A,#N/A,FALSE,"DR-부적합";#N/A,#N/A,FALSE,"검사-부적합";#N/A,#N/A,FALSE,"검사기준서"}</definedName>
    <definedName name="wrn.관섬예산."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wrn.급여인상안." hidden="1">{#N/A,#N/A,FALSE,"계약직(여)"}</definedName>
    <definedName name="wrn.기술료._.비교." hidden="1">{#N/A,#N/A,FALSE,"기술료 비교"}</definedName>
    <definedName name="wrn.남재연._.하반기._.업무보고." hidden="1">{#N/A,#N/A,FALSE,"DR-부적합";#N/A,#N/A,FALSE,"DR-제조공정";#N/A,#N/A,FALSE,"검사-부적합";#N/A,#N/A,FALSE,"검사기준서";#N/A,#N/A,FALSE,"품질관리공정도";#N/A,#N/A,FALSE,"검사-1";#N/A,#N/A,FALSE,"DR-1"}</definedName>
    <definedName name="wrn.보고서추가." hidden="1">{#N/A,#N/A,FALSE,"교재수정"}</definedName>
    <definedName name="wrn.보서서추가합니다.." hidden="1">{#N/A,#N/A,FALSE,"교육시간"}</definedName>
    <definedName name="wrn.부문손익." hidden="1">{#N/A,#N/A,FALSE,"매출이익"}</definedName>
    <definedName name="wrn.세무조정계산서."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wrn.세무조정모든양식."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수." hidden="1">{#N/A,"수불부",FALSE,"사급자재수불서";#N/A,"수불부",FALSE,"사급자재수불서"}</definedName>
    <definedName name="wrn.신규dep._.full._.set." hidden="1">{#N/A,#N/A,FALSE,"신규dep";#N/A,#N/A,FALSE,"신규dep-금형상각후";#N/A,#N/A,FALSE,"신규dep-연구비상각후";#N/A,#N/A,FALSE,"신규dep-기계,공구상각후"}</definedName>
    <definedName name="wrn.씨엠정1."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wrn.씨엠정산."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wrn.에실대비."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wrn.예실대비."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wrn.월말보고서."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wrn.윤원훈._.하반기._.보고." hidden="1">{#N/A,#N/A,FALSE,"검사-1";#N/A,#N/A,FALSE,"품질관리공정도";#N/A,#N/A,FALSE,"DR-1";#N/A,#N/A,FALSE,"검사-부적합";#N/A,#N/A,FALSE,"DR-부적합";#N/A,#N/A,FALSE,"검사기준서"}</definedName>
    <definedName name="wrn.이사님." hidden="1">{#N/A,#N/A,TRUE,"이사님";#N/A,#N/A,TRUE,"이사님"}</definedName>
    <definedName name="wrn.자재코드집." hidden="1">{#N/A,#N/A,FALSE,"Sheet1"}</definedName>
    <definedName name="wrn.자판정비._.월간회의자료." hidden="1">{#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wrn.재무제표." hidden="1">{"PL2",#N/A,FALSE,"PL";"CH1",#N/A,FALSE,"현금흐름표";"CH2",#N/A,FALSE,"현금흐름표";"BS1",#N/A,FALSE,"BS";"CO",#N/A,FALSE,"매출원가";"BS2",#N/A,FALSE,"BS"}</definedName>
    <definedName name="wrn.전부인쇄." hidden="1">{#N/A,#N/A,FALSE,"단축1";#N/A,#N/A,FALSE,"단축2";#N/A,#N/A,FALSE,"단축3";#N/A,#N/A,FALSE,"장축";#N/A,#N/A,FALSE,"4WD"}</definedName>
    <definedName name="wrn.전사예산."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wrn.제기동._.교안._.그림없음." hidden="1">{#N/A,#N/A,FALSE,"사업개요";#N/A,#N/A,FALSE,"청약일정";#N/A,#N/A,FALSE,"4차 참여업체1";#N/A,#N/A,FALSE,"4차 참여업체2";#N/A,#N/A,FALSE,"입면도";#N/A,#N/A,FALSE,"평형별 공통 특장점";#N/A,#N/A,FALSE,"평형별 특장점 32A";#N/A,#N/A,FALSE,"평형별 특장점 32B";#N/A,#N/A,FALSE,"평형별 특장점 23";#N/A,#N/A,FALSE,"사업현황";#N/A,#N/A,FALSE,"교통환경";#N/A,#N/A,FALSE,"생활환경";#N/A,#N/A,FALSE,"교육환경";#N/A,#N/A,FALSE,"예상분양가";#N/A,#N/A,FALSE,"시세 비교";#N/A,#N/A,FALSE,"주택구분1";#N/A,#N/A,FALSE,"주택구분2";#N/A,#N/A,FALSE,"청약 및 분양정보(기타1) (2)";#N/A,#N/A,FALSE,"청약 및 분양정보(기타1)";#N/A,#N/A,FALSE,"기타2";#N/A,#N/A,FALSE,"기타3";#N/A,#N/A,FALSE,"청약제도변경"}</definedName>
    <definedName name="wrn.제기동._.분양._.기획." hidden="1">{#N/A,#N/A,TRUE,"표지";#N/A,#N/A,TRUE,"목차";#N/A,#N/A,TRUE,"소목차1";#N/A,#N/A,TRUE,"계획표";#N/A,#N/A,TRUE,"분양일정";#N/A,#N/A,TRUE,"소목차2";#N/A,#N/A,TRUE,"사업개요 ";#N/A,#N/A,TRUE,"환경분석";#N/A,#N/A,TRUE,"사업여건 분석";#N/A,#N/A,TRUE,"소목차3";#N/A,#N/A,TRUE,"적정분양가";#N/A,#N/A,TRUE,"분양가 1안(선택).";#N/A,#N/A,TRUE,"시세1";#N/A,#N/A,TRUE,"시세2";#N/A,#N/A,TRUE,"시세3";#N/A,#N/A,TRUE,"시세4";#N/A,#N/A,TRUE,"입면도";#N/A,#N/A,TRUE,"소목차4";#N/A,#N/A,TRUE,"기본전제";#N/A,#N/A,TRUE,"target";#N/A,#N/A,TRUE,"단계별분양전략";#N/A,#N/A,TRUE,"영업전략1";#N/A,#N/A,TRUE,"영업전략2";#N/A,#N/A,TRUE,"mh기본원칙";#N/A,#N/A,TRUE,"인력운영";#N/A,#N/A,TRUE,"소목차5";#N/A,#N/A,TRUE,"총괄예산";#N/A,#N/A,TRUE,"예산1";#N/A,#N/A,TRUE,"예산2";#N/A,#N/A,TRUE,"예산3";#N/A,#N/A,TRUE,"예산4";#N/A,#N/A,TRUE,"홍보예산"}</definedName>
    <definedName name="wrn.제기동._.분양교안." hidden="1">{#N/A,#N/A,FALSE,"사업개요";#N/A,#N/A,FALSE,"청약일정";#N/A,#N/A,FALSE,"입면도";#N/A,#N/A,FALSE,"평형별 특장점";#N/A,#N/A,FALSE,"32a평형";#N/A,#N/A,FALSE,"32b평형";#N/A,#N/A,FALSE,"23평형";#N/A,#N/A,FALSE,"사업현황";#N/A,#N/A,FALSE,"교통환경";#N/A,#N/A,FALSE,"생활환경";#N/A,#N/A,FALSE,"교육환경";#N/A,#N/A,FALSE,"예상분양가";#N/A,#N/A,FALSE,"시세 비교";#N/A,#N/A,FALSE,"주택구분1";#N/A,#N/A,FALSE,"주택구분2";#N/A,#N/A,FALSE,"청약 및 분양정보(기타1)";#N/A,#N/A,FALSE,"기타2";#N/A,#N/A,FALSE,"기타3";#N/A,#N/A,FALSE,"청약제도변경";#N/A,#N/A,FALSE,"부동산홍보계획";#N/A,#N/A,FALSE,"동대문구 인구통계"}</definedName>
    <definedName name="wrn.제기동._.비용재품의." hidden="1">{#N/A,#N/A,FALSE,"총괄예산";#N/A,#N/A,FALSE,"예산1";#N/A,#N/A,FALSE,"예산2";#N/A,#N/A,FALSE,"예산3";#N/A,#N/A,FALSE,"예산4";#N/A,#N/A,FALSE,"홍보예산 (6억)"}</definedName>
    <definedName name="wrn.조흥94세무."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wrn.조흥축약94."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wrn.주가동율." hidden="1">{#N/A,#N/A,FALSE,"PHOTO5";#N/A,#N/A,FALSE,"ETCH5";#N/A,#N/A,FALSE,"DIFF5";#N/A,#N/A,FALSE,"CVD5";#N/A,#N/A,FALSE,"I5";#N/A,#N/A,FALSE,"METAL5";#N/A,#N/A,FALSE,"PHOTO6";#N/A,#N/A,FALSE,"ETCH6";#N/A,#N/A,FALSE,"DIFF6";#N/A,#N/A,FALSE,"CVD6";#N/A,#N/A,FALSE,"I6";#N/A,#N/A,FALSE,"METAL6"}</definedName>
    <definedName name="wrn.주간._.보고." hidden="1">{#N/A,#N/A,TRUE,"일정"}</definedName>
    <definedName name="wrn.직원교육." hidden="1">{#N/A,#N/A,FALSE,"예상질문";#N/A,#N/A,FALSE,"예상질문2";#N/A,#N/A,FALSE,"사업개요";#N/A,#N/A,FALSE,"청약일정";#N/A,#N/A,FALSE,"4차 참여업체1";#N/A,#N/A,FALSE,"4차 참여업체2";#N/A,#N/A,FALSE,"단지조감도,배치도";#N/A,#N/A,FALSE,"단지특장점";#N/A,#N/A,FALSE,"입면도";#N/A,#N/A,FALSE,"평형별 공통 특장점";#N/A,#N/A,FALSE,"32a평형";#N/A,#N/A,FALSE,"평형별 특장점 32A";#N/A,#N/A,FALSE,"32b평형";#N/A,#N/A,FALSE,"평형별 특장점 32B";#N/A,#N/A,FALSE,"23평형";#N/A,#N/A,FALSE,"평형별 특장점 23";#N/A,#N/A,FALSE,"사업현황";#N/A,#N/A,FALSE,"교통환경";#N/A,#N/A,FALSE,"생활환경";#N/A,#N/A,FALSE,"교육환경";#N/A,#N/A,FALSE,"예상분양가";#N/A,#N/A,FALSE,"시세 비교";#N/A,#N/A,FALSE,"주택구분1";#N/A,#N/A,FALSE,"주택구분2";#N/A,#N/A,FALSE,"청약 및 분양정보(기타1) (2)";#N/A,#N/A,FALSE,"청약 및 분양정보(기타1)";#N/A,#N/A,FALSE,"기타2";#N/A,#N/A,FALSE,"기타3";#N/A,#N/A,FALSE,"청약제도변경"}</definedName>
    <definedName name="wrn.진흥." hidden="1">{#N/A,#N/A,TRUE,"사업자등록증 (2)"}</definedName>
    <definedName name="wrn.채권채무조회서." hidden="1">{#N/A,#N/A,FALSE,"채권채무";#N/A,#N/A,FALSE,"control sheet"}</definedName>
    <definedName name="wrn.통관현황." hidden="1">{#N/A,#N/A,FALSE,"출고분";#N/A,#N/A,FALSE,"출고분";#N/A,#N/A,FALSE,"출고분";#N/A,#N/A,FALSE,"출고분";#N/A,#N/A,FALSE,"출고분"}</definedName>
    <definedName name="wrn.판유리예산."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wrn.평촌." hidden="1">{#N/A,#N/A,FALSE,"표지";#N/A,#N/A,FALSE,"제출문";#N/A,#N/A,FALSE,"목차";#N/A,#N/A,FALSE,"소목차(1)";#N/A,#N/A,FALSE,"경제전망";#N/A,#N/A,FALSE,"부동산전망";#N/A,#N/A,FALSE,"투자환경(1)";#N/A,#N/A,FALSE,"투자환경(2)";#N/A,#N/A,FALSE,"투자환경(3)";#N/A,#N/A,FALSE,"투자환경(4)";#N/A,#N/A,FALSE,"소목차(2)";#N/A,#N/A,FALSE,"사업개요";#N/A,#N/A,FALSE,"프로젝트분석";#N/A,#N/A,FALSE,"프로젝트평가";#N/A,#N/A,FALSE,"소목차(3)";#N/A,#N/A,FALSE,"공급사례(1)";#N/A,#N/A,FALSE,"공급사례(2)";#N/A,#N/A,FALSE,"상권분석";#N/A,#N/A,FALSE,"상권분석 (2)";#N/A,#N/A,FALSE,"상품최적화(1)";#N/A,#N/A,FALSE,"상품최적화(2)";#N/A,#N/A,FALSE,"상품최적화(3)";#N/A,#N/A,FALSE,"소목차(4)";#N/A,#N/A,FALSE,"기본전제";#N/A,#N/A,FALSE,"적정분양가";#N/A,#N/A,FALSE,"적정분양가(1)";#N/A,#N/A,FALSE,"적정분양가(2)";#N/A,#N/A,FALSE,"적정분양가(3)";#N/A,#N/A,FALSE,"적정분양가(4)";#N/A,#N/A,FALSE,"적정분양가(5)";#N/A,#N/A,FALSE,"target(1)";#N/A,#N/A,FALSE,"target(2)";#N/A,#N/A,FALSE,"소목차(5)";#N/A,#N/A,FALSE,"분양전략수립전제";#N/A,#N/A,FALSE,"단계별분양전략";#N/A,#N/A,FALSE,"분양전략흐름도";#N/A,#N/A,FALSE,"분양활동방향";#N/A,#N/A,FALSE,"Pre-m";#N/A,#N/A,FALSE,"부동산우군화방안";#N/A,#N/A,FALSE,"기타영업전략(1)";#N/A,#N/A,FALSE,"기타영업전략(2)";#N/A,#N/A,FALSE,"분양사무실운영";#N/A,#N/A,FALSE,"분양조직운영";#N/A,#N/A,FALSE,"조직도";#N/A,#N/A,FALSE,"세부업무분장";#N/A,#N/A,FALSE,"소목차(6)";#N/A,#N/A,FALSE,"분양목표";#N/A,#N/A,FALSE,"분양대행수수료 ";#N/A,#N/A,FALSE,"컨설팅실적(1)";#N/A,#N/A,FALSE,"컨설팅실적(2)";#N/A,#N/A,FALSE,"컨설팅실적(3)";#N/A,#N/A,FALSE,"조직도 "}</definedName>
    <definedName name="wrn.표면처리._.현황." hidden="1">{#N/A,#N/A,FALSE,"불량현황";#N/A,#N/A,FALSE,"표면처리업체별";#N/A,#N/A,FALSE,"사양별";#N/A,#N/A,FALSE,"제작업체별";#N/A,#N/A,FALSE,"업체주소";#N/A,#N/A,FALSE,"장착부위";#N/A,#N/A,FALSE,"V-100표면현황 (2)"}</definedName>
    <definedName name="wrn.하반기2팀._.보고서." hidden="1">{#N/A,#N/A,FALSE,"검사기준서";#N/A,#N/A,FALSE,"품질관리공정도";#N/A,#N/A,FALSE,"검사기준서 data";#N/A,#N/A,FALSE,"품질관리공정도 data";#N/A,#N/A,FALSE,"dr제조공정현황";#N/A,#N/A,FALSE,"DR-1";#N/A,#N/A,FALSE,"검사수행상태감사";#N/A,#N/A,FALSE,"검사수행상태감사data"}</definedName>
    <definedName name="wrn.허치환씨._.하반기._.자료." hidden="1">{#N/A,#N/A,FALSE,"검사-1";#N/A,#N/A,FALSE,"품질관리공정도";#N/A,#N/A,FALSE,"DR-1";#N/A,#N/A,FALSE,"DR-부적합";#N/A,#N/A,FALSE,"DR-제조공정";#N/A,#N/A,FALSE,"검사-부적합";#N/A,#N/A,FALSE,"검사기준서"}</definedName>
    <definedName name="wrn.현대정공구매현황." hidden="1">{#N/A,#N/A,FALSE,"정공"}</definedName>
    <definedName name="wrn.회의0104.XLS." hidden="1">{#N/A,#N/A,TRUE,"매출진척-1";#N/A,#N/A,TRUE,"매출진척-2";#N/A,#N/A,TRUE,"제품실적";#N/A,#N/A,TRUE,"RAC";#N/A,#N/A,TRUE,"PAC ";#N/A,#N/A,TRUE,"재고현황";#N/A,#N/A,TRUE,"공지사항"}</definedName>
    <definedName name="WTB">#REF!</definedName>
    <definedName name="wwrr" hidden="1">{"'Chemical Lab Exhaust외 설치건'!$J$1"}</definedName>
    <definedName name="WWW"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xccxc"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XDS" hidden="1">{#N/A,#N/A,FALSE,"을지 (4)";#N/A,#N/A,FALSE,"을지 (5)";#N/A,#N/A,FALSE,"을지 (6)"}</definedName>
    <definedName name="xd품확일정" hidden="1">{#N/A,#N/A,FALSE,"단축1";#N/A,#N/A,FALSE,"단축2";#N/A,#N/A,FALSE,"단축3";#N/A,#N/A,FALSE,"장축";#N/A,#N/A,FALSE,"4WD"}</definedName>
    <definedName name="xfgh"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XLS" hidden="1">{"'Sheet1'!$B$10:$C$19","'Sheet1'!$A$53:$C$65"}</definedName>
    <definedName name="XREF_COLUMN_1" hidden="1">#N/A</definedName>
    <definedName name="XREF_COLUMN_10" hidden="1">#REF!</definedName>
    <definedName name="XREF_COLUMN_11" hidden="1">#REF!</definedName>
    <definedName name="XREF_COLUMN_110" hidden="1">#REF!</definedName>
    <definedName name="XREF_COLUMN_12" hidden="1">#REF!</definedName>
    <definedName name="XREF_COLUMN_13" hidden="1">#REF!</definedName>
    <definedName name="XREF_COLUMN_14" hidden="1">#REF!</definedName>
    <definedName name="XREF_COLUMN_15" hidden="1">#REF!</definedName>
    <definedName name="XREF_COLUMN_16" hidden="1">#N/A</definedName>
    <definedName name="XREF_COLUMN_17" hidden="1">#REF!</definedName>
    <definedName name="XREF_COLUMN_18" hidden="1">#N/A</definedName>
    <definedName name="XREF_COLUMN_19" hidden="1">#REF!</definedName>
    <definedName name="XREF_COLUMN_2" localSheetId="8" hidden="1">#REF!</definedName>
    <definedName name="XREF_COLUMN_2" hidden="1">#REF!</definedName>
    <definedName name="XREF_COLUMN_20" hidden="1">#N/A</definedName>
    <definedName name="XREF_COLUMN_21" hidden="1">#REF!</definedName>
    <definedName name="XREF_COLUMN_22" hidden="1">#REF!</definedName>
    <definedName name="XREF_COLUMN_23" hidden="1">#N/A</definedName>
    <definedName name="XREF_COLUMN_24" hidden="1">#REF!</definedName>
    <definedName name="XREF_COLUMN_25" hidden="1">#REF!</definedName>
    <definedName name="XREF_COLUMN_26" hidden="1">#REF!</definedName>
    <definedName name="XREF_COLUMN_27" hidden="1">#REF!</definedName>
    <definedName name="XREF_COLUMN_28" hidden="1">#REF!</definedName>
    <definedName name="XREF_COLUMN_29" hidden="1">#REF!</definedName>
    <definedName name="XREF_COLUMN_3" hidden="1">#REF!</definedName>
    <definedName name="XREF_COLUMN_30" hidden="1">#REF!</definedName>
    <definedName name="XREF_COLUMN_31" hidden="1">#REF!</definedName>
    <definedName name="XREF_COLUMN_32" hidden="1">#REF!</definedName>
    <definedName name="XREF_COLUMN_33" hidden="1">#REF!</definedName>
    <definedName name="XREF_COLUMN_34" hidden="1">#N/A</definedName>
    <definedName name="XREF_COLUMN_35" hidden="1">#REF!</definedName>
    <definedName name="XREF_COLUMN_36" hidden="1">#N/A</definedName>
    <definedName name="XREF_COLUMN_37" hidden="1">#REF!</definedName>
    <definedName name="XREF_COLUMN_38" hidden="1">#REF!</definedName>
    <definedName name="XREF_COLUMN_39" hidden="1">#REF!</definedName>
    <definedName name="XREF_COLUMN_4" hidden="1">#REF!</definedName>
    <definedName name="XREF_COLUMN_40" hidden="1">#REF!</definedName>
    <definedName name="XREF_COLUMN_41" hidden="1">#REF!</definedName>
    <definedName name="XREF_COLUMN_42" hidden="1">#REF!</definedName>
    <definedName name="XREF_COLUMN_43" hidden="1">#REF!</definedName>
    <definedName name="XREF_COLUMN_44" hidden="1">#REF!</definedName>
    <definedName name="XREF_COLUMN_45" hidden="1">#REF!</definedName>
    <definedName name="XREF_COLUMN_46" hidden="1">#REF!</definedName>
    <definedName name="XREF_COLUMN_47" hidden="1">#REF!</definedName>
    <definedName name="XREF_COLUMN_48" hidden="1">#REF!</definedName>
    <definedName name="XREF_COLUMN_49" hidden="1">#REF!</definedName>
    <definedName name="XREF_COLUMN_5" hidden="1">#REF!</definedName>
    <definedName name="XREF_COLUMN_50" hidden="1">#REF!</definedName>
    <definedName name="XREF_COLUMN_51" hidden="1">#REF!</definedName>
    <definedName name="XREF_COLUMN_52" hidden="1">#REF!</definedName>
    <definedName name="XREF_COLUMN_53" hidden="1">#REF!</definedName>
    <definedName name="XREF_COLUMN_54" hidden="1">#REF!</definedName>
    <definedName name="XREF_COLUMN_55" hidden="1">#REF!</definedName>
    <definedName name="XREF_COLUMN_56" hidden="1">#REF!</definedName>
    <definedName name="XREF_COLUMN_57" hidden="1">#REF!</definedName>
    <definedName name="XREF_COLUMN_58" hidden="1">#REF!</definedName>
    <definedName name="XREF_COLUMN_59" hidden="1">#REF!</definedName>
    <definedName name="XREF_COLUMN_6" hidden="1">#REF!</definedName>
    <definedName name="XREF_COLUMN_60" hidden="1">#REF!</definedName>
    <definedName name="XREF_COLUMN_61" hidden="1">#REF!</definedName>
    <definedName name="XREF_COLUMN_62" hidden="1">#REF!</definedName>
    <definedName name="XREF_COLUMN_63" hidden="1">#REF!</definedName>
    <definedName name="XREF_COLUMN_64" hidden="1">#REF!</definedName>
    <definedName name="XREF_COLUMN_65" hidden="1">#REF!</definedName>
    <definedName name="XREF_COLUMN_66" hidden="1">#REF!</definedName>
    <definedName name="XREF_COLUMN_67" hidden="1">#REF!</definedName>
    <definedName name="XREF_COLUMN_68" hidden="1">#REF!</definedName>
    <definedName name="XREF_COLUMN_69" hidden="1">#REF!</definedName>
    <definedName name="XREF_COLUMN_7" hidden="1">#REF!</definedName>
    <definedName name="XREF_COLUMN_70" hidden="1">#REF!</definedName>
    <definedName name="XREF_COLUMN_71" hidden="1">#REF!</definedName>
    <definedName name="XREF_COLUMN_72" hidden="1">#REF!</definedName>
    <definedName name="XREF_COLUMN_73" hidden="1">#REF!</definedName>
    <definedName name="XREF_COLUMN_74" hidden="1">#REF!</definedName>
    <definedName name="XREF_COLUMN_75" hidden="1">#REF!</definedName>
    <definedName name="XREF_COLUMN_76" hidden="1">#REF!</definedName>
    <definedName name="XREF_COLUMN_77" hidden="1">#REF!</definedName>
    <definedName name="XREF_COLUMN_79" hidden="1">#REF!</definedName>
    <definedName name="XREF_COLUMN_8" hidden="1">#REF!</definedName>
    <definedName name="XREF_COLUMN_81" hidden="1">#REF!</definedName>
    <definedName name="XREF_COLUMN_83" hidden="1">#REF!</definedName>
    <definedName name="XREF_COLUMN_87" hidden="1">#REF!</definedName>
    <definedName name="XREF_COLUMN_89" hidden="1">#REF!</definedName>
    <definedName name="XREF_COLUMN_9" hidden="1">#REF!</definedName>
    <definedName name="XREF_COLUMN_91" hidden="1">#REF!</definedName>
    <definedName name="XREF_COLUMN_93" hidden="1">#REF!</definedName>
    <definedName name="XREF_COLUMN_95" hidden="1">#REF!</definedName>
    <definedName name="XREF_COLUMN_97" hidden="1">#REF!</definedName>
    <definedName name="XRefActiveRow" hidden="1">#REF!</definedName>
    <definedName name="XRefColumnsCount" localSheetId="8" hidden="1">5</definedName>
    <definedName name="XRefColumnsCount" hidden="1">1</definedName>
    <definedName name="XRefCopy1" hidden="1">#N/A</definedName>
    <definedName name="XRefCopy10" hidden="1">#REF!</definedName>
    <definedName name="XRefCopy100" hidden="1">#REF!</definedName>
    <definedName name="XRefCopy101" hidden="1">#REF!</definedName>
    <definedName name="XRefCopy101Row" hidden="1">#N/A</definedName>
    <definedName name="XRefCopy102" hidden="1">#REF!</definedName>
    <definedName name="XRefCopy103" hidden="1">#REF!</definedName>
    <definedName name="XRefCopy104" hidden="1">#REF!</definedName>
    <definedName name="XRefCopy104Row" hidden="1">#N/A</definedName>
    <definedName name="XRefCopy105" hidden="1">#REF!</definedName>
    <definedName name="XRefCopy106Row" hidden="1">#N/A</definedName>
    <definedName name="XRefCopy108Row" hidden="1">#N/A</definedName>
    <definedName name="XRefCopy109Row" hidden="1">#N/A</definedName>
    <definedName name="XRefCopy10Row" hidden="1">#N/A</definedName>
    <definedName name="XRefCopy11" hidden="1">#REF!</definedName>
    <definedName name="XRefCopy111Row" hidden="1">#N/A</definedName>
    <definedName name="XRefCopy112Row" hidden="1">#N/A</definedName>
    <definedName name="XRefCopy113Row" hidden="1">#N/A</definedName>
    <definedName name="XRefCopy114" hidden="1">#REF!</definedName>
    <definedName name="XRefCopy114Row" hidden="1">#N/A</definedName>
    <definedName name="XRefCopy115" hidden="1">#REF!</definedName>
    <definedName name="XRefCopy115Row" hidden="1">#N/A</definedName>
    <definedName name="XRefCopy116" hidden="1">#REF!</definedName>
    <definedName name="XRefCopy116Row" hidden="1">#N/A</definedName>
    <definedName name="XRefCopy117" hidden="1">#REF!</definedName>
    <definedName name="XRefCopy117Row" hidden="1">#N/A</definedName>
    <definedName name="XRefCopy118" hidden="1">#REF!</definedName>
    <definedName name="XRefCopy119" hidden="1">#REF!</definedName>
    <definedName name="XRefCopy119Row" hidden="1">#N/A</definedName>
    <definedName name="XRefCopy11Row" hidden="1">#N/A</definedName>
    <definedName name="XRefCopy12" hidden="1">#REF!</definedName>
    <definedName name="XRefCopy120" hidden="1">#REF!</definedName>
    <definedName name="XRefCopy120Row" hidden="1">#REF!</definedName>
    <definedName name="XRefCopy121" hidden="1">#REF!</definedName>
    <definedName name="XRefCopy122" hidden="1">#REF!</definedName>
    <definedName name="XRefCopy122Row" hidden="1">#N/A</definedName>
    <definedName name="XRefCopy123Row" hidden="1">#N/A</definedName>
    <definedName name="XRefCopy124Row" hidden="1">#REF!</definedName>
    <definedName name="XRefCopy125Row" hidden="1">#REF!</definedName>
    <definedName name="XRefCopy126Row" hidden="1">#REF!</definedName>
    <definedName name="XRefCopy12Row" hidden="1">#N/A</definedName>
    <definedName name="XRefCopy13" hidden="1">#REF!</definedName>
    <definedName name="XRefCopy13Row" hidden="1">#N/A</definedName>
    <definedName name="XRefCopy14" hidden="1">#REF!</definedName>
    <definedName name="XRefCopy14Row" hidden="1">#N/A</definedName>
    <definedName name="XRefCopy15" hidden="1">#REF!</definedName>
    <definedName name="XRefCopy15Row" hidden="1">#N/A</definedName>
    <definedName name="XRefCopy16" hidden="1">#REF!</definedName>
    <definedName name="XRefCopy16Row" hidden="1">#N/A</definedName>
    <definedName name="XRefCopy17" hidden="1">#REF!</definedName>
    <definedName name="XRefCopy17Row" hidden="1">#N/A</definedName>
    <definedName name="XRefCopy18" hidden="1">#REF!</definedName>
    <definedName name="XRefCopy18Row" hidden="1">#N/A</definedName>
    <definedName name="XRefCopy19" hidden="1">#REF!</definedName>
    <definedName name="XRefCopy19Row" hidden="1">#N/A</definedName>
    <definedName name="XRefCopy1Row" localSheetId="8" hidden="1">#REF!</definedName>
    <definedName name="XRefCopy1Row" hidden="1">#N/A</definedName>
    <definedName name="XRefCopy2" localSheetId="8" hidden="1">#REF!</definedName>
    <definedName name="XRefCopy2" hidden="1">#REF!</definedName>
    <definedName name="XRefCopy20" hidden="1">#REF!</definedName>
    <definedName name="XRefCopy20Row" hidden="1">#N/A</definedName>
    <definedName name="XRefCopy21" hidden="1">#REF!</definedName>
    <definedName name="XRefCopy21Row" hidden="1">#N/A</definedName>
    <definedName name="XRefCopy22" hidden="1">#REF!</definedName>
    <definedName name="XRefCopy22Row" hidden="1">#N/A</definedName>
    <definedName name="XRefCopy23" hidden="1">#REF!</definedName>
    <definedName name="XRefCopy23Row" hidden="1">#N/A</definedName>
    <definedName name="XRefCopy24" hidden="1">#REF!</definedName>
    <definedName name="XRefCopy24Row" hidden="1">#N/A</definedName>
    <definedName name="XRefCopy25" hidden="1">#REF!</definedName>
    <definedName name="XRefCopy25Row" hidden="1">#N/A</definedName>
    <definedName name="XRefCopy26" hidden="1">#REF!</definedName>
    <definedName name="XRefCopy26Row" hidden="1">#N/A</definedName>
    <definedName name="XRefCopy27" hidden="1">#REF!</definedName>
    <definedName name="XRefCopy27Row" hidden="1">#N/A</definedName>
    <definedName name="XRefCopy28" hidden="1">#REF!</definedName>
    <definedName name="XRefCopy28Row" hidden="1">#N/A</definedName>
    <definedName name="XRefCopy29" hidden="1">#REF!</definedName>
    <definedName name="XRefCopy29Row" hidden="1">#N/A</definedName>
    <definedName name="XRefCopy2Row" localSheetId="8" hidden="1">#REF!</definedName>
    <definedName name="XRefCopy2Row" hidden="1">#N/A</definedName>
    <definedName name="XRefCopy3" localSheetId="8" hidden="1">#REF!</definedName>
    <definedName name="XRefCopy3" hidden="1">#REF!</definedName>
    <definedName name="XRefCopy30" hidden="1">#REF!</definedName>
    <definedName name="XRefCopy30Row" hidden="1">#N/A</definedName>
    <definedName name="XRefCopy31" hidden="1">#REF!</definedName>
    <definedName name="XRefCopy31Row" hidden="1">#N/A</definedName>
    <definedName name="XRefCopy32" hidden="1">#REF!</definedName>
    <definedName name="XRefCopy32Row" hidden="1">#N/A</definedName>
    <definedName name="XRefCopy33" hidden="1">#REF!</definedName>
    <definedName name="XRefCopy33Row" hidden="1">#N/A</definedName>
    <definedName name="XRefCopy34" hidden="1">#REF!</definedName>
    <definedName name="XRefCopy34Row" hidden="1">#N/A</definedName>
    <definedName name="XRefCopy35" hidden="1">#REF!</definedName>
    <definedName name="XRefCopy35Row" hidden="1">#N/A</definedName>
    <definedName name="XRefCopy36" hidden="1">#REF!</definedName>
    <definedName name="XRefCopy36Row" hidden="1">#N/A</definedName>
    <definedName name="XRefCopy37" hidden="1">#REF!</definedName>
    <definedName name="XRefCopy37Row" hidden="1">#N/A</definedName>
    <definedName name="XRefCopy38" hidden="1">#REF!</definedName>
    <definedName name="XRefCopy38Row" hidden="1">#N/A</definedName>
    <definedName name="XRefCopy39" hidden="1">#REF!</definedName>
    <definedName name="XRefCopy39Row" hidden="1">#N/A</definedName>
    <definedName name="XRefCopy3Row" localSheetId="8" hidden="1">#REF!</definedName>
    <definedName name="XRefCopy3Row" hidden="1">#N/A</definedName>
    <definedName name="XRefCopy4" localSheetId="8" hidden="1">#REF!</definedName>
    <definedName name="XRefCopy4" hidden="1">#REF!</definedName>
    <definedName name="XRefCopy40" hidden="1">#REF!</definedName>
    <definedName name="XRefCopy40Row" hidden="1">#N/A</definedName>
    <definedName name="XRefCopy41" hidden="1">#REF!</definedName>
    <definedName name="XRefCopy41Row" hidden="1">#N/A</definedName>
    <definedName name="XRefCopy42" hidden="1">#REF!</definedName>
    <definedName name="XRefCopy42Row" hidden="1">#N/A</definedName>
    <definedName name="XRefCopy43" hidden="1">#REF!</definedName>
    <definedName name="XRefCopy43Row" hidden="1">#N/A</definedName>
    <definedName name="XRefCopy44" hidden="1">#REF!</definedName>
    <definedName name="XRefCopy44Row" hidden="1">#N/A</definedName>
    <definedName name="XRefCopy45" hidden="1">#REF!</definedName>
    <definedName name="XRefCopy45Row" hidden="1">#N/A</definedName>
    <definedName name="XRefCopy46" hidden="1">#REF!</definedName>
    <definedName name="XRefCopy46Row" hidden="1">#N/A</definedName>
    <definedName name="XRefCopy47" hidden="1">#REF!</definedName>
    <definedName name="XRefCopy47Row" hidden="1">#N/A</definedName>
    <definedName name="XRefCopy48" hidden="1">#REF!</definedName>
    <definedName name="XRefCopy48Row" hidden="1">#N/A</definedName>
    <definedName name="XRefCopy49" hidden="1">#REF!</definedName>
    <definedName name="XRefCopy49Row" hidden="1">#N/A</definedName>
    <definedName name="XRefCopy4Row" localSheetId="8" hidden="1">#REF!</definedName>
    <definedName name="XRefCopy4Row" hidden="1">#N/A</definedName>
    <definedName name="XRefCopy5" localSheetId="8" hidden="1">#REF!</definedName>
    <definedName name="XRefCopy5" hidden="1">#REF!</definedName>
    <definedName name="XRefCopy50" hidden="1">#REF!</definedName>
    <definedName name="XRefCopy50Row" hidden="1">#N/A</definedName>
    <definedName name="XRefCopy51" hidden="1">#REF!</definedName>
    <definedName name="XRefCopy51Row" hidden="1">#N/A</definedName>
    <definedName name="XRefCopy52" hidden="1">#REF!</definedName>
    <definedName name="XRefCopy52Row" hidden="1">#N/A</definedName>
    <definedName name="XRefCopy53" hidden="1">#REF!</definedName>
    <definedName name="XRefCopy53Row" hidden="1">#N/A</definedName>
    <definedName name="XRefCopy54" hidden="1">#REF!</definedName>
    <definedName name="XRefCopy54Row" hidden="1">#N/A</definedName>
    <definedName name="XRefCopy55" hidden="1">#REF!</definedName>
    <definedName name="XRefCopy55Row" hidden="1">#REF!</definedName>
    <definedName name="XRefCopy56" hidden="1">#REF!</definedName>
    <definedName name="XRefCopy56Row" hidden="1">#N/A</definedName>
    <definedName name="XRefCopy57" hidden="1">#REF!</definedName>
    <definedName name="XRefCopy57Row" hidden="1">#N/A</definedName>
    <definedName name="XRefCopy58" hidden="1">#REF!</definedName>
    <definedName name="XRefCopy58Row" hidden="1">#N/A</definedName>
    <definedName name="XRefCopy59" hidden="1">#REF!</definedName>
    <definedName name="XRefCopy59Row" hidden="1">#N/A</definedName>
    <definedName name="XRefCopy5Row" localSheetId="8" hidden="1">#REF!</definedName>
    <definedName name="XRefCopy5Row" hidden="1">#N/A</definedName>
    <definedName name="XRefCopy6" localSheetId="8" hidden="1">#REF!</definedName>
    <definedName name="XRefCopy6" hidden="1">#REF!</definedName>
    <definedName name="XRefCopy60" hidden="1">#REF!</definedName>
    <definedName name="XRefCopy60Row" hidden="1">#N/A</definedName>
    <definedName name="XRefCopy61" hidden="1">#REF!</definedName>
    <definedName name="XRefCopy61Row" hidden="1">#N/A</definedName>
    <definedName name="XRefCopy62" hidden="1">#REF!</definedName>
    <definedName name="XRefCopy62Row" hidden="1">#N/A</definedName>
    <definedName name="XRefCopy63" hidden="1">#REF!</definedName>
    <definedName name="XRefCopy63Row" hidden="1">#N/A</definedName>
    <definedName name="XRefCopy64" hidden="1">#REF!</definedName>
    <definedName name="XRefCopy64Row" hidden="1">#N/A</definedName>
    <definedName name="XRefCopy65" hidden="1">#REF!</definedName>
    <definedName name="XRefCopy65Row" hidden="1">#N/A</definedName>
    <definedName name="XRefCopy66" hidden="1">#REF!</definedName>
    <definedName name="XRefCopy66Row" hidden="1">#N/A</definedName>
    <definedName name="XRefCopy67" hidden="1">#REF!</definedName>
    <definedName name="XRefCopy67Row" hidden="1">#N/A</definedName>
    <definedName name="XRefCopy68" hidden="1">#REF!</definedName>
    <definedName name="XRefCopy68Row" hidden="1">#N/A</definedName>
    <definedName name="XRefCopy69" hidden="1">#REF!</definedName>
    <definedName name="XRefCopy69Row" hidden="1">#N/A</definedName>
    <definedName name="XRefCopy6Row" localSheetId="8" hidden="1">#REF!</definedName>
    <definedName name="XRefCopy6Row" hidden="1">#N/A</definedName>
    <definedName name="XRefCopy7" localSheetId="8" hidden="1">#REF!</definedName>
    <definedName name="XRefCopy7" hidden="1">#REF!</definedName>
    <definedName name="XRefCopy70" hidden="1">#REF!</definedName>
    <definedName name="XRefCopy70Row" hidden="1">#N/A</definedName>
    <definedName name="XRefCopy71" hidden="1">#REF!</definedName>
    <definedName name="XRefCopy71Row" hidden="1">#N/A</definedName>
    <definedName name="XRefCopy72" hidden="1">#REF!</definedName>
    <definedName name="XRefCopy72Row" hidden="1">#N/A</definedName>
    <definedName name="XRefCopy73" hidden="1">#REF!</definedName>
    <definedName name="XRefCopy73Row" hidden="1">#N/A</definedName>
    <definedName name="XRefCopy74" hidden="1">#REF!</definedName>
    <definedName name="XRefCopy74Row" hidden="1">#N/A</definedName>
    <definedName name="XRefCopy75" hidden="1">#REF!</definedName>
    <definedName name="XRefCopy75Row" hidden="1">#N/A</definedName>
    <definedName name="XRefCopy76" hidden="1">#REF!</definedName>
    <definedName name="XRefCopy76Row" hidden="1">#N/A</definedName>
    <definedName name="XRefCopy77" hidden="1">#REF!</definedName>
    <definedName name="XRefCopy77Row" hidden="1">#N/A</definedName>
    <definedName name="XRefCopy78" hidden="1">#REF!</definedName>
    <definedName name="XRefCopy78Row" hidden="1">#N/A</definedName>
    <definedName name="XRefCopy79" hidden="1">#REF!</definedName>
    <definedName name="XRefCopy79Row" hidden="1">#N/A</definedName>
    <definedName name="XRefCopy7Row" localSheetId="8" hidden="1">#REF!</definedName>
    <definedName name="XRefCopy7Row" hidden="1">#N/A</definedName>
    <definedName name="XRefCopy8" localSheetId="8" hidden="1">#REF!</definedName>
    <definedName name="XRefCopy8" hidden="1">#REF!</definedName>
    <definedName name="XRefCopy80" hidden="1">#REF!</definedName>
    <definedName name="XRefCopy80Row" hidden="1">#N/A</definedName>
    <definedName name="XRefCopy81" hidden="1">#REF!</definedName>
    <definedName name="XRefCopy81Row" hidden="1">#REF!</definedName>
    <definedName name="XRefCopy82" hidden="1">#REF!</definedName>
    <definedName name="XRefCopy82Row" hidden="1">#REF!</definedName>
    <definedName name="XRefCopy83" hidden="1">#REF!</definedName>
    <definedName name="XRefCopy83Row" hidden="1">#REF!</definedName>
    <definedName name="XRefCopy84" hidden="1">#REF!</definedName>
    <definedName name="XRefCopy84Row" hidden="1">#REF!</definedName>
    <definedName name="XRefCopy85" hidden="1">#REF!</definedName>
    <definedName name="XRefCopy85Row" hidden="1">#REF!</definedName>
    <definedName name="XRefCopy86" hidden="1">#REF!</definedName>
    <definedName name="XRefCopy86Row" hidden="1">#REF!</definedName>
    <definedName name="XRefCopy87" hidden="1">#REF!</definedName>
    <definedName name="XRefCopy87Row" hidden="1">#REF!</definedName>
    <definedName name="XRefCopy88" hidden="1">#REF!</definedName>
    <definedName name="XRefCopy88Row" hidden="1">#REF!</definedName>
    <definedName name="XRefCopy89" hidden="1">#REF!</definedName>
    <definedName name="XRefCopy89Row" hidden="1">#REF!</definedName>
    <definedName name="XRefCopy8Row" localSheetId="8" hidden="1">#REF!</definedName>
    <definedName name="XRefCopy8Row" hidden="1">#N/A</definedName>
    <definedName name="XRefCopy9" hidden="1">#REF!</definedName>
    <definedName name="XRefCopy90" hidden="1">#REF!</definedName>
    <definedName name="XRefCopy90Row" hidden="1">#REF!</definedName>
    <definedName name="XRefCopy91" hidden="1">#REF!</definedName>
    <definedName name="XRefCopy91Row" hidden="1">#REF!</definedName>
    <definedName name="XRefCopy92" hidden="1">#REF!</definedName>
    <definedName name="XRefCopy92Row" hidden="1">#REF!</definedName>
    <definedName name="XRefCopy93" hidden="1">#REF!</definedName>
    <definedName name="XRefCopy94" hidden="1">#REF!</definedName>
    <definedName name="XRefCopy95" hidden="1">#REF!</definedName>
    <definedName name="XRefCopy96" hidden="1">#REF!</definedName>
    <definedName name="XRefCopy96Row" hidden="1">#REF!</definedName>
    <definedName name="XRefCopy97" hidden="1">#REF!</definedName>
    <definedName name="XRefCopy98" hidden="1">#REF!</definedName>
    <definedName name="XRefCopy99" hidden="1">#REF!</definedName>
    <definedName name="XRefCopy9Row" hidden="1">#N/A</definedName>
    <definedName name="XRefCopyRangeCount" localSheetId="8" hidden="1">8</definedName>
    <definedName name="XRefCopyRangeCount" hidden="1">4</definedName>
    <definedName name="XRefPaste1" hidden="1">#N/A</definedName>
    <definedName name="XRefPaste10" hidden="1">#N/A</definedName>
    <definedName name="XRefPaste100Row" hidden="1">#REF!</definedName>
    <definedName name="XRefPaste101" hidden="1">#REF!</definedName>
    <definedName name="XRefPaste101Row" hidden="1">#REF!</definedName>
    <definedName name="XRefPaste102" hidden="1">#REF!</definedName>
    <definedName name="XRefPaste102Row" hidden="1">#REF!</definedName>
    <definedName name="XRefPaste103" hidden="1">#REF!</definedName>
    <definedName name="XRefPaste104" hidden="1">#REF!</definedName>
    <definedName name="XRefPaste104Row" hidden="1">#REF!</definedName>
    <definedName name="XRefPaste105" hidden="1">#REF!</definedName>
    <definedName name="XRefPaste105Row" hidden="1">#REF!</definedName>
    <definedName name="XRefPaste106" hidden="1">#REF!</definedName>
    <definedName name="XRefPaste106Row" hidden="1">#REF!</definedName>
    <definedName name="XRefPaste107" hidden="1">#REF!</definedName>
    <definedName name="XRefPaste107Row" hidden="1">#REF!</definedName>
    <definedName name="XRefPaste108" hidden="1">#REF!</definedName>
    <definedName name="XRefPaste108Row" hidden="1">#REF!</definedName>
    <definedName name="XRefPaste109" hidden="1">#REF!</definedName>
    <definedName name="XRefPaste109Row" hidden="1">#REF!</definedName>
    <definedName name="XRefPaste10Row" hidden="1">#REF!</definedName>
    <definedName name="XRefPaste11" hidden="1">#N/A</definedName>
    <definedName name="XRefPaste110" hidden="1">#REF!</definedName>
    <definedName name="XRefPaste110Row" hidden="1">#REF!</definedName>
    <definedName name="XRefPaste111" hidden="1">#REF!</definedName>
    <definedName name="XRefPaste111Row" hidden="1">#REF!</definedName>
    <definedName name="XRefPaste112" hidden="1">#REF!</definedName>
    <definedName name="XRefPaste112Row" hidden="1">#REF!</definedName>
    <definedName name="XRefPaste113" hidden="1">#REF!</definedName>
    <definedName name="XRefPaste113Row" hidden="1">#REF!</definedName>
    <definedName name="XRefPaste114" hidden="1">#REF!</definedName>
    <definedName name="XRefPaste114Row" hidden="1">#REF!</definedName>
    <definedName name="XRefPaste115" hidden="1">#REF!</definedName>
    <definedName name="XRefPaste115Row" hidden="1">#REF!</definedName>
    <definedName name="XRefPaste116" hidden="1">#REF!</definedName>
    <definedName name="XRefPaste116Row" hidden="1">#REF!</definedName>
    <definedName name="XRefPaste117" hidden="1">#REF!</definedName>
    <definedName name="XRefPaste117Row" hidden="1">#REF!</definedName>
    <definedName name="XRefPaste118" hidden="1">#REF!</definedName>
    <definedName name="XRefPaste118Row" hidden="1">#REF!</definedName>
    <definedName name="XRefPaste119" hidden="1">#REF!</definedName>
    <definedName name="XRefPaste119Row" hidden="1">#REF!</definedName>
    <definedName name="XRefPaste11Row" hidden="1">#REF!</definedName>
    <definedName name="XRefPaste12" hidden="1">#REF!</definedName>
    <definedName name="XRefPaste120" hidden="1">#REF!</definedName>
    <definedName name="XRefPaste120Row" hidden="1">#REF!</definedName>
    <definedName name="XRefPaste121" hidden="1">#REF!</definedName>
    <definedName name="XRefPaste121Row" hidden="1">#REF!</definedName>
    <definedName name="XRefPaste122" hidden="1">#REF!</definedName>
    <definedName name="XRefPaste122Row" hidden="1">#REF!</definedName>
    <definedName name="XRefPaste124" hidden="1">#REF!</definedName>
    <definedName name="XRefPaste126" hidden="1">#REF!</definedName>
    <definedName name="XRefPaste126Row" hidden="1">#REF!</definedName>
    <definedName name="XRefPaste127" hidden="1">#REF!</definedName>
    <definedName name="XRefPaste127Row" hidden="1">#REF!</definedName>
    <definedName name="XRefPaste128" hidden="1">#REF!</definedName>
    <definedName name="XRefPaste128Row" hidden="1">#REF!</definedName>
    <definedName name="XRefPaste129" hidden="1">#REF!</definedName>
    <definedName name="XRefPaste129Row" hidden="1">#REF!</definedName>
    <definedName name="XRefPaste12Row" hidden="1">#REF!</definedName>
    <definedName name="XRefPaste13" hidden="1">#REF!</definedName>
    <definedName name="XRefPaste130" hidden="1">#REF!</definedName>
    <definedName name="XRefPaste130Row" hidden="1">#REF!</definedName>
    <definedName name="XRefPaste131" hidden="1">#REF!</definedName>
    <definedName name="XRefPaste131Row" hidden="1">#REF!</definedName>
    <definedName name="XRefPaste132" hidden="1">#REF!</definedName>
    <definedName name="XRefPaste132Row" hidden="1">#REF!</definedName>
    <definedName name="XRefPaste133" hidden="1">#REF!</definedName>
    <definedName name="XRefPaste133Row" hidden="1">#REF!</definedName>
    <definedName name="XRefPaste134" hidden="1">#REF!</definedName>
    <definedName name="XRefPaste134Row" hidden="1">#REF!</definedName>
    <definedName name="XRefPaste135" hidden="1">#REF!</definedName>
    <definedName name="XRefPaste135Row" hidden="1">#REF!</definedName>
    <definedName name="XRefPaste136" hidden="1">#REF!</definedName>
    <definedName name="XRefPaste136Row" hidden="1">#REF!</definedName>
    <definedName name="XRefPaste137" hidden="1">#REF!</definedName>
    <definedName name="XRefPaste137Row" hidden="1">#REF!</definedName>
    <definedName name="XRefPaste138" hidden="1">#REF!</definedName>
    <definedName name="XRefPaste138Row" hidden="1">#REF!</definedName>
    <definedName name="XRefPaste139" hidden="1">#REF!</definedName>
    <definedName name="XRefPaste139Row" hidden="1">#REF!</definedName>
    <definedName name="XRefPaste13Row" hidden="1">#REF!</definedName>
    <definedName name="XRefPaste14" hidden="1">#REF!</definedName>
    <definedName name="XRefPaste140" hidden="1">#REF!</definedName>
    <definedName name="XRefPaste140Row" hidden="1">#REF!</definedName>
    <definedName name="XRefPaste141" hidden="1">#REF!</definedName>
    <definedName name="XRefPaste141Row" hidden="1">#REF!</definedName>
    <definedName name="XRefPaste142" hidden="1">#REF!</definedName>
    <definedName name="XRefPaste142Row" hidden="1">#REF!</definedName>
    <definedName name="XRefPaste143" hidden="1">#REF!</definedName>
    <definedName name="XRefPaste143Row" hidden="1">#REF!</definedName>
    <definedName name="XRefPaste144" hidden="1">#REF!</definedName>
    <definedName name="XRefPaste144Row" hidden="1">#REF!</definedName>
    <definedName name="XRefPaste145" hidden="1">#REF!</definedName>
    <definedName name="XRefPaste145Row" hidden="1">#REF!</definedName>
    <definedName name="XRefPaste146" hidden="1">#REF!</definedName>
    <definedName name="XRefPaste146Row" hidden="1">#REF!</definedName>
    <definedName name="XRefPaste147" hidden="1">#REF!</definedName>
    <definedName name="XRefPaste147Row" hidden="1">#REF!</definedName>
    <definedName name="XRefPaste148" hidden="1">#REF!</definedName>
    <definedName name="XRefPaste148Row" hidden="1">#REF!</definedName>
    <definedName name="XRefPaste149" hidden="1">#REF!</definedName>
    <definedName name="XRefPaste14Row" hidden="1">#REF!</definedName>
    <definedName name="XRefPaste15" hidden="1">#REF!</definedName>
    <definedName name="XRefPaste150" hidden="1">#REF!</definedName>
    <definedName name="XRefPaste151" hidden="1">#REF!</definedName>
    <definedName name="XRefPaste152" hidden="1">#REF!</definedName>
    <definedName name="XRefPaste153" hidden="1">#REF!</definedName>
    <definedName name="XRefPaste154" hidden="1">#REF!</definedName>
    <definedName name="XRefPaste155" hidden="1">#REF!</definedName>
    <definedName name="XRefPaste156" hidden="1">#REF!</definedName>
    <definedName name="XRefPaste157" hidden="1">#REF!</definedName>
    <definedName name="XRefPaste158" hidden="1">#REF!</definedName>
    <definedName name="XRefPaste159" hidden="1">#REF!</definedName>
    <definedName name="XRefPaste15Row" hidden="1">#REF!</definedName>
    <definedName name="XRefPaste16" hidden="1">#N/A</definedName>
    <definedName name="XRefPaste160" hidden="1">#REF!</definedName>
    <definedName name="XRefPaste161" hidden="1">#REF!</definedName>
    <definedName name="XRefPaste162" hidden="1">#REF!</definedName>
    <definedName name="XRefPaste163" hidden="1">#REF!</definedName>
    <definedName name="XRefPaste164" hidden="1">#REF!</definedName>
    <definedName name="XRefPaste165" hidden="1">#REF!</definedName>
    <definedName name="XRefPaste166" hidden="1">#REF!</definedName>
    <definedName name="XRefPaste167" hidden="1">#REF!</definedName>
    <definedName name="XRefPaste168" hidden="1">#REF!</definedName>
    <definedName name="XRefPaste169" hidden="1">#REF!</definedName>
    <definedName name="XRefPaste16Row" hidden="1">#REF!</definedName>
    <definedName name="XRefPaste17" hidden="1">#N/A</definedName>
    <definedName name="XRefPaste170" hidden="1">#REF!</definedName>
    <definedName name="XRefPaste171" hidden="1">#REF!</definedName>
    <definedName name="XRefPaste172" hidden="1">#REF!</definedName>
    <definedName name="XRefPaste173" hidden="1">#REF!</definedName>
    <definedName name="XRefPaste174" hidden="1">#REF!</definedName>
    <definedName name="XRefPaste175" hidden="1">#REF!</definedName>
    <definedName name="XRefPaste179" hidden="1">#REF!</definedName>
    <definedName name="XRefPaste17Row" hidden="1">#REF!</definedName>
    <definedName name="XRefPaste18" hidden="1">#N/A</definedName>
    <definedName name="XRefPaste180" hidden="1">#REF!</definedName>
    <definedName name="XRefPaste180Row" hidden="1">#REF!</definedName>
    <definedName name="XRefPaste181" hidden="1">#REF!</definedName>
    <definedName name="XRefPaste182" hidden="1">#REF!</definedName>
    <definedName name="XRefPaste183" hidden="1">#REF!</definedName>
    <definedName name="XRefPaste184" hidden="1">#REF!</definedName>
    <definedName name="XRefPaste185" hidden="1">#REF!</definedName>
    <definedName name="XRefPaste186" hidden="1">#REF!</definedName>
    <definedName name="XRefPaste187" hidden="1">#REF!</definedName>
    <definedName name="XRefPaste188" hidden="1">#REF!</definedName>
    <definedName name="XRefPaste189" hidden="1">#REF!</definedName>
    <definedName name="XRefPaste18Row" hidden="1">#REF!</definedName>
    <definedName name="XRefPaste19" hidden="1">#N/A</definedName>
    <definedName name="XRefPaste190Row" hidden="1">#REF!</definedName>
    <definedName name="XRefPaste191Row" hidden="1">#REF!</definedName>
    <definedName name="XRefPaste192Row" hidden="1">#REF!</definedName>
    <definedName name="XRefPaste193Row" hidden="1">#REF!</definedName>
    <definedName name="XRefPaste194" hidden="1">#REF!</definedName>
    <definedName name="XRefPaste194Row" hidden="1">#REF!</definedName>
    <definedName name="XRefPaste195Row" hidden="1">#REF!</definedName>
    <definedName name="XRefPaste196Row" hidden="1">#REF!</definedName>
    <definedName name="XRefPaste197" hidden="1">#REF!</definedName>
    <definedName name="XRefPaste197Row" hidden="1">#REF!</definedName>
    <definedName name="XRefPaste198" hidden="1">#REF!</definedName>
    <definedName name="XRefPaste198Row" hidden="1">#REF!</definedName>
    <definedName name="XRefPaste199" hidden="1">#REF!</definedName>
    <definedName name="XRefPaste199Row" hidden="1">#REF!</definedName>
    <definedName name="XRefPaste19Row" hidden="1">#REF!</definedName>
    <definedName name="XRefPaste1Row" localSheetId="8" hidden="1">#REF!</definedName>
    <definedName name="XRefPaste1Row" hidden="1">#REF!</definedName>
    <definedName name="XRefPaste2" hidden="1">#N/A</definedName>
    <definedName name="XRefPaste20" hidden="1">#REF!</definedName>
    <definedName name="XRefPaste200" hidden="1">#REF!</definedName>
    <definedName name="XRefPaste200Row" hidden="1">#REF!</definedName>
    <definedName name="XRefPaste201" hidden="1">#REF!</definedName>
    <definedName name="XRefPaste201Row" hidden="1">#REF!</definedName>
    <definedName name="XRefPaste202" hidden="1">#REF!</definedName>
    <definedName name="XRefPaste202Row" hidden="1">#REF!</definedName>
    <definedName name="XRefPaste203" hidden="1">#REF!</definedName>
    <definedName name="XRefPaste203Row" hidden="1">#REF!</definedName>
    <definedName name="XRefPaste204" hidden="1">#REF!</definedName>
    <definedName name="XRefPaste204Row" hidden="1">#REF!</definedName>
    <definedName name="XRefPaste205" hidden="1">#REF!</definedName>
    <definedName name="XRefPaste205Row" hidden="1">#REF!</definedName>
    <definedName name="XRefPaste206" hidden="1">#REF!</definedName>
    <definedName name="XRefPaste206Row" hidden="1">#REF!</definedName>
    <definedName name="XRefPaste207" hidden="1">#REF!</definedName>
    <definedName name="XRefPaste207Row" hidden="1">#REF!</definedName>
    <definedName name="XRefPaste208" hidden="1">#REF!</definedName>
    <definedName name="XRefPaste208Row" hidden="1">#REF!</definedName>
    <definedName name="XRefPaste209" hidden="1">#REF!</definedName>
    <definedName name="XRefPaste209Row" hidden="1">#REF!</definedName>
    <definedName name="XRefPaste20Row" hidden="1">#REF!</definedName>
    <definedName name="XRefPaste21" hidden="1">#REF!</definedName>
    <definedName name="XRefPaste210" hidden="1">#REF!</definedName>
    <definedName name="XRefPaste210Row" hidden="1">#REF!</definedName>
    <definedName name="XRefPaste211" hidden="1">#REF!</definedName>
    <definedName name="XRefPaste211Row" hidden="1">#REF!</definedName>
    <definedName name="XRefPaste212" hidden="1">#REF!</definedName>
    <definedName name="XRefPaste212Row" hidden="1">#REF!</definedName>
    <definedName name="XRefPaste213" hidden="1">#REF!</definedName>
    <definedName name="XRefPaste213Row" hidden="1">#REF!</definedName>
    <definedName name="XRefPaste214" hidden="1">#REF!</definedName>
    <definedName name="XRefPaste214Row" hidden="1">#REF!</definedName>
    <definedName name="XRefPaste215" hidden="1">#REF!</definedName>
    <definedName name="XRefPaste215Row" hidden="1">#REF!</definedName>
    <definedName name="XRefPaste216" hidden="1">#REF!</definedName>
    <definedName name="XRefPaste216Row" hidden="1">#REF!</definedName>
    <definedName name="XRefPaste217" hidden="1">#REF!</definedName>
    <definedName name="XRefPaste217Row" hidden="1">#REF!</definedName>
    <definedName name="XRefPaste218" hidden="1">#REF!</definedName>
    <definedName name="XRefPaste218Row" hidden="1">#REF!</definedName>
    <definedName name="XRefPaste219" hidden="1">#REF!</definedName>
    <definedName name="XRefPaste219Row" hidden="1">#REF!</definedName>
    <definedName name="XRefPaste21Row" hidden="1">#REF!</definedName>
    <definedName name="XRefPaste22" hidden="1">#REF!</definedName>
    <definedName name="XRefPaste220" hidden="1">#REF!</definedName>
    <definedName name="XRefPaste220Row" hidden="1">#REF!</definedName>
    <definedName name="XRefPaste221" hidden="1">#REF!</definedName>
    <definedName name="XRefPaste221Row" hidden="1">#REF!</definedName>
    <definedName name="XRefPaste222" hidden="1">#REF!</definedName>
    <definedName name="XRefPaste222Row" hidden="1">#REF!</definedName>
    <definedName name="XRefPaste223" hidden="1">#REF!</definedName>
    <definedName name="XRefPaste223Row" hidden="1">#REF!</definedName>
    <definedName name="XRefPaste224" hidden="1">#REF!</definedName>
    <definedName name="XRefPaste224Row" hidden="1">#REF!</definedName>
    <definedName name="XRefPaste225" hidden="1">#REF!</definedName>
    <definedName name="XRefPaste225Row" hidden="1">#REF!</definedName>
    <definedName name="XRefPaste226" hidden="1">#REF!</definedName>
    <definedName name="XRefPaste226Row" hidden="1">#REF!</definedName>
    <definedName name="XRefPaste227" hidden="1">#REF!</definedName>
    <definedName name="XRefPaste227Row" hidden="1">#REF!</definedName>
    <definedName name="XRefPaste228" hidden="1">#REF!</definedName>
    <definedName name="XRefPaste228Row" hidden="1">#REF!</definedName>
    <definedName name="XRefPaste229" hidden="1">#REF!</definedName>
    <definedName name="XRefPaste229Row" hidden="1">#REF!</definedName>
    <definedName name="XRefPaste22Row" hidden="1">#REF!</definedName>
    <definedName name="XRefPaste23" hidden="1">#REF!</definedName>
    <definedName name="XRefPaste230" hidden="1">#REF!</definedName>
    <definedName name="XRefPaste230Row" hidden="1">#REF!</definedName>
    <definedName name="XRefPaste231" hidden="1">#REF!</definedName>
    <definedName name="XRefPaste231Row" hidden="1">#REF!</definedName>
    <definedName name="XRefPaste232" hidden="1">#REF!</definedName>
    <definedName name="XRefPaste232Row" hidden="1">#REF!</definedName>
    <definedName name="XRefPaste233Row" hidden="1">#REF!</definedName>
    <definedName name="XRefPaste234Row" hidden="1">#REF!</definedName>
    <definedName name="XRefPaste235" hidden="1">#REF!</definedName>
    <definedName name="XRefPaste235Row" hidden="1">#REF!</definedName>
    <definedName name="XRefPaste236Row" hidden="1">#REF!</definedName>
    <definedName name="XRefPaste237Row" hidden="1">#REF!</definedName>
    <definedName name="XRefPaste238Row" hidden="1">#REF!</definedName>
    <definedName name="XRefPaste239Row" hidden="1">#REF!</definedName>
    <definedName name="XRefPaste23Row" hidden="1">#REF!</definedName>
    <definedName name="XRefPaste24" hidden="1">#REF!</definedName>
    <definedName name="XRefPaste240" hidden="1">#REF!</definedName>
    <definedName name="XRefPaste240Row" hidden="1">#REF!</definedName>
    <definedName name="XRefPaste241" hidden="1">#REF!</definedName>
    <definedName name="XRefPaste241Row" hidden="1">#REF!</definedName>
    <definedName name="XRefPaste242" hidden="1">#REF!</definedName>
    <definedName name="XRefPaste242Row" hidden="1">#REF!</definedName>
    <definedName name="XRefPaste243" hidden="1">#REF!</definedName>
    <definedName name="XRefPaste243Row" hidden="1">#REF!</definedName>
    <definedName name="XRefPaste244" hidden="1">#REF!</definedName>
    <definedName name="XRefPaste244Row" hidden="1">#REF!</definedName>
    <definedName name="XRefPaste245Row" hidden="1">#REF!</definedName>
    <definedName name="XRefPaste246Row" hidden="1">#REF!</definedName>
    <definedName name="XRefPaste24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localSheetId="8" hidden="1">#REF!</definedName>
    <definedName name="XRefPaste2Row" hidden="1">#N/A</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#N/A</definedName>
    <definedName name="XRefPaste33" hidden="1">#REF!</definedName>
    <definedName name="XRefPaste33Row" hidden="1">#REF!</definedName>
    <definedName name="XRefPaste34" hidden="1">#REF!</definedName>
    <definedName name="XRefPaste34Row" hidden="1">#N/A</definedName>
    <definedName name="XRefPaste35" hidden="1">#REF!</definedName>
    <definedName name="XRefPaste35Row" hidden="1">#N/A</definedName>
    <definedName name="XRefPaste36" hidden="1">#REF!</definedName>
    <definedName name="XRefPaste36Row" hidden="1">#N/A</definedName>
    <definedName name="XRefPaste37" hidden="1">#REF!</definedName>
    <definedName name="XRefPaste37Row" hidden="1">#N/A</definedName>
    <definedName name="XRefPaste38" hidden="1">#REF!</definedName>
    <definedName name="XRefPaste38Row" hidden="1">#N/A</definedName>
    <definedName name="XRefPaste39" hidden="1">#REF!</definedName>
    <definedName name="XRefPaste39Row" hidden="1">#N/A</definedName>
    <definedName name="XRefPaste3Row" localSheetId="8" hidden="1">#REF!</definedName>
    <definedName name="XRefPaste3Row" hidden="1">#N/A</definedName>
    <definedName name="XRefPaste4" hidden="1">#REF!</definedName>
    <definedName name="XRefPaste40" hidden="1">#REF!</definedName>
    <definedName name="XRefPaste40Row" hidden="1">#N/A</definedName>
    <definedName name="XRefPaste41" hidden="1">#REF!</definedName>
    <definedName name="XRefPaste41Row" hidden="1">#N/A</definedName>
    <definedName name="XRefPaste42" hidden="1">#REF!</definedName>
    <definedName name="XRefPaste42Row" hidden="1">#N/A</definedName>
    <definedName name="XRefPaste43" hidden="1">#REF!</definedName>
    <definedName name="XRefPaste43Row" hidden="1">#N/A</definedName>
    <definedName name="XRefPaste44" hidden="1">#REF!</definedName>
    <definedName name="XRefPaste44Row" hidden="1">#N/A</definedName>
    <definedName name="XRefPaste45" hidden="1">#REF!</definedName>
    <definedName name="XRefPaste45Row" hidden="1">#N/A</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localSheetId="8" hidden="1">#REF!</definedName>
    <definedName name="XRefPaste4Row" hidden="1">#N/A</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2" hidden="1">#REF!</definedName>
    <definedName name="XRefPaste52Row" hidden="1">#REF!</definedName>
    <definedName name="XRefPaste53" hidden="1">#REF!</definedName>
    <definedName name="XRefPaste53Row" hidden="1">#REF!</definedName>
    <definedName name="XRefPaste54" hidden="1">#REF!</definedName>
    <definedName name="XRefPaste54Row" hidden="1">#REF!</definedName>
    <definedName name="XRefPaste55" hidden="1">#REF!</definedName>
    <definedName name="XRefPaste55Row" hidden="1">#REF!</definedName>
    <definedName name="XRefPaste56" hidden="1">#REF!</definedName>
    <definedName name="XRefPaste56Row" hidden="1">#REF!</definedName>
    <definedName name="XRefPaste57" hidden="1">#REF!</definedName>
    <definedName name="XRefPaste57Row" hidden="1">#REF!</definedName>
    <definedName name="XRefPaste58" hidden="1">#REF!</definedName>
    <definedName name="XRefPaste58Row" hidden="1">#REF!</definedName>
    <definedName name="XRefPaste59" hidden="1">#REF!</definedName>
    <definedName name="XRefPaste59Row" hidden="1">#REF!</definedName>
    <definedName name="XRefPaste5Row" localSheetId="8" hidden="1">#REF!</definedName>
    <definedName name="XRefPaste5Row" hidden="1">#N/A</definedName>
    <definedName name="XRefPaste6" hidden="1">#REF!</definedName>
    <definedName name="XRefPaste60" hidden="1">#REF!</definedName>
    <definedName name="XRefPaste60Row" hidden="1">#REF!</definedName>
    <definedName name="XRefPaste61" hidden="1">#REF!</definedName>
    <definedName name="XRefPaste61Row" hidden="1">#REF!</definedName>
    <definedName name="XRefPaste62" hidden="1">#REF!</definedName>
    <definedName name="XRefPaste62Row" hidden="1">#REF!</definedName>
    <definedName name="XRefPaste63" hidden="1">#REF!</definedName>
    <definedName name="XRefPaste63Row" hidden="1">#REF!</definedName>
    <definedName name="XRefPaste64" hidden="1">#REF!</definedName>
    <definedName name="XRefPaste64Row" hidden="1">#REF!</definedName>
    <definedName name="XRefPaste65" hidden="1">#REF!</definedName>
    <definedName name="XRefPaste65Row" hidden="1">#REF!</definedName>
    <definedName name="XRefPaste66" hidden="1">#REF!</definedName>
    <definedName name="XRefPaste66Row" hidden="1">#REF!</definedName>
    <definedName name="XRefPaste67" hidden="1">#REF!</definedName>
    <definedName name="XRefPaste67Row" hidden="1">#REF!</definedName>
    <definedName name="XRefPaste68" hidden="1">#REF!</definedName>
    <definedName name="XRefPaste68Row" hidden="1">#REF!</definedName>
    <definedName name="XRefPaste69" hidden="1">#REF!</definedName>
    <definedName name="XRefPaste69Row" hidden="1">#REF!</definedName>
    <definedName name="XRefPaste6Row" localSheetId="8" hidden="1">#REF!</definedName>
    <definedName name="XRefPaste6Row" hidden="1">#N/A</definedName>
    <definedName name="XRefPaste7" hidden="1">#REF!</definedName>
    <definedName name="XRefPaste70" hidden="1">#REF!</definedName>
    <definedName name="XRefPaste70Row" hidden="1">#REF!</definedName>
    <definedName name="XRefPaste71" hidden="1">#REF!</definedName>
    <definedName name="XRefPaste71Row" hidden="1">#REF!</definedName>
    <definedName name="XRefPaste72" hidden="1">#REF!</definedName>
    <definedName name="XRefPaste72Row" hidden="1">#REF!</definedName>
    <definedName name="XRefPaste73" hidden="1">#REF!</definedName>
    <definedName name="XRefPaste73Row" hidden="1">#REF!</definedName>
    <definedName name="XRefPaste74" hidden="1">#REF!</definedName>
    <definedName name="XRefPaste74Row" hidden="1">#REF!</definedName>
    <definedName name="XRefPaste75" hidden="1">#REF!</definedName>
    <definedName name="XRefPaste75Row" hidden="1">#REF!</definedName>
    <definedName name="XRefPaste76" hidden="1">#REF!</definedName>
    <definedName name="XRefPaste76Row" hidden="1">#REF!</definedName>
    <definedName name="XRefPaste77" hidden="1">#REF!</definedName>
    <definedName name="XRefPaste77Row" hidden="1">#REF!</definedName>
    <definedName name="XRefPaste78" hidden="1">#REF!</definedName>
    <definedName name="XRefPaste78Row" hidden="1">#REF!</definedName>
    <definedName name="XRefPaste79" hidden="1">#REF!</definedName>
    <definedName name="XRefPaste79Row" hidden="1">#REF!</definedName>
    <definedName name="XRefPaste7Row" localSheetId="8" hidden="1">#REF!</definedName>
    <definedName name="XRefPaste7Row" hidden="1">#N/A</definedName>
    <definedName name="XRefPaste8" hidden="1">#REF!</definedName>
    <definedName name="XRefPaste80" hidden="1">#REF!</definedName>
    <definedName name="XRefPaste80Row" hidden="1">#REF!</definedName>
    <definedName name="XRefPaste81" hidden="1">#REF!</definedName>
    <definedName name="XRefPaste81Row" hidden="1">#REF!</definedName>
    <definedName name="XRefPaste82" hidden="1">#REF!</definedName>
    <definedName name="XRefPaste82Row" hidden="1">#REF!</definedName>
    <definedName name="XRefPaste83" hidden="1">#REF!</definedName>
    <definedName name="XRefPaste83Row" hidden="1">#REF!</definedName>
    <definedName name="XRefPaste84" hidden="1">#REF!</definedName>
    <definedName name="XRefPaste84Row" hidden="1">#REF!</definedName>
    <definedName name="XRefPaste85" hidden="1">#REF!</definedName>
    <definedName name="XRefPaste85Row" hidden="1">#REF!</definedName>
    <definedName name="XRefPaste86" hidden="1">#REF!</definedName>
    <definedName name="XRefPaste86Row" hidden="1">#REF!</definedName>
    <definedName name="XRefPaste87" hidden="1">#REF!</definedName>
    <definedName name="XRefPaste88" hidden="1">#REF!</definedName>
    <definedName name="XRefPaste89" hidden="1">#REF!</definedName>
    <definedName name="XRefPaste89Row" hidden="1">#REF!</definedName>
    <definedName name="XRefPaste8Row" hidden="1">#N/A</definedName>
    <definedName name="XRefPaste9" hidden="1">#REF!</definedName>
    <definedName name="XRefPaste90" hidden="1">#REF!</definedName>
    <definedName name="XRefPaste90Row" hidden="1">#REF!</definedName>
    <definedName name="XRefPaste91" hidden="1">#REF!</definedName>
    <definedName name="XRefPaste91Row" hidden="1">#REF!</definedName>
    <definedName name="XRefPaste92" hidden="1">#REF!</definedName>
    <definedName name="XRefPaste92Row" hidden="1">#REF!</definedName>
    <definedName name="XRefPaste93" hidden="1">#REF!</definedName>
    <definedName name="XRefPaste93Row" hidden="1">#REF!</definedName>
    <definedName name="XRefPaste94Row" hidden="1">#REF!</definedName>
    <definedName name="XRefPaste95Row" hidden="1">#REF!</definedName>
    <definedName name="XRefPaste96" hidden="1">#REF!</definedName>
    <definedName name="XRefPaste96Row" hidden="1">#REF!</definedName>
    <definedName name="XRefPaste97" hidden="1">#REF!</definedName>
    <definedName name="XRefPaste97Row" hidden="1">#REF!</definedName>
    <definedName name="XRefPaste98" hidden="1">#REF!</definedName>
    <definedName name="XRefPaste98Row" hidden="1">#REF!</definedName>
    <definedName name="XRefPaste99" hidden="1">#REF!</definedName>
    <definedName name="XRefPaste99Row" hidden="1">#REF!</definedName>
    <definedName name="XRefPaste9Row" hidden="1">#N/A</definedName>
    <definedName name="XRefPasteRangeCount" localSheetId="8" hidden="1">7</definedName>
    <definedName name="XRefPasteRangeCount" hidden="1">2</definedName>
    <definedName name="XS" hidden="1">{#N/A,#N/A,FALSE,"을지 (4)";#N/A,#N/A,FALSE,"을지 (5)";#N/A,#N/A,FALSE,"을지 (6)"}</definedName>
    <definedName name="Y2K" hidden="1">#REF!</definedName>
    <definedName name="Yield" hidden="1">{#N/A,#N/A,FALSE,"98소지이동TOTvs99.1 (2)";#N/A,#N/A,FALSE,"TOTAL";#N/A,#N/A,FALSE,"98소지이동TOTvs99.1(b) (2)"}</definedName>
    <definedName name="yiuyui"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YT" hidden="1">#REF!</definedName>
    <definedName name="ytyy"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yyhh" hidden="1">#REF!</definedName>
    <definedName name="yyyy"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z" hidden="1">{#N/A,#N/A,FALSE,"Aging Summary";#N/A,#N/A,FALSE,"Ratio Analysis";#N/A,#N/A,FALSE,"Test 120 Day Accts";#N/A,#N/A,FALSE,"Tickmarks"}</definedName>
    <definedName name="Z_33376133_CFCA_11D4_9FDE_000103021132_.wvu.Cols" hidden="1">#REF!,#REF!</definedName>
    <definedName name="Z_33376133_CFCA_11D4_9FDE_000103021132_.wvu.Rows" hidden="1">#REF!</definedName>
    <definedName name="Z_65726B72_CEFC_11D4_AA53_00010301C464_.wvu.Cols" hidden="1">#REF!,#REF!</definedName>
    <definedName name="Z_65726B72_CEFC_11D4_AA53_00010301C464_.wvu.Rows" hidden="1">#REF!</definedName>
    <definedName name="Z_C00E0055_D79E_11D4_84AD_00D0B7B3CB09_.wvu.Cols" hidden="1">#REF!,#REF!</definedName>
    <definedName name="Z_C00E0055_D79E_11D4_84AD_00D0B7B3CB09_.wvu.Rows" hidden="1">#REF!</definedName>
    <definedName name="za">#REF!</definedName>
    <definedName name="ZX" hidden="1">{#N/A,#N/A,FALSE,"초도품";#N/A,#N/A,FALSE,"초도품 (2)";#N/A,#N/A,FALSE,"초도품 (3)";#N/A,#N/A,FALSE,"초도품 (4)";#N/A,#N/A,FALSE,"초도품 (5)";#N/A,#N/A,FALSE,"초도품 (6)"}</definedName>
    <definedName name="ппп" hidden="1">#N/A</definedName>
    <definedName name="ㄱ" hidden="1">{#N/A,#N/A,FALSE,"BS";#N/A,#N/A,FALSE,"PL";#N/A,#N/A,FALSE,"처분";#N/A,#N/A,FALSE,"현금";#N/A,#N/A,FALSE,"매출";#N/A,#N/A,FALSE,"원가";#N/A,#N/A,FALSE,"경영"}</definedName>
    <definedName name="ㄱㄱ" hidden="1">{#N/A,#N/A,FALSE,"손익표지";#N/A,#N/A,FALSE,"손익계산";#N/A,#N/A,FALSE,"일반관리비";#N/A,#N/A,FALSE,"영업외수익";#N/A,#N/A,FALSE,"영업외비용";#N/A,#N/A,FALSE,"매출액";#N/A,#N/A,FALSE,"요약손익";#N/A,#N/A,FALSE,"요약대차";#N/A,#N/A,FALSE,"매출채권현황";#N/A,#N/A,FALSE,"매출채권명세"}</definedName>
    <definedName name="ㄱㄱㄱ" hidden="1">{#N/A,#N/A,FALSE,"UNIT";#N/A,#N/A,FALSE,"UNIT";#N/A,#N/A,FALSE,"계정"}</definedName>
    <definedName name="ㄱㄱㄱㄱㄱ" hidden="1">{#N/A,#N/A,FALSE,"UNIT";#N/A,#N/A,FALSE,"UNIT";#N/A,#N/A,FALSE,"계정"}</definedName>
    <definedName name="ㄱ고" hidden="1">{#N/A,#N/A,FALSE,"교육시간"}</definedName>
    <definedName name="ㄱㄷㄱㄱ" hidden="1">{#N/A,#N/A,TRUE,"일정"}</definedName>
    <definedName name="ㄱㄿ" hidden="1">{#N/A,#N/A,FALSE,"Sheet1"}</definedName>
    <definedName name="ㄱㅇ" hidden="1">{#N/A,#N/A,FALSE,"단축1";#N/A,#N/A,FALSE,"단축2";#N/A,#N/A,FALSE,"단축3";#N/A,#N/A,FALSE,"장축";#N/A,#N/A,FALSE,"4WD"}</definedName>
    <definedName name="가" hidden="1">{#N/A,#N/A,FALSE,"BS";#N/A,#N/A,FALSE,"PL";#N/A,#N/A,FALSE,"처분";#N/A,#N/A,FALSE,"현금";#N/A,#N/A,FALSE,"매출";#N/A,#N/A,FALSE,"원가";#N/A,#N/A,FALSE,"경영"}</definedName>
    <definedName name="가1" hidden="1">{#N/A,#N/A,TRUE,"Y생산";#N/A,#N/A,TRUE,"Y판매";#N/A,#N/A,TRUE,"Y총물량";#N/A,#N/A,TRUE,"Y능력";#N/A,#N/A,TRUE,"YKD"}</definedName>
    <definedName name="가123" hidden="1">{"'분양원가'!$B$1:$F$113"}</definedName>
    <definedName name="가가"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가가가"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가나" hidden="1">#REF!</definedName>
    <definedName name="가나다"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가나다라" hidden="1">{#N/A,#N/A,TRUE,"일정"}</definedName>
    <definedName name="가나다오" hidden="1">{#N/A,#N/A,FALSE,"정공"}</definedName>
    <definedName name="가로"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가로손익계산서"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가아ㅓ라어" hidden="1">{#N/A,#N/A,FALSE,"초도품";#N/A,#N/A,FALSE,"초도품 (2)";#N/A,#N/A,FALSE,"초도품 (3)";#N/A,#N/A,FALSE,"초도품 (4)";#N/A,#N/A,FALSE,"초도품 (5)";#N/A,#N/A,FALSE,"초도품 (6)"}</definedName>
    <definedName name="가양" hidden="1">{"YTD/Forecast",#N/A,TRUE,"Fcst_TPLN";"Monthly Averages",#N/A,TRUE,"Fcst_TPLN"}</definedName>
    <definedName name="간" hidden="1">{#N/A,#N/A,FALSE,"UNIT";#N/A,#N/A,FALSE,"UNIT";#N/A,#N/A,FALSE,"계정"}</definedName>
    <definedName name="감"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감가overall" hidden="1">{#N/A,#N/A,FALSE,"Aging Summary";#N/A,#N/A,FALSE,"Ratio Analysis";#N/A,#N/A,FALSE,"Test 120 Day Accts";#N/A,#N/A,FALSE,"Tickmarks"}</definedName>
    <definedName name="강선희"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갤로" hidden="1">{#N/A,#N/A,FALSE,"정공"}</definedName>
    <definedName name="거러" hidden="1">{#N/A,#N/A,FALSE,"정공"}</definedName>
    <definedName name="거리도모" hidden="1">{#N/A,#N/A,FALSE,"BS";#N/A,#N/A,FALSE,"PL";#N/A,#N/A,FALSE,"처분";#N/A,#N/A,FALSE,"현금";#N/A,#N/A,FALSE,"매출";#N/A,#N/A,FALSE,"원가";#N/A,#N/A,FALSE,"경영"}</definedName>
    <definedName name="건물임." hidden="1">{"'손익현황'!$A$1:$J$29"}</definedName>
    <definedName name="결론" hidden="1">{"'Sheet1'!$A$1:$H$36"}</definedName>
    <definedName name="결산성과"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결손"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결손등"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경리손익" hidden="1">{#N/A,#N/A,FALSE,"정공"}</definedName>
    <definedName name="경비실적" hidden="1">{#N/A,#N/A,FALSE,"정공"}</definedName>
    <definedName name="경상2" hidden="1">{#N/A,#N/A,FALSE,"교재수정"}</definedName>
    <definedName name="경상개" hidden="1">{#N/A,#N/A,FALSE,"교재수정"}</definedName>
    <definedName name="경상개발료" hidden="1">{#N/A,#N/A,FALSE,"교재수정"}</definedName>
    <definedName name="경영" hidden="1">#REF!</definedName>
    <definedName name="경영방침" hidden="1">#REF!</definedName>
    <definedName name="경영지표" hidden="1">{#N/A,#N/A,FALSE,"BS";#N/A,#N/A,FALSE,"PL";#N/A,#N/A,FALSE,"처분";#N/A,#N/A,FALSE,"현금";#N/A,#N/A,FALSE,"매출";#N/A,#N/A,FALSE,"원가";#N/A,#N/A,FALSE,"경영"}</definedName>
    <definedName name="경영지표2" hidden="1">#REF!</definedName>
    <definedName name="경쟁사1" hidden="1">#REF!</definedName>
    <definedName name="경쟁사2" hidden="1">#REF!</definedName>
    <definedName name="계량기재료비분석" hidden="1">{#N/A,#N/A,FALSE,"UNIT";#N/A,#N/A,FALSE,"UNIT";#N/A,#N/A,FALSE,"계정"}</definedName>
    <definedName name="계약" hidden="1">{#N/A,#N/A,FALSE,"계약직(여)"}</definedName>
    <definedName name="계열사매출채권요약" hidden="1">{#N/A,#N/A,FALSE,"계약직(여)"}</definedName>
    <definedName name="계전">#REF!</definedName>
    <definedName name="계전1">#REF!</definedName>
    <definedName name="계전팀">#REF!</definedName>
    <definedName name="계정번호표" hidden="1">{#N/A,#N/A,FALSE,"BS";#N/A,#N/A,FALSE,"PL";#N/A,#N/A,FALSE,"처분";#N/A,#N/A,FALSE,"현금";#N/A,#N/A,FALSE,"매출";#N/A,#N/A,FALSE,"원가";#N/A,#N/A,FALSE,"경영"}</definedName>
    <definedName name="계획" hidden="1">#REF!</definedName>
    <definedName name="계획1" hidden="1">{#N/A,#N/A,FALSE,"UNIT";#N/A,#N/A,FALSE,"UNIT";#N/A,#N/A,FALSE,"계정"}</definedName>
    <definedName name="계획2" hidden="1">{#N/A,#N/A,FALSE,"정공"}</definedName>
    <definedName name="고정비비교자세히" hidden="1">#REF!</definedName>
    <definedName name="공" hidden="1">{"'손익현황'!$A$1:$J$29"}</definedName>
    <definedName name="공구" hidden="1">{"'손익현황'!$A$1:$J$29"}</definedName>
    <definedName name="공구기구" hidden="1">{"'손익현황'!$A$1:$J$29"}</definedName>
    <definedName name="공무">#REF!</definedName>
    <definedName name="공미" hidden="1">{"'분양원가'!$B$1:$F$113"}</definedName>
    <definedName name="공수투입" hidden="1">{#N/A,#N/A,FALSE,"정공"}</definedName>
    <definedName name="공장지원" hidden="1">#REF!</definedName>
    <definedName name="공장지원팀" hidden="1">#REF!</definedName>
    <definedName name="공정기술" hidden="1">{#N/A,#N/A,FALSE,"교재수정"}</definedName>
    <definedName name="공증비"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공항" hidden="1">{"YTD/Forecast",#N/A,TRUE,"Fcst_TPLN";"Monthly Averages",#N/A,TRUE,"Fcst_TPLN"}</definedName>
    <definedName name="관실적"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관유리"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광주신1" hidden="1">{"YTD/Forecast",#N/A,TRUE,"Fcst_TPLN";"Monthly Averages",#N/A,TRUE,"Fcst_TPLN"}</definedName>
    <definedName name="구" hidden="1">{#N/A,#N/A,FALSE,"BS";#N/A,#N/A,FALSE,"PL";#N/A,#N/A,FALSE,"처분";#N/A,#N/A,FALSE,"현금";#N/A,#N/A,FALSE,"매출";#N/A,#N/A,FALSE,"원가";#N/A,#N/A,FALSE,"경영"}</definedName>
    <definedName name="구분">#REF!</definedName>
    <definedName name="구축물임" hidden="1">{"'손익현황'!$A$1:$J$29"}</definedName>
    <definedName name="국대">#REF!</definedName>
    <definedName name="국민2002."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국민3003.1.14"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국제" hidden="1">{#N/A,#N/A,FALSE,"손익표지";#N/A,#N/A,FALSE,"손익계산";#N/A,#N/A,FALSE,"일반관리비";#N/A,#N/A,FALSE,"영업외수익";#N/A,#N/A,FALSE,"영업외비용";#N/A,#N/A,FALSE,"매출액";#N/A,#N/A,FALSE,"요약손익";#N/A,#N/A,FALSE,"요약대차";#N/A,#N/A,FALSE,"매출채권현황";#N/A,#N/A,FALSE,"매출채권명세"}</definedName>
    <definedName name="국제거래"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국제선" hidden="1">{#N/A,#N/A,FALSE,"손익표지";#N/A,#N/A,FALSE,"손익계산";#N/A,#N/A,FALSE,"일반관리비";#N/A,#N/A,FALSE,"영업외수익";#N/A,#N/A,FALSE,"영업외비용";#N/A,#N/A,FALSE,"매출액";#N/A,#N/A,FALSE,"요약손익";#N/A,#N/A,FALSE,"요약대차";#N/A,#N/A,FALSE,"매출채권현황";#N/A,#N/A,FALSE,"매출채권명세"}</definedName>
    <definedName name="규남이"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그래도모도소" hidden="1">{#N/A,#N/A,FALSE,"BS";#N/A,#N/A,FALSE,"PL";#N/A,#N/A,FALSE,"처분";#N/A,#N/A,FALSE,"현금";#N/A,#N/A,FALSE,"매출";#N/A,#N/A,FALSE,"원가";#N/A,#N/A,FALSE,"경영"}</definedName>
    <definedName name="그래도뭐" hidden="1">{#N/A,#N/A,FALSE,"BS";#N/A,#N/A,FALSE,"PL";#N/A,#N/A,FALSE,"처분";#N/A,#N/A,FALSE,"현금";#N/A,#N/A,FALSE,"매출";#N/A,#N/A,FALSE,"원가";#N/A,#N/A,FALSE,"경영"}</definedName>
    <definedName name="그래도요" hidden="1">{#N/A,#N/A,FALSE,"BS";#N/A,#N/A,FALSE,"PL";#N/A,#N/A,FALSE,"처분";#N/A,#N/A,FALSE,"현금";#N/A,#N/A,FALSE,"매출";#N/A,#N/A,FALSE,"원가";#N/A,#N/A,FALSE,"경영"}</definedName>
    <definedName name="그리도무지" hidden="1">{#N/A,#N/A,FALSE,"BS";#N/A,#N/A,FALSE,"PL";#N/A,#N/A,FALSE,"처분";#N/A,#N/A,FALSE,"현금";#N/A,#N/A,FALSE,"매출";#N/A,#N/A,FALSE,"원가";#N/A,#N/A,FALSE,"경영"}</definedName>
    <definedName name="근거2" hidden="1">{#N/A,#N/A,FALSE,"단축1";#N/A,#N/A,FALSE,"단축2";#N/A,#N/A,FALSE,"단축3";#N/A,#N/A,FALSE,"장축";#N/A,#N/A,FALSE,"4WD"}</definedName>
    <definedName name="근태">#REF!</definedName>
    <definedName name="근태진짜" hidden="1">{"YTD/Forecast",#N/A,TRUE,"Fcst_TPLN";"Monthly Averages",#N/A,TRUE,"Fcst_TPLN"}</definedName>
    <definedName name="금월" hidden="1">{#N/A,#N/A,TRUE,"Y생산";#N/A,#N/A,TRUE,"Y판매";#N/A,#N/A,TRUE,"Y총물량";#N/A,#N/A,TRUE,"Y능력";#N/A,#N/A,TRUE,"YKD"}</definedName>
    <definedName name="금융비용" hidden="1">#REF!</definedName>
    <definedName name="급여1" hidden="1">#REF!</definedName>
    <definedName name="급여인상안" hidden="1">{#N/A,#N/A,FALSE,"계약직(여)"}</definedName>
    <definedName name="급여테스트"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기기" hidden="1">{#N/A,#N/A,FALSE,"UNIT";#N/A,#N/A,FALSE,"UNIT";#N/A,#N/A,FALSE,"계정"}</definedName>
    <definedName name="기기투자리스트" hidden="1">{#N/A,#N/A,FALSE,"UNIT";#N/A,#N/A,FALSE,"UNIT";#N/A,#N/A,FALSE,"계정"}</definedName>
    <definedName name="기말원재료">#REF!</definedName>
    <definedName name="기말재공품">#REF!</definedName>
    <definedName name="기말저장품">#REF!</definedName>
    <definedName name="기말제품재고액">#REF!</definedName>
    <definedName name="기본계획"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기본급" hidden="1">{#N/A,#N/A,FALSE,"계약직(여)"}</definedName>
    <definedName name="기술" hidden="1">{#N/A,#N/A,FALSE,"교재수정"}</definedName>
    <definedName name="기술교류" hidden="1">{#N/A,#N/A,FALSE,"교재수정"}</definedName>
    <definedName name="기술교류회" hidden="1">{#N/A,#N/A,FALSE,"교재수정"}</definedName>
    <definedName name="기아모텍" hidden="1">{#N/A,#N/A,FALSE,"정공"}</definedName>
    <definedName name="기아모텍1" hidden="1">{#N/A,#N/A,FALSE,"정공"}</definedName>
    <definedName name="기아전자" hidden="1">{#N/A,#N/A,FALSE,"정공"}</definedName>
    <definedName name="기얻"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기업가치" comment="최종 기업가치">#REF!</definedName>
    <definedName name="기존" hidden="1">{#N/A,#N/A,FALSE,"UNIT";#N/A,#N/A,FALSE,"UNIT";#N/A,#N/A,FALSE,"계정"}</definedName>
    <definedName name="기준일">#REF!</definedName>
    <definedName name="기준일2">#REF!</definedName>
    <definedName name="기초원재교">#REF!</definedName>
    <definedName name="기초원재료">#REF!</definedName>
    <definedName name="기초재공품">#REF!</definedName>
    <definedName name="기초저장품">#REF!</definedName>
    <definedName name="기초제품재고액">#REF!</definedName>
    <definedName name="기타매출">#REF!</definedName>
    <definedName name="기타매출원가">#REF!</definedName>
    <definedName name="김" hidden="1">{#N/A,#N/A,TRUE,"일정"}</definedName>
    <definedName name="김대업" hidden="1">{#N/A,#N/A,FALSE,"기술료 비교"}</definedName>
    <definedName name="김종묵" hidden="1">{#N/A,#N/A,FALSE,"기술료 비교"}</definedName>
    <definedName name="ㄳㅅㅅㄳㄱ" hidden="1">{#N/A,#N/A,TRUE,"양식5";#N/A,#N/A,TRUE,"양식1_2_2";#N/A,#N/A,TRUE,"양식1_1_2";#N/A,#N/A,TRUE,"양식2";#N/A,#N/A,TRUE,"양식4";#N/A,#N/A,TRUE,"양식3";#N/A,#N/A,TRUE,"양식6";#N/A,#N/A,TRUE,"양식7";#N/A,#N/A,TRUE,"양식10";#N/A,#N/A,TRUE,"양식11";#N/A,#N/A,TRUE,"양식12";#N/A,#N/A,TRUE,"양식13_1_2";#N/A,#N/A,TRUE,"양식13_2_2";#N/A,#N/A,TRUE,"양식14"}</definedName>
    <definedName name="ㄴ" hidden="1">{#N/A,#N/A,FALSE,"BS";#N/A,#N/A,FALSE,"PL";#N/A,#N/A,FALSE,"처분";#N/A,#N/A,FALSE,"현금";#N/A,#N/A,FALSE,"매출";#N/A,#N/A,FALSE,"원가";#N/A,#N/A,FALSE,"경영"}</definedName>
    <definedName name="ㄴㄴ" hidden="1">{#N/A,#N/A,FALSE,"손익표지";#N/A,#N/A,FALSE,"손익계산";#N/A,#N/A,FALSE,"일반관리비";#N/A,#N/A,FALSE,"영업외수익";#N/A,#N/A,FALSE,"영업외비용";#N/A,#N/A,FALSE,"매출액";#N/A,#N/A,FALSE,"요약손익";#N/A,#N/A,FALSE,"요약대차";#N/A,#N/A,FALSE,"매출채권현황";#N/A,#N/A,FALSE,"매출채권명세"}</definedName>
    <definedName name="ㄴㄴㄴ" hidden="1">{#N/A,#N/A,FALSE,"BS";#N/A,#N/A,FALSE,"PL";#N/A,#N/A,FALSE,"처분";#N/A,#N/A,FALSE,"현금";#N/A,#N/A,FALSE,"매출";#N/A,#N/A,FALSE,"원가";#N/A,#N/A,FALSE,"경영"}</definedName>
    <definedName name="ㄴㄴㄴㄴ" hidden="1">{#N/A,#N/A,FALSE,"UNIT";#N/A,#N/A,FALSE,"UNIT";#N/A,#N/A,FALSE,"계정"}</definedName>
    <definedName name="ㄴㄹ" hidden="1">#REF!</definedName>
    <definedName name="ㄴ류율ㅇ" hidden="1">{#N/A,#N/A,FALSE,"Yield";#N/A,#N/A,FALSE,"Loss1";#N/A,#N/A,FALSE,"Loss2";#N/A,#N/A,FALSE,"Hour-Labor(배분)";#N/A,#N/A,FALSE,"Capital Expenditure";#N/A,#N/A,FALSE,"Productivity"}</definedName>
    <definedName name="ㄴㅁㅁ" hidden="1">{#N/A,#N/A,FALSE,"Aging Summary";#N/A,#N/A,FALSE,"Ratio Analysis";#N/A,#N/A,FALSE,"Test 120 Day Accts";#N/A,#N/A,FALSE,"Tickmarks"}</definedName>
    <definedName name="ㄴㅁㅇㄹ" hidden="1">#REF!</definedName>
    <definedName name="ㄴㅇ" hidden="1">{#N/A,#N/A,FALSE,"교재수정"}</definedName>
    <definedName name="ㄴㅇㄹ" hidden="1">{#N/A,#N/A,FALSE,"UNIT";#N/A,#N/A,FALSE,"UNIT";#N/A,#N/A,FALSE,"계정"}</definedName>
    <definedName name="ㄴㅇ라" hidden="1">{#N/A,#N/A,FALSE,"계약직(여)"}</definedName>
    <definedName name="ㄴㅇㅀㅁㅇㅎㄴㅇㅁㅀㅇㅀㄴㅇㅀ" hidden="1">{#N/A,#N/A,FALSE,"정공"}</definedName>
    <definedName name="ㄴㅇㅇ" hidden="1">{#N/A,#N/A,TRUE,"일정"}</definedName>
    <definedName name="나" hidden="1">{#N/A,#N/A,FALSE,"BS";#N/A,#N/A,FALSE,"PL";#N/A,#N/A,FALSE,"처분";#N/A,#N/A,FALSE,"현금";#N/A,#N/A,FALSE,"매출";#N/A,#N/A,FALSE,"원가";#N/A,#N/A,FALSE,"경영"}</definedName>
    <definedName name="나라사랑" hidden="1">{#N/A,#N/A,FALSE,"정공"}</definedName>
    <definedName name="나무"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나무라오" hidden="1">{#N/A,#N/A,FALSE,"정공"}</definedName>
    <definedName name="나ㅏㅇ" hidden="1">#REF!</definedName>
    <definedName name="남의나라" hidden="1">{#N/A,#N/A,FALSE,"정공"}</definedName>
    <definedName name="누계" hidden="1">{#N/A,#N/A,FALSE,"단축1";#N/A,#N/A,FALSE,"단축2";#N/A,#N/A,FALSE,"단축3";#N/A,#N/A,FALSE,"장축";#N/A,#N/A,FALSE,"4WD"}</definedName>
    <definedName name="누적" hidden="1">{#N/A,#N/A,FALSE,"Sheet1"}</definedName>
    <definedName name="닣" hidden="1">#REF!</definedName>
    <definedName name="ㄷ" hidden="1">{#N/A,#N/A,FALSE,"Sheet1"}</definedName>
    <definedName name="ㄷㄷ" hidden="1">{#N/A,#N/A,FALSE,"손익표지";#N/A,#N/A,FALSE,"손익계산";#N/A,#N/A,FALSE,"일반관리비";#N/A,#N/A,FALSE,"영업외수익";#N/A,#N/A,FALSE,"영업외비용";#N/A,#N/A,FALSE,"매출액";#N/A,#N/A,FALSE,"요약손익";#N/A,#N/A,FALSE,"요약대차";#N/A,#N/A,FALSE,"매출채권현황";#N/A,#N/A,FALSE,"매출채권명세"}</definedName>
    <definedName name="ㄷㄷㄷ" hidden="1">{#N/A,#N/A,FALSE,"Sheet1"}</definedName>
    <definedName name="ㄷㄷㄷㄷ" hidden="1">{"'Sheet1'!$A$1:$H$36"}</definedName>
    <definedName name="ㄷㄷㄷㄷㄷ" hidden="1">{#N/A,#N/A,FALSE,"교재수정"}</definedName>
    <definedName name="ㄷㄷㄷㄹㅇ" hidden="1">{#N/A,#N/A,FALSE,"Sheet1"}</definedName>
    <definedName name="ㄷㅇ" hidden="1">{#N/A,#N/A,TRUE,"일정"}</definedName>
    <definedName name="ㄷㅈ" hidden="1">#REF!</definedName>
    <definedName name="ㄷㅈㄷ"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다" hidden="1">{#N/A,#N/A,FALSE,"BS";#N/A,#N/A,FALSE,"PL";#N/A,#N/A,FALSE,"처분";#N/A,#N/A,FALSE,"현금";#N/A,#N/A,FALSE,"매출";#N/A,#N/A,FALSE,"원가";#N/A,#N/A,FALSE,"경영"}</definedName>
    <definedName name="다가아노는" hidden="1">{#N/A,#N/A,FALSE,"BS";#N/A,#N/A,FALSE,"PL";#N/A,#N/A,FALSE,"처분";#N/A,#N/A,FALSE,"현금";#N/A,#N/A,FALSE,"매출";#N/A,#N/A,FALSE,"원가";#N/A,#N/A,FALSE,"경영"}</definedName>
    <definedName name="다기2"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다나가라" hidden="1">{#N/A,#N/A,FALSE,"정공"}</definedName>
    <definedName name="다다" hidden="1">{#N/A,#N/A,FALSE,"정공"}</definedName>
    <definedName name="다다익선" hidden="1">{#N/A,#N/A,FALSE,"정공"}</definedName>
    <definedName name="다달이" hidden="1">{#N/A,#N/A,FALSE,"정공"}</definedName>
    <definedName name="다라니경" hidden="1">{#N/A,#N/A,FALSE,"정공"}</definedName>
    <definedName name="다라니경을피우자" hidden="1">{#N/A,#N/A,FALSE,"정공"}</definedName>
    <definedName name="다른" hidden="1">{#N/A,#N/A,FALSE,"BS";#N/A,#N/A,FALSE,"PL";#N/A,#N/A,FALSE,"처분";#N/A,#N/A,FALSE,"현금";#N/A,#N/A,FALSE,"매출";#N/A,#N/A,FALSE,"원가";#N/A,#N/A,FALSE,"경영"}</definedName>
    <definedName name="단기" hidden="1">#REF!</definedName>
    <definedName name="단기예치금5월" hidden="1">{"'분양원가'!$B$1:$F$113"}</definedName>
    <definedName name="단기차입금" hidden="1">{#N/A,#N/A,FALSE,"Aging Summary";#N/A,#N/A,FALSE,"Ratio Analysis";#N/A,#N/A,FALSE,"Test 120 Day Accts";#N/A,#N/A,FALSE,"Tickmarks"}</definedName>
    <definedName name="단말기" hidden="1">{#N/A,#N/A,FALSE,"정공"}</definedName>
    <definedName name="단말기번호" hidden="1">{#N/A,#N/A,FALSE,"정공"}</definedName>
    <definedName name="단알기" hidden="1">{#N/A,#N/A,FALSE,"정공"}</definedName>
    <definedName name="단위기간">#REF!</definedName>
    <definedName name="달러">#REF!</definedName>
    <definedName name="담당1" hidden="1">{#N/A,#N/A,TRUE,"일정"}</definedName>
    <definedName name="당기순이익">#REF!</definedName>
    <definedName name="당기제품제조원가">#REF!</definedName>
    <definedName name="당월달러">#REF!</definedName>
    <definedName name="당월엔화">#REF!</definedName>
    <definedName name="당좌차월" hidden="1">{#N/A,#N/A,FALSE,"BS";#N/A,#N/A,FALSE,"PL";#N/A,#N/A,FALSE,"처분";#N/A,#N/A,FALSE,"현금";#N/A,#N/A,FALSE,"매출";#N/A,#N/A,FALSE,"원가";#N/A,#N/A,FALSE,"경영"}</definedName>
    <definedName name="당초기준손이" hidden="1">{#N/A,#N/A,FALSE,"정공"}</definedName>
    <definedName name="당초손익표" hidden="1">{#N/A,#N/A,FALSE,"정공"}</definedName>
    <definedName name="대" hidden="1">#REF!</definedName>
    <definedName name="대련" hidden="1">{#N/A,#N/A,FALSE,"UNIT";#N/A,#N/A,FALSE,"UNIT";#N/A,#N/A,FALSE,"계정"}</definedName>
    <definedName name="대리님" hidden="1">{#N/A,#N/A,FALSE,"정공"}</definedName>
    <definedName name="대상시트" hidden="1">{#N/A,#N/A,FALSE,"정공"}</definedName>
    <definedName name="대손상각" hidden="1">{#N/A,#N/A,FALSE,"BS";#N/A,#N/A,FALSE,"PL";#N/A,#N/A,FALSE,"처분";#N/A,#N/A,FALSE,"현금";#N/A,#N/A,FALSE,"매출";#N/A,#N/A,FALSE,"원가";#N/A,#N/A,FALSE,"경영"}</definedName>
    <definedName name="대차대조표.." hidden="1">#REF!</definedName>
    <definedName name="대치대차" hidden="1">{#N/A,#N/A,FALSE,"매출이익"}</definedName>
    <definedName name="도" hidden="1">{#N/A,#N/A,FALSE,"BS";#N/A,#N/A,FALSE,"PL";#N/A,#N/A,FALSE,"처분";#N/A,#N/A,FALSE,"현금";#N/A,#N/A,FALSE,"매출";#N/A,#N/A,FALSE,"원가";#N/A,#N/A,FALSE,"경영"}</definedName>
    <definedName name="도모" hidden="1">{#N/A,#N/A,FALSE,"BS";#N/A,#N/A,FALSE,"PL";#N/A,#N/A,FALSE,"처분";#N/A,#N/A,FALSE,"현금";#N/A,#N/A,FALSE,"매출";#N/A,#N/A,FALSE,"원가";#N/A,#N/A,FALSE,"경영"}</definedName>
    <definedName name="도별" hidden="1">#REF!</definedName>
    <definedName name="도조" hidden="1">{#N/A,#N/A,FALSE,"BS";#N/A,#N/A,FALSE,"PL";#N/A,#N/A,FALSE,"처분";#N/A,#N/A,FALSE,"현금";#N/A,#N/A,FALSE,"매출";#N/A,#N/A,FALSE,"원가";#N/A,#N/A,FALSE,"경영"}</definedName>
    <definedName name="동방" hidden="1">{#N/A,#N/A,FALSE,"BS";#N/A,#N/A,FALSE,"PL";#N/A,#N/A,FALSE,"처분";#N/A,#N/A,FALSE,"현금";#N/A,#N/A,FALSE,"매출";#N/A,#N/A,FALSE,"원가";#N/A,#N/A,FALSE,"경영"}</definedName>
    <definedName name="동방1" hidden="1">{#N/A,#N/A,FALSE,"BS";#N/A,#N/A,FALSE,"PL";#N/A,#N/A,FALSE,"A";#N/A,#N/A,FALSE,"B";#N/A,#N/A,FALSE,"B1";#N/A,#N/A,FALSE,"C";#N/A,#N/A,FALSE,"C1";#N/A,#N/A,FALSE,"C2";#N/A,#N/A,FALSE,"D";#N/A,#N/A,FALSE,"E";#N/A,#N/A,FALSE,"F";#N/A,#N/A,FALSE,"AA";#N/A,#N/A,FALSE,"BB";#N/A,#N/A,FALSE,"CC";#N/A,#N/A,FALSE,"DD";#N/A,#N/A,FALSE,"EE";#N/A,#N/A,FALSE,"FF";#N/A,#N/A,FALSE,"PL10";#N/A,#N/A,FALSE,"PL20";#N/A,#N/A,FALSE,"PL30"}</definedName>
    <definedName name="됴" hidden="1">{#N/A,#N/A,FALSE,"BS";#N/A,#N/A,FALSE,"PL";#N/A,#N/A,FALSE,"처분";#N/A,#N/A,FALSE,"현금";#N/A,#N/A,FALSE,"매출";#N/A,#N/A,FALSE,"원가";#N/A,#N/A,FALSE,"경영"}</definedName>
    <definedName name="두" hidden="1">{#N/A,#N/A,FALSE,"BS";#N/A,#N/A,FALSE,"PL";#N/A,#N/A,FALSE,"처분";#N/A,#N/A,FALSE,"현금";#N/A,#N/A,FALSE,"매출";#N/A,#N/A,FALSE,"원가";#N/A,#N/A,FALSE,"경영"}</definedName>
    <definedName name="두려" hidden="1">{#N/A,#N/A,FALSE,"BS";#N/A,#N/A,FALSE,"PL";#N/A,#N/A,FALSE,"처분";#N/A,#N/A,FALSE,"현금";#N/A,#N/A,FALSE,"매출";#N/A,#N/A,FALSE,"원가";#N/A,#N/A,FALSE,"경영"}</definedName>
    <definedName name="두번째" hidden="1">{#N/A,#N/A,FALSE,"정공"}</definedName>
    <definedName name="ㄹ" hidden="1">{#N/A,#N/A,FALSE,"BS";#N/A,#N/A,FALSE,"PL";#N/A,#N/A,FALSE,"처분";#N/A,#N/A,FALSE,"현금";#N/A,#N/A,FALSE,"매출";#N/A,#N/A,FALSE,"원가";#N/A,#N/A,FALSE,"경영"}</definedName>
    <definedName name="ㄹGGG"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ㄹㄴㅇㄹ"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ㄹㄷㅈ" hidden="1">#REF!</definedName>
    <definedName name="ㄹㄷㅈㄹㄹㄹ" hidden="1">#N/A</definedName>
    <definedName name="ㄹㄹ" hidden="1">{#N/A,#N/A,FALSE,"손익표지";#N/A,#N/A,FALSE,"손익계산";#N/A,#N/A,FALSE,"일반관리비";#N/A,#N/A,FALSE,"영업외수익";#N/A,#N/A,FALSE,"영업외비용";#N/A,#N/A,FALSE,"매출액";#N/A,#N/A,FALSE,"요약손익";#N/A,#N/A,FALSE,"요약대차";#N/A,#N/A,FALSE,"매출채권현황";#N/A,#N/A,FALSE,"매출채권명세"}</definedName>
    <definedName name="ㄹㄹㄹㄹㄹㄹㄹㄹㄹ" hidden="1">{#N/A,#N/A,FALSE,"Sheet1"}</definedName>
    <definedName name="ㄹㅁ"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ㄹㅇㅀㅇㄹ" hidden="1">{#N/A,#N/A,FALSE,"Sheet1"}</definedName>
    <definedName name="ㄹㅇㅎㅎㅎ" hidden="1">{#N/A,#N/A,FALSE,"98소지이동TOTvs99.1 (2)";#N/A,#N/A,FALSE,"TOTAL";#N/A,#N/A,FALSE,"98소지이동TOTvs99.1(b) (2)"}</definedName>
    <definedName name="ㄹ아ㅣㅇㅎ리" hidden="1">{#N/A,#N/A,FALSE,"UNIT";#N/A,#N/A,FALSE,"UNIT";#N/A,#N/A,FALSE,"계정"}</definedName>
    <definedName name="란다리아" hidden="1">{#N/A,#N/A,FALSE,"정공"}</definedName>
    <definedName name="러ㅏㅁ" hidden="1">{"'Sheet1'!$A$1:$H$36"}</definedName>
    <definedName name="러ㅏㅇ"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럼" hidden="1">{"'Sheet1'!$A$1:$H$36"}</definedName>
    <definedName name="로커커버" hidden="1">{#N/A,#N/A,FALSE,"단축1";#N/A,#N/A,FALSE,"단축2";#N/A,#N/A,FALSE,"단축3";#N/A,#N/A,FALSE,"장축";#N/A,#N/A,FALSE,"4WD"}</definedName>
    <definedName name="ㄺㄹ" hidden="1">{#N/A,#N/A,FALSE,"UNIT";#N/A,#N/A,FALSE,"UNIT";#N/A,#N/A,FALSE,"계정"}</definedName>
    <definedName name="ㄻㅎ" hidden="1">{#N/A,#N/A,FALSE,"BS";#N/A,#N/A,FALSE,"PL";#N/A,#N/A,FALSE,"처분";#N/A,#N/A,FALSE,"현금";#N/A,#N/A,FALSE,"매출";#N/A,#N/A,FALSE,"원가";#N/A,#N/A,FALSE,"경영"}</definedName>
    <definedName name="ㅀ미리밀ㅎ밈림" hidden="1">{#N/A,#N/A,FALSE,"을지 (4)";#N/A,#N/A,FALSE,"을지 (5)";#N/A,#N/A,FALSE,"을지 (6)"}</definedName>
    <definedName name="ㅀㅇㄹㄶㅀㄹ" hidden="1">{#N/A,#N/A,FALSE,"UNIT";#N/A,#N/A,FALSE,"UNIT";#N/A,#N/A,FALSE,"계정"}</definedName>
    <definedName name="ㅁ" hidden="1">{#N/A,#N/A,TRUE,"Summary";#N/A,#N/A,TRUE,"IS";#N/A,#N/A,TRUE,"Adj";#N/A,#N/A,TRUE,"BS";#N/A,#N/A,TRUE,"CF";#N/A,#N/A,TRUE,"Debt";#N/A,#N/A,TRUE,"IRR"}</definedName>
    <definedName name="ㅁㄴ" hidden="1">{#N/A,#N/A,FALSE,"UNIT";#N/A,#N/A,FALSE,"UNIT";#N/A,#N/A,FALSE,"계정"}</definedName>
    <definedName name="ㅁㄴㅇ" hidden="1">{#N/A,#N/A,FALSE,"BS";#N/A,#N/A,FALSE,"PL";#N/A,#N/A,FALSE,"처분";#N/A,#N/A,FALSE,"현금";#N/A,#N/A,FALSE,"매출";#N/A,#N/A,FALSE,"원가";#N/A,#N/A,FALSE,"경영"}</definedName>
    <definedName name="ㅁㄴㅇㅁㄴㅇㅁㄴㅇㅁ" hidden="1">#REF!</definedName>
    <definedName name="ㅁ너ㅏㅇ레" hidden="1">{"YTD/Forecast",#N/A,TRUE,"Fcst_TPLN";"Monthly Averages",#N/A,TRUE,"Fcst_TPLN"}</definedName>
    <definedName name="ㅁㄹㅇ" hidden="1">{#N/A,#N/A,FALSE,"BS";#N/A,#N/A,FALSE,"PL";#N/A,#N/A,FALSE,"처분";#N/A,#N/A,FALSE,"현금";#N/A,#N/A,FALSE,"매출";#N/A,#N/A,FALSE,"원가";#N/A,#N/A,FALSE,"경영"}</definedName>
    <definedName name="ㅁㅁ" hidden="1">#REF!</definedName>
    <definedName name="ㅁㅁㅁ">#REF!</definedName>
    <definedName name="ㅁㅁㅁㅁ" hidden="1">{#N/A,#N/A,FALSE,"BS";#N/A,#N/A,FALSE,"PL";#N/A,#N/A,FALSE,"처분";#N/A,#N/A,FALSE,"현금";#N/A,#N/A,FALSE,"매출";#N/A,#N/A,FALSE,"원가";#N/A,#N/A,FALSE,"경영"}</definedName>
    <definedName name="ㅁㅁㅁㅁㅁ" hidden="1">{#N/A,#N/A,FALSE,"UNIT";#N/A,#N/A,FALSE,"UNIT";#N/A,#N/A,FALSE,"계정"}</definedName>
    <definedName name="ㅁㅂㅁ"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ㅁㅂㅁㅂㅂㅁㅁㅂ"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ㅁㅇ"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ㅁㅇㄹㄴ" hidden="1">{#N/A,#N/A,FALSE,"Aging Summary";#N/A,#N/A,FALSE,"Ratio Analysis";#N/A,#N/A,FALSE,"Test 120 Day Accts";#N/A,#N/A,FALSE,"Tickmarks"}</definedName>
    <definedName name="마감" hidden="1">{#N/A,#N/A,FALSE,"기술료 비교"}</definedName>
    <definedName name="마마보이" hidden="1">{#N/A,#N/A,FALSE,"정공"}</definedName>
    <definedName name="마케팅" hidden="1">{"'5국공정'!$A$1:$E$128"}</definedName>
    <definedName name="마케팅2" hidden="1">{"'5국공정'!$A$1:$E$128"}</definedName>
    <definedName name="매입" hidden="1">#REF!</definedName>
    <definedName name="매출bogo" hidden="1">{#N/A,#N/A,FALSE,"손익표지";#N/A,#N/A,FALSE,"손익계산";#N/A,#N/A,FALSE,"일반관리비";#N/A,#N/A,FALSE,"영업외수익";#N/A,#N/A,FALSE,"영업외비용";#N/A,#N/A,FALSE,"매출액";#N/A,#N/A,FALSE,"요약손익";#N/A,#N/A,FALSE,"요약대차";#N/A,#N/A,FALSE,"매출채권현황";#N/A,#N/A,FALSE,"매출채권명세"}</definedName>
    <definedName name="매출toc" hidden="1">#REF!</definedName>
    <definedName name="매출계획" hidden="1">{#N/A,#N/A,FALSE,"UNIT";#N/A,#N/A,FALSE,"UNIT";#N/A,#N/A,FALSE,"계정"}</definedName>
    <definedName name="매출기준" hidden="1">{#N/A,#N/A,FALSE,"정공"}</definedName>
    <definedName name="매출손익" hidden="1">{#N/A,#N/A,FALSE,"정공"}</definedName>
    <definedName name="매출원가" hidden="1">{#N/A,#N/A,FALSE,"Aging Summary";#N/A,#N/A,FALSE,"Ratio Analysis";#N/A,#N/A,FALSE,"Test 120 Day Accts";#N/A,#N/A,FALSE,"Tickmarks"}</definedName>
    <definedName name="매출원가1" hidden="1">{#N/A,#N/A,FALSE,"Aging Summary";#N/A,#N/A,FALSE,"Ratio Analysis";#N/A,#N/A,FALSE,"Test 120 Day Accts";#N/A,#N/A,FALSE,"Tickmarks"}</definedName>
    <definedName name="매출전환손익" hidden="1">{#N/A,#N/A,FALSE,"정공"}</definedName>
    <definedName name="매출집계" hidden="1">{#N/A,#N/A,FALSE,"정공"}</definedName>
    <definedName name="매출추1" hidden="1">{#N/A,#N/A,FALSE,"정공"}</definedName>
    <definedName name="매출추정" hidden="1">{#N/A,#N/A,FALSE,"정공"}</definedName>
    <definedName name="머랴" hidden="1">{"'Sheet1'!$A$1:$H$36"}</definedName>
    <definedName name="명부" hidden="1">{#N/A,#N/A,FALSE,"계약직(여)"}</definedName>
    <definedName name="명부ㅗ" hidden="1">{#N/A,#N/A,FALSE,"계약직(여)"}</definedName>
    <definedName name="명부ㅜ" hidden="1">{#N/A,#N/A,FALSE,"계약직(여)"}</definedName>
    <definedName name="명일" hidden="1">{"YTD/Forecast",#N/A,TRUE,"Fcst_TPLN";"Monthly Averages",#N/A,TRUE,"Fcst_TPLN"}</definedName>
    <definedName name="모" hidden="1">{#N/A,#N/A,FALSE,"UNIT";#N/A,#N/A,FALSE,"UNIT";#N/A,#N/A,FALSE,"계정"}</definedName>
    <definedName name="모나리자아" hidden="1">{#N/A,#N/A,FALSE,"정공"}</definedName>
    <definedName name="목차" hidden="1">#REF!</definedName>
    <definedName name="목차도" hidden="1">{#N/A,#N/A,FALSE,"정공"}</definedName>
    <definedName name="목표예산참조" hidden="1">{#N/A,#N/A,FALSE,"인원";#N/A,#N/A,FALSE,"비용2";#N/A,#N/A,FALSE,"비용1";#N/A,#N/A,FALSE,"비용";#N/A,#N/A,FALSE,"보증2";#N/A,#N/A,FALSE,"보증1";#N/A,#N/A,FALSE,"보증";#N/A,#N/A,FALSE,"손익1";#N/A,#N/A,FALSE,"손익";#N/A,#N/A,FALSE,"부서별매출";#N/A,#N/A,FALSE,"매출"}</definedName>
    <definedName name="몰라" hidden="1">{#N/A,#N/A,FALSE,"정공"}</definedName>
    <definedName name="무늬분석"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무형자산" hidden="1">{#N/A,#N/A,FALSE,"Aging Summary";#N/A,#N/A,FALSE,"Ratio Analysis";#N/A,#N/A,FALSE,"Test 120 Day Accts";#N/A,#N/A,FALSE,"Tickmarks"}</definedName>
    <definedName name="문태용" hidden="1">{"YTD/Forecast",#N/A,TRUE,"Fcst_TPLN";"Monthly Averages",#N/A,TRUE,"Fcst_TPLN"}</definedName>
    <definedName name="뭐니" hidden="1">{#N/A,#N/A,FALSE,"BS";#N/A,#N/A,FALSE,"PL";#N/A,#N/A,FALSE,"처분";#N/A,#N/A,FALSE,"현금";#N/A,#N/A,FALSE,"매출";#N/A,#N/A,FALSE,"원가";#N/A,#N/A,FALSE,"경영"}</definedName>
    <definedName name="뭐야"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뮤" hidden="1">{#N/A,#N/A,FALSE,"기술료 비교"}</definedName>
    <definedName name="미미미아" hidden="1">{#N/A,#N/A,FALSE,"정공"}</definedName>
    <definedName name="미석" hidden="1">{#N/A,#N/A,FALSE,"정공"}</definedName>
    <definedName name="미수수익" hidden="1">{"'보고양식'!$A$58:$K$111"}</definedName>
    <definedName name="미수이자1" hidden="1">#REF!</definedName>
    <definedName name="미승인"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미승인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미움" hidden="1">{#N/A,#N/A,FALSE,"98소지이동TOTvs99.1 (2)";#N/A,#N/A,FALSE,"TOTAL";#N/A,#N/A,FALSE,"98소지이동TOTvs99.1(b) (2)"}</definedName>
    <definedName name="미지급" hidden="1">{#N/A,#N/A,FALSE,"BS";#N/A,#N/A,FALSE,"PL";#N/A,#N/A,FALSE,"처분";#N/A,#N/A,FALSE,"현금";#N/A,#N/A,FALSE,"매출";#N/A,#N/A,FALSE,"원가";#N/A,#N/A,FALSE,"경영"}</definedName>
    <definedName name="미지급명세" hidden="1">{"'보고양식'!$A$58:$K$111"}</definedName>
    <definedName name="민자" hidden="1">{#N/A,#N/A,FALSE,"손익표지";#N/A,#N/A,FALSE,"손익계산";#N/A,#N/A,FALSE,"일반관리비";#N/A,#N/A,FALSE,"영업외수익";#N/A,#N/A,FALSE,"영업외비용";#N/A,#N/A,FALSE,"매출액";#N/A,#N/A,FALSE,"요약손익";#N/A,#N/A,FALSE,"요약대차";#N/A,#N/A,FALSE,"매출채권현황";#N/A,#N/A,FALSE,"매출채권명세"}</definedName>
    <definedName name="민자사업" hidden="1">{#N/A,#N/A,FALSE,"손익표지";#N/A,#N/A,FALSE,"손익계산";#N/A,#N/A,FALSE,"일반관리비";#N/A,#N/A,FALSE,"영업외수익";#N/A,#N/A,FALSE,"영업외비용";#N/A,#N/A,FALSE,"매출액";#N/A,#N/A,FALSE,"요약손익";#N/A,#N/A,FALSE,"요약대차";#N/A,#N/A,FALSE,"매출채권현황";#N/A,#N/A,FALSE,"매출채권명세"}</definedName>
    <definedName name="민총2" hidden="1">{#N/A,#N/A,FALSE,"을지 (4)";#N/A,#N/A,FALSE,"을지 (5)";#N/A,#N/A,FALSE,"을지 (6)"}</definedName>
    <definedName name="ㅂ" hidden="1">{#N/A,#N/A,FALSE,"UNIT";#N/A,#N/A,FALSE,"UNIT";#N/A,#N/A,FALSE,"계정"}</definedName>
    <definedName name="ㅂㅂ" hidden="1">{#N/A,#N/A,FALSE,"손익표지";#N/A,#N/A,FALSE,"손익계산";#N/A,#N/A,FALSE,"일반관리비";#N/A,#N/A,FALSE,"영업외수익";#N/A,#N/A,FALSE,"영업외비용";#N/A,#N/A,FALSE,"매출액";#N/A,#N/A,FALSE,"요약손익";#N/A,#N/A,FALSE,"요약대차";#N/A,#N/A,FALSE,"매출채권현황";#N/A,#N/A,FALSE,"매출채권명세"}</definedName>
    <definedName name="ㅂㅂㅂㅂㅂㅂ" hidden="1">#REF!</definedName>
    <definedName name="ㅂㅈㅁ" hidden="1">#REF!</definedName>
    <definedName name="바" hidden="1">{#N/A,#N/A,FALSE,"Sheet1"}</definedName>
    <definedName name="바경"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바도" hidden="1">{"'분양원가'!$B$1:$F$113"}</definedName>
    <definedName name="바랑라" hidden="1">{#N/A,#N/A,FALSE,"정공"}</definedName>
    <definedName name="바보" hidden="1">#REF!</definedName>
    <definedName name="바보들" hidden="1">#REF!</definedName>
    <definedName name="바보상자" hidden="1">{#N/A,#N/A,FALSE,"정공"}</definedName>
    <definedName name="박왕근" hidden="1">{#N/A,#N/A,FALSE,"98소지이동TOTvs99.1 (2)";#N/A,#N/A,FALSE,"TOTAL";#N/A,#N/A,FALSE,"98소지이동TOTvs99.1(b) (2)"}</definedName>
    <definedName name="반품추정" hidden="1">#REF!</definedName>
    <definedName name="발탁승격대상자" hidden="1">{#N/A,#N/A,FALSE,"계약직(여)"}</definedName>
    <definedName name="방침" hidden="1">#REF!</definedName>
    <definedName name="배당주식" hidden="1">#REF!</definedName>
    <definedName name="배부내역서2월"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법인세비용_수정" hidden="1">{#N/A,#N/A,FALSE,"BS";#N/A,#N/A,FALSE,"PL";#N/A,#N/A,FALSE,"처분";#N/A,#N/A,FALSE,"현금";#N/A,#N/A,FALSE,"매출";#N/A,#N/A,FALSE,"원가";#N/A,#N/A,FALSE,"경영"}</definedName>
    <definedName name="변경목차" hidden="1">{#N/A,#N/A,FALSE,"단축1";#N/A,#N/A,FALSE,"단축2";#N/A,#N/A,FALSE,"단축3";#N/A,#N/A,FALSE,"장축";#N/A,#N/A,FALSE,"4WD"}</definedName>
    <definedName name="변동" hidden="1">{#N/A,#N/A,FALSE,"Sheet1"}</definedName>
    <definedName name="변동비" hidden="1">{#N/A,#N/A,FALSE,"Sheet1"}</definedName>
    <definedName name="별지8"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병" hidden="1">#REF!</definedName>
    <definedName name="보" hidden="1">{#N/A,#N/A,FALSE,"목차";#N/A,#N/A,FALSE,"목차(2)";#N/A,#N/A,FALSE,"손익요약(당월)";#N/A,#N/A,FALSE,"손익요약(누계)";#N/A,#N/A,FALSE,"전기동기대비손익요약";#N/A,#N/A,FALSE,"손익분기점(월계)";#N/A,#N/A,FALSE,"손익분기점분석";#N/A,#N/A,FALSE,"요약대차대조표";#N/A,#N/A,FALSE,"현금흐름표";#N/A,#N/A,FALSE,"계획대비손익계산서비교";#N/A,#N/A,FALSE,"계획대비제조원가비교";#N/A,#N/A,FALSE,"전기동기대비손익계산서비교";#N/A,#N/A,FALSE,"전기동기대비제조원가비교";#N/A,#N/A,FALSE,"인건비비교";#N/A,#N/A,FALSE,"대차대조표";#N/A,#N/A,FALSE,"손익배부전(월계)";#N/A,#N/A,FALSE,"손익배부전(누계) ";#N/A,#N/A,FALSE,"손익배부후(월계)";#N/A,#N/A,FALSE,"손익배부후(누계)";#N/A,#N/A,FALSE,"제조원가월계(배부전)";#N/A,#N/A,FALSE,"제조원가누계(배부전)";#N/A,#N/A,FALSE,"제조원가당월(배부후)";#N/A,#N/A,FALSE,"제조원가누계(배부후)"}</definedName>
    <definedName name="보고" hidden="1">{#N/A,#N/A,FALSE,"UNIT";#N/A,#N/A,FALSE,"UNIT";#N/A,#N/A,FALSE,"계정"}</definedName>
    <definedName name="보고기준" hidden="1">{#N/A,#N/A,FALSE,"UNIT";#N/A,#N/A,FALSE,"UNIT";#N/A,#N/A,FALSE,"계정"}</definedName>
    <definedName name="보봅" hidden="1">{#N/A,#N/A,FALSE,"Aging Summary";#N/A,#N/A,FALSE,"Ratio Analysis";#N/A,#N/A,FALSE,"Test 120 Day Accts";#N/A,#N/A,FALSE,"Tickmarks"}</definedName>
    <definedName name="볼트수정" hidden="1">{#N/A,#N/A,FALSE,"단축1";#N/A,#N/A,FALSE,"단축2";#N/A,#N/A,FALSE,"단축3";#N/A,#N/A,FALSE,"장축";#N/A,#N/A,FALSE,"4WD"}</definedName>
    <definedName name="부가세대급"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부서" hidden="1">{#N/A,#N/A,FALSE,"인원";#N/A,#N/A,FALSE,"비용2";#N/A,#N/A,FALSE,"비용1";#N/A,#N/A,FALSE,"비용";#N/A,#N/A,FALSE,"보증2";#N/A,#N/A,FALSE,"보증1";#N/A,#N/A,FALSE,"보증";#N/A,#N/A,FALSE,"손익1";#N/A,#N/A,FALSE,"손익";#N/A,#N/A,FALSE,"부서별매출";#N/A,#N/A,FALSE,"매출"}</definedName>
    <definedName name="부속" hidden="1">#REF!</definedName>
    <definedName name="부실채권" hidden="1">#REF!</definedName>
    <definedName name="부앙" hidden="1">{"YTD/Forecast",#N/A,TRUE,"Fcst_TPLN";"Monthly Averages",#N/A,TRUE,"Fcst_TPLN"}</definedName>
    <definedName name="부재료"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부채" hidden="1">#REF!</definedName>
    <definedName name="분당" hidden="1">{"YTD/Forecast",#N/A,TRUE,"Fcst_TPLN";"Monthly Averages",#N/A,TRUE,"Fcst_TPLN"}</definedName>
    <definedName name="분당2" hidden="1">{"YTD/Forecast",#N/A,TRUE,"Fcst_TPLN";"Monthly Averages",#N/A,TRUE,"Fcst_TPLN"}</definedName>
    <definedName name="분석" hidden="1">{"YTD/Forecast",#N/A,TRUE,"Fcst_TPLN";"Monthly Averages",#N/A,TRUE,"Fcst_TPLN"}</definedName>
    <definedName name="분석2" hidden="1">{"YTD/Forecast",#N/A,TRUE,"Fcst_TPLN";"Monthly Averages",#N/A,TRUE,"Fcst_TPLN"}</definedName>
    <definedName name="불용연도별2" hidden="1">#REF!</definedName>
    <definedName name="비"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비교손익당초" hidden="1">{#N/A,#N/A,FALSE,"정공"}</definedName>
    <definedName name="비비비" hidden="1">#REF!</definedName>
    <definedName name="비율0" hidden="1">#REF!</definedName>
    <definedName name="비율2" hidden="1">#REF!</definedName>
    <definedName name="빅마트풍암" hidden="1">{"YTD/Forecast",#N/A,TRUE,"Fcst_TPLN";"Monthly Averages",#N/A,TRUE,"Fcst_TPLN"}</definedName>
    <definedName name="ㅅ" hidden="1">{#N/A,#N/A,FALSE,"Aging Summary";#N/A,#N/A,FALSE,"Ratio Analysis";#N/A,#N/A,FALSE,"Test 120 Day Accts";#N/A,#N/A,FALSE,"Tickmarks"}</definedName>
    <definedName name="ㅅ18">#REF!</definedName>
    <definedName name="ㅅㄹ녀ㅛㅅ누ㅛㅅㄴ구ㅛㅅㄱ누" hidden="1">{#N/A,#N/A,TRUE,"일정"}</definedName>
    <definedName name="ㅅㅅㅅ" hidden="1">{"'손익현황'!$A$1:$J$29"}</definedName>
    <definedName name="ㅅㅅㅅㅅ" hidden="1">{#N/A,#N/A,FALSE,"UNIT";#N/A,#N/A,FALSE,"UNIT";#N/A,#N/A,FALSE,"계정"}</definedName>
    <definedName name="ㅅㅅㅅㅅㅅㅅㅅ" hidden="1">{#N/A,#N/A,FALSE,"UNIT";#N/A,#N/A,FALSE,"UNIT";#N/A,#N/A,FALSE,"계정"}</definedName>
    <definedName name="ㅅ세" hidden="1">{#N/A,#N/A,FALSE,"98소지이동TOTvs99.1 (2)";#N/A,#N/A,FALSE,"TOTAL";#N/A,#N/A,FALSE,"98소지이동TOTvs99.1(b) (2)"}</definedName>
    <definedName name="사" hidden="1">{#N/A,#N/A,FALSE,"BS";#N/A,#N/A,FALSE,"PL";#N/A,#N/A,FALSE,"처분";#N/A,#N/A,FALSE,"현금";#N/A,#N/A,FALSE,"매출";#N/A,#N/A,FALSE,"원가";#N/A,#N/A,FALSE,"경영"}</definedName>
    <definedName name="사다함이" hidden="1">{#N/A,#N/A,FALSE,"정공"}</definedName>
    <definedName name="사람" hidden="1">{#N/A,#N/A,FALSE,"BS";#N/A,#N/A,FALSE,"PL";#N/A,#N/A,FALSE,"처분";#N/A,#N/A,FALSE,"현금";#N/A,#N/A,FALSE,"매출";#N/A,#N/A,FALSE,"원가";#N/A,#N/A,FALSE,"경영"}</definedName>
    <definedName name="사람이야" hidden="1">{#N/A,#N/A,FALSE,"정공"}</definedName>
    <definedName name="사랑하오" hidden="1">{#N/A,#N/A,FALSE,"정공"}</definedName>
    <definedName name="사망"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사본" hidden="1">{#N/A,#N/A,FALSE,"정공"}</definedName>
    <definedName name="사소" hidden="1">{#N/A,#N/A,FALSE,"BS";#N/A,#N/A,FALSE,"PL";#N/A,#N/A,FALSE,"처분";#N/A,#N/A,FALSE,"현금";#N/A,#N/A,FALSE,"매출";#N/A,#N/A,FALSE,"원가";#N/A,#N/A,FALSE,"경영"}</definedName>
    <definedName name="사업" hidden="1">{#N/A,#N/A,FALSE,"UNIT";#N/A,#N/A,FALSE,"UNIT";#N/A,#N/A,FALSE,"계정"}</definedName>
    <definedName name="사업계획" hidden="1">{#N/A,#N/A,FALSE,"기술료 비교"}</definedName>
    <definedName name="사업계획복사" hidden="1">{"'Sheet1'!$A$1:$H$36"}</definedName>
    <definedName name="사업계획요약01" hidden="1">{"'Sheet1'!$A$1:$H$36"}</definedName>
    <definedName name="사업계획요약2" hidden="1">{"'Sheet1'!$A$1:$H$36"}</definedName>
    <definedName name="사업비교표" hidden="1">{#N/A,#N/A,FALSE,"정공"}</definedName>
    <definedName name="사업추진" hidden="1">{#N/A,#N/A,FALSE,"정공"}</definedName>
    <definedName name="사업활성" hidden="1">{#N/A,#N/A,FALSE,"UNIT";#N/A,#N/A,FALSE,"UNIT";#N/A,#N/A,FALSE,"계정"}</definedName>
    <definedName name="사원명부겉장" hidden="1">{#N/A,#N/A,FALSE,"계약직(여)"}</definedName>
    <definedName name="사원명부직브" hidden="1">{#N/A,#N/A,FALSE,"계약직(여)"}</definedName>
    <definedName name="사진" hidden="1">{#N/A,#N/A,FALSE,"BS";#N/A,#N/A,FALSE,"PL";#N/A,#N/A,FALSE,"처분";#N/A,#N/A,FALSE,"현금";#N/A,#N/A,FALSE,"매출";#N/A,#N/A,FALSE,"원가";#N/A,#N/A,FALSE,"경영"}</definedName>
    <definedName name="사질" hidden="1">{#N/A,#N/A,FALSE,"BS";#N/A,#N/A,FALSE,"PL";#N/A,#N/A,FALSE,"처분";#N/A,#N/A,FALSE,"현금";#N/A,#N/A,FALSE,"매출";#N/A,#N/A,FALSE,"원가";#N/A,#N/A,FALSE,"경영"}</definedName>
    <definedName name="산본" hidden="1">{"YTD/Forecast",#N/A,TRUE,"Fcst_TPLN";"Monthly Averages",#N/A,TRUE,"Fcst_TPLN"}</definedName>
    <definedName name="산출내역" hidden="1">#REF!</definedName>
    <definedName name="산출내역1" hidden="1">#REF!</definedName>
    <definedName name="삼성" hidden="1">{#N/A,#N/A,FALSE,"정공"}</definedName>
    <definedName name="삼성2" hidden="1">{#N/A,#N/A,FALSE,"정공"}</definedName>
    <definedName name="상국" hidden="1">{"'Sheet1'!$A$1:$H$36"}</definedName>
    <definedName name="상로허호" hidden="1">{#N/A,#N/A,FALSE,"정공"}</definedName>
    <definedName name="상봉" hidden="1">{"YTD/Forecast",#N/A,TRUE,"Fcst_TPLN";"Monthly Averages",#N/A,TRUE,"Fcst_TPLN"}</definedName>
    <definedName name="새로운이름" hidden="1">{#N/A,#N/A,FALSE,"UNIT";#N/A,#N/A,FALSE,"UNIT";#N/A,#N/A,FALSE,"계정"}</definedName>
    <definedName name="새파일편집" hidden="1">{#N/A,#N/A,FALSE,"정공"}</definedName>
    <definedName name="생산" hidden="1">{#N/A,#N/A,FALSE,"98소지이동TOTvs99.1 (2)";#N/A,#N/A,FALSE,"TOTAL";#N/A,#N/A,FALSE,"98소지이동TOTvs99.1(b) (2)"}</definedName>
    <definedName name="생산1" hidden="1">{#N/A,#N/A,FALSE,"군산원가";#N/A,#N/A,FALSE,"팀별월별";#N/A,#N/A,FALSE,"타공정대체";#N/A,#N/A,FALSE,"기타경비";#N/A,#N/A,FALSE,"원료";#N/A,#N/A,FALSE,"연료"}</definedName>
    <definedName name="생산2" hidden="1">{#N/A,#N/A,FALSE,"군산원가";#N/A,#N/A,FALSE,"팀별월별";#N/A,#N/A,FALSE,"타공정대체";#N/A,#N/A,FALSE,"기타경비";#N/A,#N/A,FALSE,"원료";#N/A,#N/A,FALSE,"연료"}</definedName>
    <definedName name="생산3" hidden="1">{#N/A,#N/A,FALSE,"98소지이동TOTvs99.1 (2)";#N/A,#N/A,FALSE,"TOTAL";#N/A,#N/A,FALSE,"98소지이동TOTvs99.1(b) (2)"}</definedName>
    <definedName name="생산4" hidden="1">{#N/A,#N/A,FALSE,"실적요약";#N/A,#N/A,FALSE,"팀별손익";#N/A,#N/A,FALSE,"월별손익";#N/A,#N/A,FALSE,"제품손익";#N/A,#N/A,FALSE,"제품상품손익";#N/A,#N/A,FALSE,"판매";#N/A,#N/A,FALSE,"단가";#N/A,#N/A,FALSE,"재고";#N/A,#N/A,FALSE,"인원";#N/A,#N/A,FALSE,"판매비";#N/A,#N/A,FALSE,"총원가";#N/A,#N/A,FALSE,"총원가(월)";#N/A,#N/A,FALSE,"관리비(팀)";#N/A,#N/A,FALSE,"관리비(월)";#N/A,#N/A,FALSE,"제품원가(종합)"}</definedName>
    <definedName name="생산5" hidden="1">{#N/A,#N/A,FALSE,"군산원가(팀)";#N/A,#N/A,FALSE,"군산원가(월)";#N/A,#N/A,FALSE,"제품원가(군월)";#N/A,#N/A,FALSE,"제품원가(군누)";#N/A,#N/A,FALSE,"원료(군산)";#N/A,#N/A,FALSE,"연료(군산)";#N/A,#N/A,FALSE,"경비(군산)";#N/A,#N/A,FALSE,"제품원가(부월)";#N/A,#N/A,FALSE,"제품원가(부누)";#N/A,#N/A,FALSE,"부산원가";#N/A,#N/A,FALSE,"부산원가(월별)";#N/A,#N/A,FALSE,"원료(부산)";#N/A,#N/A,FALSE,"연료(부산)";#N/A,#N/A,FALSE,"경비(부산)";#N/A,#N/A,FALSE,"제품원가(가월)";#N/A,#N/A,FALSE,"가좌원가(월별)";#N/A,#N/A,FALSE,"경비(가좌)"}</definedName>
    <definedName name="생산6" hidden="1">{#N/A,#N/A,FALSE,"Yield";#N/A,#N/A,FALSE,"Loss1";#N/A,#N/A,FALSE,"Loss2";#N/A,#N/A,FALSE,"Hour-Labor(배분)";#N/A,#N/A,FALSE,"Capital Expenditure";#N/A,#N/A,FALSE,"Productivity"}</definedName>
    <definedName name="생산7" hidden="1">{#N/A,#N/A,FALSE,"98소지이동TOTvs99.1 (2)";#N/A,#N/A,FALSE,"TOTAL";#N/A,#N/A,FALSE,"98소지이동TOTvs99.1(b) (2)"}</definedName>
    <definedName name="생산능력" hidden="1">{#N/A,#N/A,FALSE,"정공"}</definedName>
    <definedName name="생산소모품2_1" hidden="1">{#N/A,#N/A,FALSE,"교재수정"}</definedName>
    <definedName name="생산손익" hidden="1">{#N/A,#N/A,FALSE,"정공"}</definedName>
    <definedName name="생산품목" hidden="1">{#N/A,#N/A,FALSE,"정공"}</definedName>
    <definedName name="서부지점" hidden="1">{"YTD/Forecast",#N/A,TRUE,"Fcst_TPLN";"Monthly Averages",#N/A,TRUE,"Fcst_TPLN"}</definedName>
    <definedName name="서부지점8월" hidden="1">{"YTD/Forecast",#N/A,TRUE,"Fcst_TPLN";"Monthly Averages",#N/A,TRUE,"Fcst_TPLN"}</definedName>
    <definedName name="서비스" hidden="1">{#N/A,#N/A,FALSE,"인원";#N/A,#N/A,FALSE,"비용2";#N/A,#N/A,FALSE,"비용1";#N/A,#N/A,FALSE,"비용";#N/A,#N/A,FALSE,"보증2";#N/A,#N/A,FALSE,"보증1";#N/A,#N/A,FALSE,"보증";#N/A,#N/A,FALSE,"손익1";#N/A,#N/A,FALSE,"손익";#N/A,#N/A,FALSE,"부서별매출";#N/A,#N/A,FALSE,"매출"}</definedName>
    <definedName name="석희" hidden="1">#REF!</definedName>
    <definedName name="선급금3" hidden="1">{#N/A,#N/A,FALSE,"BS";#N/A,#N/A,FALSE,"PL";#N/A,#N/A,FALSE,"처분";#N/A,#N/A,FALSE,"현금";#N/A,#N/A,FALSE,"매출";#N/A,#N/A,FALSE,"원가";#N/A,#N/A,FALSE,"경영"}</definedName>
    <definedName name="선급비용0402" hidden="1">{#N/A,#N/A,FALSE,"Aging Summary";#N/A,#N/A,FALSE,"Ratio Analysis";#N/A,#N/A,FALSE,"Test 120 Day Accts";#N/A,#N/A,FALSE,"Tickmarks"}</definedName>
    <definedName name="선급비용040229" hidden="1">{#N/A,#N/A,FALSE,"Aging Summary";#N/A,#N/A,FALSE,"Ratio Analysis";#N/A,#N/A,FALSE,"Test 120 Day Accts";#N/A,#N/A,FALSE,"Tickmarks"}</definedName>
    <definedName name="선수금" hidden="1">#REF!</definedName>
    <definedName name="설계2팀" hidden="1">{#N/A,#N/A,FALSE,"UNIT";#N/A,#N/A,FALSE,"UNIT";#N/A,#N/A,FALSE,"계정"}</definedName>
    <definedName name="설비투자" hidden="1">{#N/A,#N/A,FALSE,"정공"}</definedName>
    <definedName name="성" hidden="1">{#N/A,#N/A,FALSE,"UNIT";#N/A,#N/A,FALSE,"UNIT";#N/A,#N/A,FALSE,"계정"}</definedName>
    <definedName name="성수" hidden="1">{"YTD/Forecast",#N/A,TRUE,"Fcst_TPLN";"Monthly Averages",#N/A,TRUE,"Fcst_TPLN"}</definedName>
    <definedName name="세부" hidden="1">{"'Sheet1'!$A$1:$H$36"}</definedName>
    <definedName name="소요기간" hidden="1">{#N/A,#N/A,FALSE,"정공"}</definedName>
    <definedName name="소ㅑ104" hidden="1">#REF!</definedName>
    <definedName name="손"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손실" hidden="1">{#N/A,#N/A,FALSE,"98소지이동TOTvs99.1 (2)";#N/A,#N/A,FALSE,"TOTAL";#N/A,#N/A,FALSE,"98소지이동TOTvs99.1(b) (2)"}</definedName>
    <definedName name="손익3" hidden="1">{#N/A,#N/A,FALSE,"UNIT";#N/A,#N/A,FALSE,"UNIT";#N/A,#N/A,FALSE,"계정"}</definedName>
    <definedName name="손익계산" hidden="1">{#N/A,#N/A,FALSE,"정공"}</definedName>
    <definedName name="손익계산서1"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손익계산서가로"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손익예상" hidden="1">{#N/A,#N/A,FALSE,"UNIT";#N/A,#N/A,FALSE,"UNIT";#N/A,#N/A,FALSE,"계정"}</definedName>
    <definedName name="송" hidden="1">{#N/A,#N/A,TRUE,"Y생산";#N/A,#N/A,TRUE,"Y판매";#N/A,#N/A,TRUE,"Y총물량";#N/A,#N/A,TRUE,"Y능력";#N/A,#N/A,TRUE,"YKD"}</definedName>
    <definedName name="송익" hidden="1">{#N/A,#N/A,FALSE,"정공"}</definedName>
    <definedName name="송창기" hidden="1">{#N/A,#N/A,TRUE,"Y생산";#N/A,#N/A,TRUE,"Y판매";#N/A,#N/A,TRUE,"Y총물량";#N/A,#N/A,TRUE,"Y능력";#N/A,#N/A,TRUE,"YKD"}</definedName>
    <definedName name="쇼바2" hidden="1">{#N/A,#N/A,FALSE,"단축1";#N/A,#N/A,FALSE,"단축2";#N/A,#N/A,FALSE,"단축3";#N/A,#N/A,FALSE,"장축";#N/A,#N/A,FALSE,"4WD"}</definedName>
    <definedName name="수량추정" hidden="1">{#N/A,#N/A,FALSE,"정공"}</definedName>
    <definedName name="수유LOSS" hidden="1">{#N/A,#N/A,FALSE,"군산원가";#N/A,#N/A,FALSE,"팀별월별";#N/A,#N/A,FALSE,"타공정대체";#N/A,#N/A,FALSE,"기타경비";#N/A,#N/A,FALSE,"원료";#N/A,#N/A,FALSE,"연료"}</definedName>
    <definedName name="수정" hidden="1">{#N/A,#N/A,FALSE,"BS";#N/A,#N/A,FALSE,"PL";#N/A,#N/A,FALSE,"처분";#N/A,#N/A,FALSE,"현금";#N/A,#N/A,FALSE,"매출";#N/A,#N/A,FALSE,"원가";#N/A,#N/A,FALSE,"경영"}</definedName>
    <definedName name="수정6누적" hidden="1">{#N/A,#N/A,FALSE,"98소지이동TOTvs99.1 (2)";#N/A,#N/A,FALSE,"TOTAL";#N/A,#N/A,FALSE,"98소지이동TOTvs99.1(b) (2)"}</definedName>
    <definedName name="수정CF" hidden="1">{#N/A,#N/A,TRUE,"Summary";#N/A,#N/A,TRUE,"IS";#N/A,#N/A,TRUE,"Adj";#N/A,#N/A,TRUE,"BS";#N/A,#N/A,TRUE,"CF";#N/A,#N/A,TRUE,"Debt";#N/A,#N/A,TRUE,"IRR"}</definedName>
    <definedName name="수정사항" hidden="1">#REF!</definedName>
    <definedName name="수정사항1" hidden="1">{#N/A,#N/A,FALSE,"BS";#N/A,#N/A,FALSE,"PL";#N/A,#N/A,FALSE,"처분";#N/A,#N/A,FALSE,"현금";#N/A,#N/A,FALSE,"매출";#N/A,#N/A,FALSE,"원가";#N/A,#N/A,FALSE,"경영"}</definedName>
    <definedName name="수정사항집계표" hidden="1">#REF!</definedName>
    <definedName name="수정손익" hidden="1">{#N/A,#N/A,FALSE,"정공"}</definedName>
    <definedName name="수정현금흐름표" hidden="1">{#N/A,#N/A,TRUE,"Summary";#N/A,#N/A,TRUE,"IS";#N/A,#N/A,TRUE,"Adj";#N/A,#N/A,TRUE,"BS";#N/A,#N/A,TRUE,"CF";#N/A,#N/A,TRUE,"Debt";#N/A,#N/A,TRUE,"IRR"}</definedName>
    <definedName name="수정현금흐름표_pjh" hidden="1">{#N/A,#N/A,TRUE,"Summary";#N/A,#N/A,TRUE,"IS";#N/A,#N/A,TRUE,"Adj";#N/A,#N/A,TRUE,"BS";#N/A,#N/A,TRUE,"CF";#N/A,#N/A,TRUE,"Debt";#N/A,#N/A,TRUE,"IRR"}</definedName>
    <definedName name="수주실적" hidden="1">#REF!</definedName>
    <definedName name="순서" hidden="1">#REF!</definedName>
    <definedName name="순현재가치">#REF!</definedName>
    <definedName name="쉐리분석" hidden="1">{"YTD/Forecast",#N/A,TRUE,"Fcst_TPLN";"Monthly Averages",#N/A,TRUE,"Fcst_TPLN"}</definedName>
    <definedName name="스텝시스템" hidden="1">{"'Sheet1'!$B$10:$C$19","'Sheet1'!$A$53:$C$65"}</definedName>
    <definedName name="시간외근무_인사" hidden="1">#REF!</definedName>
    <definedName name="시기조정" hidden="1">{#N/A,#N/A,FALSE,"인원";#N/A,#N/A,FALSE,"비용2";#N/A,#N/A,FALSE,"비용1";#N/A,#N/A,FALSE,"비용";#N/A,#N/A,FALSE,"보증2";#N/A,#N/A,FALSE,"보증1";#N/A,#N/A,FALSE,"보증";#N/A,#N/A,FALSE,"손익1";#N/A,#N/A,FALSE,"손익";#N/A,#N/A,FALSE,"부서별매출";#N/A,#N/A,FALSE,"매출"}</definedName>
    <definedName name="시산표2" hidden="1">{#N/A,#N/A,FALSE,"BS";#N/A,#N/A,FALSE,"PL";#N/A,#N/A,FALSE,"처분";#N/A,#N/A,FALSE,"현금";#N/A,#N/A,FALSE,"매출";#N/A,#N/A,FALSE,"원가";#N/A,#N/A,FALSE,"경영"}</definedName>
    <definedName name="시설투자" hidden="1">{#N/A,#N/A,FALSE,"UNIT";#N/A,#N/A,FALSE,"UNIT";#N/A,#N/A,FALSE,"계정"}</definedName>
    <definedName name="시설투자계획_월별" hidden="1">{#N/A,#N/A,FALSE,"UNIT";#N/A,#N/A,FALSE,"UNIT";#N/A,#N/A,FALSE,"계정"}</definedName>
    <definedName name="시설투자계획2" hidden="1">{#N/A,#N/A,FALSE,"계약직(여)"}</definedName>
    <definedName name="시설투자총괄" hidden="1">{#N/A,#N/A,FALSE,"UNIT";#N/A,#N/A,FALSE,"UNIT";#N/A,#N/A,FALSE,"계정"}</definedName>
    <definedName name="시스템" hidden="1">{#N/A,#N/A,FALSE,"UNIT";#N/A,#N/A,FALSE,"UNIT";#N/A,#N/A,FALSE,"계정"}</definedName>
    <definedName name="시화" hidden="1">{"YTD/Forecast",#N/A,TRUE,"Fcst_TPLN";"Monthly Averages",#N/A,TRUE,"Fcst_TPLN"}</definedName>
    <definedName name="신BS"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신규" hidden="1">{#N/A,#N/A,FALSE,"UNIT";#N/A,#N/A,FALSE,"UNIT";#N/A,#N/A,FALSE,"계정"}</definedName>
    <definedName name="신용" hidden="1">{#N/A,#N/A,FALSE,"인원";#N/A,#N/A,FALSE,"비용2";#N/A,#N/A,FALSE,"비용1";#N/A,#N/A,FALSE,"비용";#N/A,#N/A,FALSE,"보증2";#N/A,#N/A,FALSE,"보증1";#N/A,#N/A,FALSE,"보증";#N/A,#N/A,FALSE,"손익1";#N/A,#N/A,FALSE,"손익";#N/A,#N/A,FALSE,"부서별매출";#N/A,#N/A,FALSE,"매출"}</definedName>
    <definedName name="신용1" hidden="1">{#N/A,#N/A,FALSE,"인원";#N/A,#N/A,FALSE,"비용2";#N/A,#N/A,FALSE,"비용1";#N/A,#N/A,FALSE,"비용";#N/A,#N/A,FALSE,"보증2";#N/A,#N/A,FALSE,"보증1";#N/A,#N/A,FALSE,"보증";#N/A,#N/A,FALSE,"손익1";#N/A,#N/A,FALSE,"손익";#N/A,#N/A,FALSE,"부서별매출";#N/A,#N/A,FALSE,"매출"}</definedName>
    <definedName name="신월" hidden="1">{"YTD/Forecast",#N/A,TRUE,"Fcst_TPLN";"Monthly Averages",#N/A,TRUE,"Fcst_TPLN"}</definedName>
    <definedName name="신유통3파트" hidden="1">{"YTD/Forecast",#N/A,TRUE,"Fcst_TPLN";"Monthly Averages",#N/A,TRUE,"Fcst_TPLN"}</definedName>
    <definedName name="신정홈마트" hidden="1">{"YTD/Forecast",#N/A,TRUE,"Fcst_TPLN";"Monthly Averages",#N/A,TRUE,"Fcst_TPLN"}</definedName>
    <definedName name="신한은행_1" hidden="1">{#N/A,#N/A,FALSE,"Aging Summary";#N/A,#N/A,FALSE,"Ratio Analysis";#N/A,#N/A,FALSE,"Test 120 Day Accts";#N/A,#N/A,FALSE,"Tickmarks"}</definedName>
    <definedName name="신한은행_2" hidden="1">{#N/A,#N/A,FALSE,"Aging Summary";#N/A,#N/A,FALSE,"Ratio Analysis";#N/A,#N/A,FALSE,"Test 120 Day Accts";#N/A,#N/A,FALSE,"Tickmarks"}</definedName>
    <definedName name="신한은행수표"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실사및청산가치조정표" hidden="1">{"'Sheet1'!$A$1:$D$15"}</definedName>
    <definedName name="실적4월" hidden="1">{#N/A,#N/A,FALSE,"UNIT";#N/A,#N/A,FALSE,"UNIT";#N/A,#N/A,FALSE,"계정"}</definedName>
    <definedName name="실적6월" hidden="1">{#N/A,#N/A,FALSE,"UNIT";#N/A,#N/A,FALSE,"UNIT";#N/A,#N/A,FALSE,"계정"}</definedName>
    <definedName name="실적손익분석" hidden="1">#REF!</definedName>
    <definedName name="씨"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ㅇ" localSheetId="8">#REF!</definedName>
    <definedName name="ㅇ" hidden="1">{#N/A,#N/A,FALSE,"Aging Summary";#N/A,#N/A,FALSE,"Ratio Analysis";#N/A,#N/A,FALSE,"Test 120 Day Accts";#N/A,#N/A,FALSE,"Tickmarks"}</definedName>
    <definedName name="ㅇ0"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ㅇADKFJDA" hidden="1">{#N/A,#N/A,FALSE,"을지 (4)";#N/A,#N/A,FALSE,"을지 (5)";#N/A,#N/A,FALSE,"을지 (6)"}</definedName>
    <definedName name="ㅇㄴㅇㅇ" hidden="1">{#N/A,#N/A,FALSE,"UNIT";#N/A,#N/A,FALSE,"UNIT";#N/A,#N/A,FALSE,"계정"}</definedName>
    <definedName name="ㅇㄹ" hidden="1">{#N/A,#N/A,FALSE,"BS";#N/A,#N/A,FALSE,"PL";#N/A,#N/A,FALSE,"처분";#N/A,#N/A,FALSE,"현금";#N/A,#N/A,FALSE,"매출";#N/A,#N/A,FALSE,"원가";#N/A,#N/A,FALSE,"경영"}</definedName>
    <definedName name="ㅇㄹㄴ" hidden="1">{#N/A,#N/A,FALSE,"BS";#N/A,#N/A,FALSE,"PL";#N/A,#N/A,FALSE,"처분";#N/A,#N/A,FALSE,"현금";#N/A,#N/A,FALSE,"매출";#N/A,#N/A,FALSE,"원가";#N/A,#N/A,FALSE,"경영"}</definedName>
    <definedName name="ㅇㄹㄹ" hidden="1">{#N/A,#N/A,FALSE,"98소지이동TOTvs99.1 (2)";#N/A,#N/A,FALSE,"TOTAL";#N/A,#N/A,FALSE,"98소지이동TOTvs99.1(b) (2)"}</definedName>
    <definedName name="ㅇㄹㅇ" hidden="1">{#N/A,#N/A,FALSE,"BS";#N/A,#N/A,FALSE,"PL";#N/A,#N/A,FALSE,"처분";#N/A,#N/A,FALSE,"현금";#N/A,#N/A,FALSE,"매출";#N/A,#N/A,FALSE,"원가";#N/A,#N/A,FALSE,"경영"}</definedName>
    <definedName name="ㅇㄹㅇㄴ" hidden="1">#REF!</definedName>
    <definedName name="ㅇㄹㅇㄹㅇ" hidden="1">{#N/A,#N/A,FALSE,"정공"}</definedName>
    <definedName name="ㅇㄹㅇㄹㅇㄹ" hidden="1">#REF!</definedName>
    <definedName name="ㅇㄹㅇㄹㅇㄹㅇ" hidden="1">{#N/A,#N/A,FALSE,"UNIT";#N/A,#N/A,FALSE,"UNIT";#N/A,#N/A,FALSE,"계정"}</definedName>
    <definedName name="ㅇㄹㅇㄹㅇㄹㅇㄹㅇㄹ" hidden="1">#REF!</definedName>
    <definedName name="ㅇㅇ" hidden="1">#REF!</definedName>
    <definedName name="ㅇㅇㅇ" hidden="1">{#N/A,#N/A,FALSE,"BS";#N/A,#N/A,FALSE,"PL";#N/A,#N/A,FALSE,"처분";#N/A,#N/A,FALSE,"현금";#N/A,#N/A,FALSE,"매출";#N/A,#N/A,FALSE,"원가";#N/A,#N/A,FALSE,"경영"}</definedName>
    <definedName name="ㅇㅇㅇㅇ" hidden="1">{#N/A,#N/A,FALSE,"UNIT";#N/A,#N/A,FALSE,"UNIT";#N/A,#N/A,FALSE,"계정"}</definedName>
    <definedName name="ㅇㅇㅇㅇㅇ" hidden="1">{#N/A,#N/A,FALSE,"UNIT";#N/A,#N/A,FALSE,"UNIT";#N/A,#N/A,FALSE,"계정"}</definedName>
    <definedName name="ㅇㅇㅇㅇㅇㅇ" hidden="1">{#N/A,#N/A,FALSE,"UNIT";#N/A,#N/A,FALSE,"UNIT";#N/A,#N/A,FALSE,"계정"}</definedName>
    <definedName name="ㅇㅇㅇㅇㅇㅇㅇㅇㅇㅇㅇㅇㅇㅇㅇㅇㅇㅇㅇ" hidden="1">#REF!</definedName>
    <definedName name="ㅇ여ㅗ흐ㅓㅇ휸" hidden="1">{#N/A,#N/A,FALSE,"98소지이동TOTvs99.1 (2)";#N/A,#N/A,FALSE,"TOTAL";#N/A,#N/A,FALSE,"98소지이동TOTvs99.1(b) (2)"}</definedName>
    <definedName name="ㅇㅈ" hidden="1">{#N/A,#N/A,FALSE,"표지";#N/A,#N/A,FALSE,"총괄표";#N/A,#N/A,FALSE,"1호 과표세액";#N/A,#N/A,FALSE,"3(3)호(갑) 원천납부";#N/A,#N/A,FALSE,"6호 소득금액";#N/A,#N/A,FALSE,"6호 첨부(익)";#N/A,#N/A,FALSE,"6호 첨부(손)";#N/A,#N/A,FALSE,"6-12호 선급비용";#N/A,#N/A,FALSE,"6-14호 부동산보유";#N/A,#N/A,FALSE,"9호 자본금(갑)";#N/A,#N/A,FALSE,"9호 자본금(을)";#N/A,#N/A,FALSE,"10(3)호 주요계정";#N/A,#N/A,FALSE,"10(3)호 부표";#N/A,#N/A,FALSE,"10(4)호 조정수입";#N/A,#N/A,FALSE,"12호 중소검토";#N/A,#N/A,FALSE,"14(1)호 갑 주식";#N/A,#N/A,FALSE,"59호 해외특수";#N/A,#N/A,FALSE,"요약 BS";#N/A,#N/A,FALSE,"요약 PL";#N/A,#N/A,FALSE,"요약원가";#N/A,#N/A,FALSE,"요약RE";#N/A,#N/A,FALSE,"6-5호 외화(갑)";#N/A,#N/A,FALSE,"6-5호 외화(을)"}</definedName>
    <definedName name="ㅇㅊㅋ" hidden="1">{#N/A,#N/A,FALSE,"을지 (4)";#N/A,#N/A,FALSE,"을지 (5)";#N/A,#N/A,FALSE,"을지 (6)"}</definedName>
    <definedName name="아" hidden="1">{#N/A,#N/A,FALSE,"BS";#N/A,#N/A,FALSE,"PL";#N/A,#N/A,FALSE,"처분";#N/A,#N/A,FALSE,"현금";#N/A,#N/A,FALSE,"매출";#N/A,#N/A,FALSE,"원가";#N/A,#N/A,FALSE,"경영"}</definedName>
    <definedName name="아나나" hidden="1">{#N/A,#N/A,FALSE,"정공"}</definedName>
    <definedName name="아나마오" hidden="1">{#N/A,#N/A,FALSE,"정공"}</definedName>
    <definedName name="아놔" hidden="1">#REF!</definedName>
    <definedName name="아니" hidden="1">{#N/A,#N/A,FALSE,"BS";#N/A,#N/A,FALSE,"PL";#N/A,#N/A,FALSE,"처분";#N/A,#N/A,FALSE,"현금";#N/A,#N/A,FALSE,"매출";#N/A,#N/A,FALSE,"원가";#N/A,#N/A,FALSE,"경영"}</definedName>
    <definedName name="아니면말고" hidden="1">{#N/A,#N/A,FALSE,"정공"}</definedName>
    <definedName name="아니오" hidden="1">{#N/A,#N/A,FALSE,"정공"}</definedName>
    <definedName name="아닙니다" hidden="1">{#N/A,#N/A,FALSE,"정공"}</definedName>
    <definedName name="아랑" hidden="1">{"YTD/Forecast",#N/A,TRUE,"Fcst_TPLN";"Monthly Averages",#N/A,TRUE,"Fcst_TPLN"}</definedName>
    <definedName name="아름" hidden="1">{#N/A,#N/A,FALSE,"정공"}</definedName>
    <definedName name="아름다은" hidden="1">{#N/A,#N/A,FALSE,"BS";#N/A,#N/A,FALSE,"PL";#N/A,#N/A,FALSE,"처분";#N/A,#N/A,FALSE,"현금";#N/A,#N/A,FALSE,"매출";#N/A,#N/A,FALSE,"원가";#N/A,#N/A,FALSE,"경영"}</definedName>
    <definedName name="아신" hidden="1">{#N/A,#N/A,FALSE,"정공"}</definedName>
    <definedName name="아ㅏ아아아아아" hidden="1">{#N/A,#N/A,FALSE,"UNIT";#N/A,#N/A,FALSE,"UNIT";#N/A,#N/A,FALSE,"계정"}</definedName>
    <definedName name="아ㅏㅏ" hidden="1">#REF!</definedName>
    <definedName name="아ㅗ나" hidden="1">#REF!</definedName>
    <definedName name="안" hidden="1">#REF!</definedName>
    <definedName name="안건" hidden="1">{#N/A,#N/A,FALSE,"BS";#N/A,#N/A,FALSE,"PL";#N/A,#N/A,FALSE,"처분";#N/A,#N/A,FALSE,"현금";#N/A,#N/A,FALSE,"매출";#N/A,#N/A,FALSE,"원가";#N/A,#N/A,FALSE,"경영"}</definedName>
    <definedName name="안녕하" hidden="1">#REF!</definedName>
    <definedName name="안녕하1" hidden="1">#REF!</definedName>
    <definedName name="안두준" hidden="1">#REF!</definedName>
    <definedName name="안산" hidden="1">{"YTD/Forecast",#N/A,TRUE,"Fcst_TPLN";"Monthly Averages",#N/A,TRUE,"Fcst_TPLN"}</definedName>
    <definedName name="안양" hidden="1">{"YTD/Forecast",#N/A,TRUE,"Fcst_TPLN";"Monthly Averages",#N/A,TRUE,"Fcst_TPLN"}</definedName>
    <definedName name="안전" hidden="1">{#N/A,#N/A,FALSE,"인원";#N/A,#N/A,FALSE,"비용2";#N/A,#N/A,FALSE,"비용1";#N/A,#N/A,FALSE,"비용";#N/A,#N/A,FALSE,"보증2";#N/A,#N/A,FALSE,"보증1";#N/A,#N/A,FALSE,"보증";#N/A,#N/A,FALSE,"손익1";#N/A,#N/A,FALSE,"손익";#N/A,#N/A,FALSE,"부서별매출";#N/A,#N/A,FALSE,"매출"}</definedName>
    <definedName name="안전수치귯ㅌ"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안전수칙"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안전수칙BTX"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안종원" hidden="1">{#N/A,#N/A,FALSE,"BS";#N/A,#N/A,FALSE,"PL";#N/A,#N/A,FALSE,"처분";#N/A,#N/A,FALSE,"현금";#N/A,#N/A,FALSE,"매출";#N/A,#N/A,FALSE,"원가";#N/A,#N/A,FALSE,"경영"}</definedName>
    <definedName name="안진정산표" hidden="1">7</definedName>
    <definedName name="알" hidden="1">{"YTD/Forecast",#N/A,TRUE,"Fcst_TPLN";"Monthly Averages",#N/A,TRUE,"Fcst_TPLN"}</definedName>
    <definedName name="앗서" hidden="1">{#N/A,#N/A,FALSE,"정공"}</definedName>
    <definedName name="앙" hidden="1">{#N/A,#N/A,FALSE,"BS";#N/A,#N/A,FALSE,"PL";#N/A,#N/A,FALSE,"처분";#N/A,#N/A,FALSE,"현금";#N/A,#N/A,FALSE,"매출";#N/A,#N/A,FALSE,"원가";#N/A,#N/A,FALSE,"경영"}</definedName>
    <definedName name="야" hidden="1">{#N/A,#N/A,FALSE,"UNIT";#N/A,#N/A,FALSE,"UNIT";#N/A,#N/A,FALSE,"계정"}</definedName>
    <definedName name="야탑" hidden="1">{"YTD/Forecast",#N/A,TRUE,"Fcst_TPLN";"Monthly Averages",#N/A,TRUE,"Fcst_TPLN"}</definedName>
    <definedName name="약식손익" hidden="1">{#N/A,#N/A,FALSE,"정공"}</definedName>
    <definedName name="약정잉자" hidden="1">{#N/A,#N/A,FALSE,"정공"}</definedName>
    <definedName name="양" hidden="1">{#N/A,#N/A,FALSE,"UNIT";#N/A,#N/A,FALSE,"UNIT";#N/A,#N/A,FALSE,"계정"}</definedName>
    <definedName name="양산조직"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양식17" hidden="1">{#N/A,#N/A,TRUE,"양식5";#N/A,#N/A,TRUE,"양식1_2_2";#N/A,#N/A,TRUE,"양식1_1_2";#N/A,#N/A,TRUE,"양식2";#N/A,#N/A,TRUE,"양식4";#N/A,#N/A,TRUE,"양식3";#N/A,#N/A,TRUE,"양식6";#N/A,#N/A,TRUE,"양식7";#N/A,#N/A,TRUE,"양식10";#N/A,#N/A,TRUE,"양식11";#N/A,#N/A,TRUE,"양식12";#N/A,#N/A,TRUE,"양식13_1_2";#N/A,#N/A,TRUE,"양식13_2_2";#N/A,#N/A,TRUE,"양식14"}</definedName>
    <definedName name="양주" hidden="1">#REF!</definedName>
    <definedName name="양주2" hidden="1">#REF!</definedName>
    <definedName name="어음" hidden="1">#REF!</definedName>
    <definedName name="업무보고용" hidden="1">{#N/A,#N/A,FALSE,"정공"}</definedName>
    <definedName name="엔화">#REF!</definedName>
    <definedName name="연간예상" hidden="1">{#N/A,#N/A,FALSE,"UNIT";#N/A,#N/A,FALSE,"UNIT";#N/A,#N/A,FALSE,"계정"}</definedName>
    <definedName name="연결정산표2" hidden="1">{#N/A,#N/A,FALSE,"Aging Summary";#N/A,#N/A,FALSE,"Ratio Analysis";#N/A,#N/A,FALSE,"Test 120 Day Accts";#N/A,#N/A,FALSE,"Tickmarks"}</definedName>
    <definedName name="연구소계" hidden="1">{"'5국공정'!$A$1:$E$128"}</definedName>
    <definedName name="연말손익" hidden="1">{#N/A,#N/A,FALSE,"UNIT";#N/A,#N/A,FALSE,"UNIT";#N/A,#N/A,FALSE,"계정"}</definedName>
    <definedName name="연습" hidden="1">{#N/A,#N/A,FALSE,"손익표지";#N/A,#N/A,FALSE,"손익계산";#N/A,#N/A,FALSE,"일반관리비";#N/A,#N/A,FALSE,"영업외수익";#N/A,#N/A,FALSE,"영업외비용";#N/A,#N/A,FALSE,"매출액";#N/A,#N/A,FALSE,"요약손익";#N/A,#N/A,FALSE,"요약대차";#N/A,#N/A,FALSE,"매출채권현황";#N/A,#N/A,FALSE,"매출채권명세"}</definedName>
    <definedName name="연주얀" hidden="1">{#N/A,#N/A,FALSE,"정공"}</definedName>
    <definedName name="영남출금" hidden="1">#REF!</definedName>
    <definedName name="영업외" hidden="1">{#N/A,#N/A,FALSE,"BS";#N/A,#N/A,FALSE,"PL";#N/A,#N/A,FALSE,"처분";#N/A,#N/A,FALSE,"현금";#N/A,#N/A,FALSE,"매출";#N/A,#N/A,FALSE,"원가";#N/A,#N/A,FALSE,"경영"}</definedName>
    <definedName name="영업외수" hidden="1">#REF!</definedName>
    <definedName name="예1" hidden="1">{#N/A,#N/A,FALSE,"정공"}</definedName>
    <definedName name="예2" hidden="1">{#N/A,#N/A,FALSE,"정공"}</definedName>
    <definedName name="예3" hidden="1">{#N/A,#N/A,FALSE,"정공"}</definedName>
    <definedName name="예수금1"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예수금이"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예치보증" hidden="1">{"'분양원가'!$B$1:$F$113"}</definedName>
    <definedName name="오" hidden="1">{#N/A,#N/A,FALSE,"Sheet1"}</definedName>
    <definedName name="오." hidden="1">{#N/A,#N/A,FALSE,"UNIT";#N/A,#N/A,FALSE,"UNIT";#N/A,#N/A,FALSE,"계정"}</definedName>
    <definedName name="오.." hidden="1">{#N/A,#N/A,FALSE,"UNIT";#N/A,#N/A,FALSE,"UNIT";#N/A,#N/A,FALSE,"계정"}</definedName>
    <definedName name="오나라"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오성협" hidden="1">{#N/A,#N/A,TRUE,"Y생산";#N/A,#N/A,TRUE,"Y판매";#N/A,#N/A,TRUE,"Y총물량";#N/A,#N/A,TRUE,"Y능력";#N/A,#N/A,TRUE,"YKD"}</definedName>
    <definedName name="왜이래" hidden="1">{#N/A,#N/A,FALSE,"손익표지";#N/A,#N/A,FALSE,"손익계산";#N/A,#N/A,FALSE,"일반관리비";#N/A,#N/A,FALSE,"영업외수익";#N/A,#N/A,FALSE,"영업외비용";#N/A,#N/A,FALSE,"매출액";#N/A,#N/A,FALSE,"요약손익";#N/A,#N/A,FALSE,"요약대차";#N/A,#N/A,FALSE,"매출채권현황";#N/A,#N/A,FALSE,"매출채권명세"}</definedName>
    <definedName name="외상" hidden="1">{#N/A,#N/A,FALSE,"Aging Summary";#N/A,#N/A,FALSE,"Ratio Analysis";#N/A,#N/A,FALSE,"Test 120 Day Accts";#N/A,#N/A,FALSE,"Tickmarks"}</definedName>
    <definedName name="외화외상" hidden="1">{#N/A,#N/A,FALSE,"Aging Summary";#N/A,#N/A,FALSE,"Ratio Analysis";#N/A,#N/A,FALSE,"Test 120 Day Accts";#N/A,#N/A,FALSE,"Tickmarks"}</definedName>
    <definedName name="외화외상매입금" hidden="1">{#N/A,#N/A,FALSE,"Aging Summary";#N/A,#N/A,FALSE,"Ratio Analysis";#N/A,#N/A,FALSE,"Test 120 Day Accts";#N/A,#N/A,FALSE,"Tickmarks"}</definedName>
    <definedName name="외화환차" hidden="1">{#N/A,#N/A,FALSE,"정공"}</definedName>
    <definedName name="외화환차1" hidden="1">{#N/A,#N/A,FALSE,"정공"}</definedName>
    <definedName name="요" hidden="1">{#N/A,#N/A,FALSE,"BS";#N/A,#N/A,FALSE,"PL";#N/A,#N/A,FALSE,"처분";#N/A,#N/A,FALSE,"현금";#N/A,#N/A,FALSE,"매출";#N/A,#N/A,FALSE,"원가";#N/A,#N/A,FALSE,"경영"}</definedName>
    <definedName name="요약" hidden="1">{#N/A,#N/A,FALSE,"BS";#N/A,#N/A,FALSE,"PL";#N/A,#N/A,FALSE,"처분";#N/A,#N/A,FALSE,"현금";#N/A,#N/A,FALSE,"매출";#N/A,#N/A,FALSE,"원가";#N/A,#N/A,FALSE,"경영"}</definedName>
    <definedName name="요약3" hidden="1">{#N/A,#N/A,FALSE,"정공"}</definedName>
    <definedName name="요약5" hidden="1">{#N/A,#N/A,FALSE,"정공"}</definedName>
    <definedName name="요약총괄" hidden="1">{#N/A,#N/A,FALSE,"정공"}</definedName>
    <definedName name="요약표" hidden="1">{"'Sheet1'!$A$1:$H$36"}</definedName>
    <definedName name="요약표3" hidden="1">{"'Sheet1'!$A$1:$H$36"}</definedName>
    <definedName name="용도">#REF!</definedName>
    <definedName name="우라" hidden="1">{"'Sheet1'!$A$1:$D$15"}</definedName>
    <definedName name="우우" hidden="1">{"YTD/Forecast",#N/A,TRUE,"Fcst_TPLN";"Monthly Averages",#N/A,TRUE,"Fcst_TPLN"}</definedName>
    <definedName name="운영자"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운전자본" hidden="1">{#N/A,#N/A,FALSE,"계약직(여)"}</definedName>
    <definedName name="원가관리라" hidden="1">{#N/A,#N/A,FALSE,"정공"}</definedName>
    <definedName name="원가적용" hidden="1">{#N/A,#N/A,FALSE,"정공"}</definedName>
    <definedName name="원동">#REF!</definedName>
    <definedName name="원본2" hidden="1">#REF!</definedName>
    <definedName name="원주" hidden="1">{#N/A,#N/A,FALSE,"인원";#N/A,#N/A,FALSE,"비용2";#N/A,#N/A,FALSE,"비용1";#N/A,#N/A,FALSE,"비용";#N/A,#N/A,FALSE,"보증2";#N/A,#N/A,FALSE,"보증1";#N/A,#N/A,FALSE,"보증";#N/A,#N/A,FALSE,"손익1";#N/A,#N/A,FALSE,"손익";#N/A,#N/A,FALSE,"부서별매출";#N/A,#N/A,FALSE,"매출"}</definedName>
    <definedName name="원천납부8"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월" hidden="1">{#N/A,#N/A,FALSE,"정공"}</definedName>
    <definedName name="월별원가절감상세" hidden="1">{#N/A,#N/A,FALSE,"정공"}</definedName>
    <definedName name="유가증권" hidden="1">{#N/A,#N/A,FALSE,"Aging Summary";#N/A,#N/A,FALSE,"Ratio Analysis";#N/A,#N/A,FALSE,"Test 120 Day Accts";#N/A,#N/A,FALSE,"Tickmarks"}</definedName>
    <definedName name="유가증권평가test" hidden="1">{#N/A,#N/A,FALSE,"Aging Summary";#N/A,#N/A,FALSE,"Ratio Analysis";#N/A,#N/A,FALSE,"Test 120 Day Accts";#N/A,#N/A,FALSE,"Tickmarks"}</definedName>
    <definedName name="유승훈"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유형근" hidden="1">"AS2DocumentEdit"</definedName>
    <definedName name="유화처분" hidden="1">{#N/A,#N/A,FALSE,"매출이익"}</definedName>
    <definedName name="유효" hidden="1">#REF!</definedName>
    <definedName name="유휴" hidden="1">#REF!</definedName>
    <definedName name="윤정문" hidden="1">#REF!</definedName>
    <definedName name="율리1총괄표"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은평" hidden="1">{"YTD/Forecast",#N/A,TRUE,"Fcst_TPLN";"Monthly Averages",#N/A,TRUE,"Fcst_TPLN"}</definedName>
    <definedName name="이" hidden="1">{#N/A,#N/A,FALSE,"BS";#N/A,#N/A,FALSE,"PL";#N/A,#N/A,FALSE,"처분";#N/A,#N/A,FALSE,"현금";#N/A,#N/A,FALSE,"매출";#N/A,#N/A,FALSE,"원가";#N/A,#N/A,FALSE,"경영"}</definedName>
    <definedName name="이광흐ㅣ2" hidden="1">{#N/A,#N/A,FALSE,"98소지이동TOTvs99.1 (2)";#N/A,#N/A,FALSE,"TOTAL";#N/A,#N/A,FALSE,"98소지이동TOTvs99.1(b) (2)"}</definedName>
    <definedName name="이광희" hidden="1">{#N/A,#N/A,FALSE,"Yield";#N/A,#N/A,FALSE,"Loss1";#N/A,#N/A,FALSE,"Loss2";#N/A,#N/A,FALSE,"Hour-Labor(배분)";#N/A,#N/A,FALSE,"Capital Expenditure";#N/A,#N/A,FALSE,"Productivity"}</definedName>
    <definedName name="이귀식" hidden="1">{#N/A,#N/A,FALSE,"Aging Summary";#N/A,#N/A,FALSE,"Ratio Analysis";#N/A,#N/A,FALSE,"Test 120 Day Accts";#N/A,#N/A,FALSE,"Tickmarks"}</definedName>
    <definedName name="이근우" hidden="1">{#N/A,#N/A,FALSE,"BS";#N/A,#N/A,FALSE,"PL";#N/A,#N/A,FALSE,"처분";#N/A,#N/A,FALSE,"현금";#N/A,#N/A,FALSE,"매출";#N/A,#N/A,FALSE,"원가";#N/A,#N/A,FALSE,"경영"}</definedName>
    <definedName name="이도얄"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이동" hidden="1">{#N/A,#N/A,FALSE,"을지 (4)";#N/A,#N/A,FALSE,"을지 (5)";#N/A,#N/A,FALSE,"을지 (6)"}</definedName>
    <definedName name="이런" hidden="1">{"'보고양식'!$A$58:$K$111"}</definedName>
    <definedName name="이름"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이름충돌" hidden="1">{#N/A,#N/A,FALSE,"계약직(여)"}</definedName>
    <definedName name="이리" hidden="1">{"YTD/Forecast",#N/A,TRUE,"Fcst_TPLN";"Monthly Averages",#N/A,TRUE,"Fcst_TPLN"}</definedName>
    <definedName name="이마트부천" hidden="1">{"YTD/Forecast",#N/A,TRUE,"Fcst_TPLN";"Monthly Averages",#N/A,TRUE,"Fcst_TPLN"}</definedName>
    <definedName name="이마트부평" hidden="1">{"YTD/Forecast",#N/A,TRUE,"Fcst_TPLN";"Monthly Averages",#N/A,TRUE,"Fcst_TPLN"}</definedName>
    <definedName name="이마트인천" hidden="1">{"YTD/Forecast",#N/A,TRUE,"Fcst_TPLN";"Monthly Averages",#N/A,TRUE,"Fcst_TPLN"}</definedName>
    <definedName name="이마트인천점" hidden="1">{"YTD/Forecast",#N/A,TRUE,"Fcst_TPLN";"Monthly Averages",#N/A,TRUE,"Fcst_TPLN"}</definedName>
    <definedName name="이마트진주" hidden="1">{"YTD/Forecast",#N/A,TRUE,"Fcst_TPLN";"Monthly Averages",#N/A,TRUE,"Fcst_TPLN"}</definedName>
    <definedName name="이명철" hidden="1">{#N/A,#N/A,FALSE,"인원";#N/A,#N/A,FALSE,"비용2";#N/A,#N/A,FALSE,"비용1";#N/A,#N/A,FALSE,"비용";#N/A,#N/A,FALSE,"보증2";#N/A,#N/A,FALSE,"보증1";#N/A,#N/A,FALSE,"보증";#N/A,#N/A,FALSE,"손익1";#N/A,#N/A,FALSE,"손익";#N/A,#N/A,FALSE,"부서별매출";#N/A,#N/A,FALSE,"매출"}</definedName>
    <definedName name="이미" hidden="1">{#N/A,#N/A,FALSE,"98소지이동TOTvs99.1 (2)";#N/A,#N/A,FALSE,"TOTAL";#N/A,#N/A,FALSE,"98소지이동TOTvs99.1(b) (2)"}</definedName>
    <definedName name="이미리" hidden="1">{#N/A,#N/A,FALSE,"98소지이동TOTvs99.1 (2)";#N/A,#N/A,FALSE,"TOTAL";#N/A,#N/A,FALSE,"98소지이동TOTvs99.1(b) (2)"}</definedName>
    <definedName name="이사회" hidden="1">{#N/A,#N/A,FALSE,"BS";#N/A,#N/A,FALSE,"PL";#N/A,#N/A,FALSE,"처분";#N/A,#N/A,FALSE,"현금";#N/A,#N/A,FALSE,"매출";#N/A,#N/A,FALSE,"원가";#N/A,#N/A,FALSE,"경영"}</definedName>
    <definedName name="이성일" hidden="1">{"'5국공정'!$A$1:$E$128"}</definedName>
    <definedName name="이슈" hidden="1">{#N/A,#N/A,TRUE,"일정"}</definedName>
    <definedName name="이여도" hidden="1">{#N/A,#N/A,FALSE,"98소지이동TOTvs99.1 (2)";#N/A,#N/A,FALSE,"TOTAL";#N/A,#N/A,FALSE,"98소지이동TOTvs99.1(b) (2)"}</definedName>
    <definedName name="이연법인세회계"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이자율">#REF!</definedName>
    <definedName name="이재범" hidden="1">{"'분양원가'!$B$1:$F$113"}</definedName>
    <definedName name="이지" hidden="1">#REF!</definedName>
    <definedName name="이철호" hidden="1">{#N/A,#N/A,FALSE,"Aging Summary";#N/A,#N/A,FALSE,"Ratio Analysis";#N/A,#N/A,FALSE,"Test 120 Day Accts";#N/A,#N/A,FALSE,"Tickmarks"}</definedName>
    <definedName name="인" hidden="1">{#N/A,#N/A,FALSE,"Sheet1"}</definedName>
    <definedName name="인끼짱" hidden="1">{#N/A,#N/A,FALSE,"COL-HIS"}</definedName>
    <definedName name="인니" hidden="1">{#N/A,#N/A,FALSE,"UNIT";#N/A,#N/A,FALSE,"UNIT";#N/A,#N/A,FALSE,"계정"}</definedName>
    <definedName name="인도네시아" hidden="1">{#N/A,#N/A,FALSE,"UNIT";#N/A,#N/A,FALSE,"UNIT";#N/A,#N/A,FALSE,"계정"}</definedName>
    <definedName name="인력계회" hidden="1">#REF!</definedName>
    <definedName name="인사" hidden="1">#REF!</definedName>
    <definedName name="인사팀" hidden="1">#REF!</definedName>
    <definedName name="인원" hidden="1">{#N/A,#N/A,TRUE,"양식5";#N/A,#N/A,TRUE,"양식1_2_2";#N/A,#N/A,TRUE,"양식1_1_2";#N/A,#N/A,TRUE,"양식2";#N/A,#N/A,TRUE,"양식4";#N/A,#N/A,TRUE,"양식3";#N/A,#N/A,TRUE,"양식6";#N/A,#N/A,TRUE,"양식7";#N/A,#N/A,TRUE,"양식10";#N/A,#N/A,TRUE,"양식11";#N/A,#N/A,TRUE,"양식12";#N/A,#N/A,TRUE,"양식13_1_2";#N/A,#N/A,TRUE,"양식13_2_2";#N/A,#N/A,TRUE,"양식14"}</definedName>
    <definedName name="인원1" hidden="1">{#N/A,#N/A,FALSE,"98소지이동TOTvs99.1 (2)";#N/A,#N/A,FALSE,"TOTAL";#N/A,#N/A,FALSE,"98소지이동TOTvs99.1(b) (2)"}</definedName>
    <definedName name="인원2"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인원2002년1월" hidden="1">{#N/A,#N/A,FALSE,"목차";#N/A,#N/A,FALSE,"요약손익";#N/A,#N/A,FALSE,"월별손익";#N/A,#N/A,FALSE,"요약대차";#N/A,#N/A,FALSE,"대차대조표";#N/A,#N/A,FALSE,"요약CASH";#N/A,#N/A,FALSE,"자금운용표";#N/A,#N/A,FALSE,"판매요약";#N/A,#N/A,FALSE,"탐별 매출";#N/A,#N/A,FALSE,"생산요약";#N/A,#N/A,FALSE,"생산량 (2)";#N/A,#N/A,FALSE,"인원운용";#N/A,#N/A,FALSE,"전사집계";#N/A,#N/A,FALSE,"전사월별";#N/A,#N/A,FALSE,"차입금";#N/A,#N/A,FALSE,"자본지출"}</definedName>
    <definedName name="인원충원사유" hidden="1">{#N/A,#N/A,FALSE,"계약직(여)"}</definedName>
    <definedName name="일반관리비" hidden="1">{#N/A,#N/A,FALSE,"Sheet1"}</definedName>
    <definedName name="일산"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일위" hidden="1">#REF!</definedName>
    <definedName name="일일" hidden="1">{#N/A,#N/A,FALSE,"정공"}</definedName>
    <definedName name="임대보증금" hidden="1">{#N/A,#N/A,FALSE,"BS";#N/A,#N/A,FALSE,"PL";#N/A,#N/A,FALSE,"처분";#N/A,#N/A,FALSE,"현금";#N/A,#N/A,FALSE,"매출";#N/A,#N/A,FALSE,"원가";#N/A,#N/A,FALSE,"경영"}</definedName>
    <definedName name="임동원" hidden="1">{#N/A,#N/A,FALSE,"정공"}</definedName>
    <definedName name="임차" hidden="1">{"'분양원가'!$B$1:$F$113"}</definedName>
    <definedName name="임차2" hidden="1">{"'분양원가'!$B$1:$F$113"}</definedName>
    <definedName name="입고" hidden="1">#REF!</definedName>
    <definedName name="ㅈ" hidden="1">{#N/A,#N/A,FALSE,"Sheet1"}</definedName>
    <definedName name="ㅈㄷㄱ" hidden="1">{#N/A,#N/A,FALSE,"BS";#N/A,#N/A,FALSE,"PL";#N/A,#N/A,FALSE,"처분";#N/A,#N/A,FALSE,"현금";#N/A,#N/A,FALSE,"매출";#N/A,#N/A,FALSE,"원가";#N/A,#N/A,FALSE,"경영"}</definedName>
    <definedName name="ㅈㅈ" hidden="1">{#N/A,#N/A,FALSE,"을지 (4)";#N/A,#N/A,FALSE,"을지 (5)";#N/A,#N/A,FALSE,"을지 (6)"}</definedName>
    <definedName name="ㅈㅈㅈ" hidden="1">{#N/A,#N/A,FALSE,"BS";#N/A,#N/A,FALSE,"PL";#N/A,#N/A,FALSE,"처분";#N/A,#N/A,FALSE,"현금";#N/A,#N/A,FALSE,"매출";#N/A,#N/A,FALSE,"원가";#N/A,#N/A,FALSE,"경영"}</definedName>
    <definedName name="자" hidden="1">{#N/A,#N/A,FALSE,"BS";#N/A,#N/A,FALSE,"PL";#N/A,#N/A,FALSE,"처분";#N/A,#N/A,FALSE,"현금";#N/A,#N/A,FALSE,"매출";#N/A,#N/A,FALSE,"원가";#N/A,#N/A,FALSE,"경영"}</definedName>
    <definedName name="자." hidden="1">{#N/A,#N/A,FALSE,"UNIT";#N/A,#N/A,FALSE,"UNIT";#N/A,#N/A,FALSE,"계정"}</definedName>
    <definedName name="자.." hidden="1">{#N/A,#N/A,FALSE,"UNIT";#N/A,#N/A,FALSE,"UNIT";#N/A,#N/A,FALSE,"계정"}</definedName>
    <definedName name="자가소비" hidden="1">#REF!</definedName>
    <definedName name="자금계획" hidden="1">#REF!</definedName>
    <definedName name="자금수지_00"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자동화" hidden="1">{#N/A,#N/A,FALSE,"UNIT";#N/A,#N/A,FALSE,"UNIT";#N/A,#N/A,FALSE,"계정"}</definedName>
    <definedName name="자본" hidden="1">#REF!</definedName>
    <definedName name="자본금" hidden="1">{#N/A,#N/A,FALSE,"Aging Summary";#N/A,#N/A,FALSE,"Ratio Analysis";#N/A,#N/A,FALSE,"Test 120 Day Accts";#N/A,#N/A,FALSE,"Tickmarks"}</definedName>
    <definedName name="자본방" hidden="1">{#N/A,#N/A,FALSE,"Aging Summary";#N/A,#N/A,FALSE,"Ratio Analysis";#N/A,#N/A,FALSE,"Test 120 Day Accts";#N/A,#N/A,FALSE,"Tickmarks"}</definedName>
    <definedName name="자본변동표3" hidden="1">{#N/A,#N/A,FALSE,"Aging Summary";#N/A,#N/A,FALSE,"Ratio Analysis";#N/A,#N/A,FALSE,"Test 120 Day Accts";#N/A,#N/A,FALSE,"Tickmarks"}</definedName>
    <definedName name="자본적" hidden="1">{#N/A,#N/A,FALSE,"98소지이동TOTvs99.1 (2)";#N/A,#N/A,FALSE,"TOTAL";#N/A,#N/A,FALSE,"98소지이동TOTvs99.1(b) (2)"}</definedName>
    <definedName name="자산">#REF!</definedName>
    <definedName name="작년환율">#REF!</definedName>
    <definedName name="작성조서" hidden="1">{#N/A,#N/A,FALSE,"BS";#N/A,#N/A,FALSE,"PL";#N/A,#N/A,FALSE,"처분";#N/A,#N/A,FALSE,"현금";#N/A,#N/A,FALSE,"매출";#N/A,#N/A,FALSE,"원가";#N/A,#N/A,FALSE,"경영"}</definedName>
    <definedName name="작업" hidden="1">{#N/A,#N/A,FALSE,"군산원가";#N/A,#N/A,FALSE,"팀별월별";#N/A,#N/A,FALSE,"타공정대체";#N/A,#N/A,FALSE,"기타경비";#N/A,#N/A,FALSE,"원료";#N/A,#N/A,FALSE,"연료"}</definedName>
    <definedName name="잔다르크" hidden="1">{#N/A,#N/A,FALSE,"정공"}</definedName>
    <definedName name="장VP" hidden="1">{#N/A,#N/A,FALSE,"UNIT";#N/A,#N/A,FALSE,"UNIT";#N/A,#N/A,FALSE,"계정"}</definedName>
    <definedName name="장기미수금" hidden="1">{#N/A,#N/A,FALSE,"UNIT";#N/A,#N/A,FALSE,"UNIT";#N/A,#N/A,FALSE,"계정"}</definedName>
    <definedName name="장비세부" hidden="1">#REF!</definedName>
    <definedName name="장비투자" hidden="1">#REF!</definedName>
    <definedName name="장예">#REF!</definedName>
    <definedName name="재경" hidden="1">{#N/A,#N/A,FALSE,"UNIT";#N/A,#N/A,FALSE,"UNIT";#N/A,#N/A,FALSE,"계정"}</definedName>
    <definedName name="재고자산이자최종" hidden="1">{"'분양원가'!$B$1:$F$113"}</definedName>
    <definedName name="재료" hidden="1">{#N/A,#N/A,FALSE,"UNIT";#N/A,#N/A,FALSE,"UNIT";#N/A,#N/A,FALSE,"계정"}</definedName>
    <definedName name="재무" hidden="1">#REF!</definedName>
    <definedName name="저1" hidden="1">{#N/A,#N/A,FALSE,"정공"}</definedName>
    <definedName name="저2" hidden="1">{#N/A,#N/A,FALSE,"정공"}</definedName>
    <definedName name="저저" hidden="1">{#N/A,#N/A,FALSE,"UNIT";#N/A,#N/A,FALSE,"UNIT";#N/A,#N/A,FALSE,"계정"}</definedName>
    <definedName name="적정분양가"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적치" hidden="1">{#N/A,#N/A,FALSE,"군산원가";#N/A,#N/A,FALSE,"팀별월별";#N/A,#N/A,FALSE,"타공정대체";#N/A,#N/A,FALSE,"기타경비";#N/A,#N/A,FALSE,"원료";#N/A,#N/A,FALSE,"연료"}</definedName>
    <definedName name="전2" hidden="1">{#N/A,#N/A,FALSE,"정공"}</definedName>
    <definedName name="전기제품제조원가">#REF!</definedName>
    <definedName name="전략" hidden="1">{#N/A,#N/A,FALSE,"정공"}</definedName>
    <definedName name="전략2" hidden="1">{#N/A,#N/A,FALSE,"정공"}</definedName>
    <definedName name="전략투" hidden="1">{#N/A,#N/A,FALSE,"정공"}</definedName>
    <definedName name="전산장비" hidden="1">{"'Sheet1'!$A$1:$H$36"}</definedName>
    <definedName name="전월달러">#REF!</definedName>
    <definedName name="전월엔화">#REF!</definedName>
    <definedName name="전입액">#REF!</definedName>
    <definedName name="전체범위">#REF!</definedName>
    <definedName name="절감내역상세" hidden="1">{#N/A,#N/A,FALSE,"정공"}</definedName>
    <definedName name="절감반기계획對실적" hidden="1">{#N/A,#N/A,FALSE,"정공"}</definedName>
    <definedName name="정" hidden="1">{#N/A,#N/A,FALSE,"UNIT";#N/A,#N/A,FALSE,"UNIT";#N/A,#N/A,FALSE,"계정"}</definedName>
    <definedName name="정문" hidden="1">{#N/A,#N/A,FALSE,"UNIT";#N/A,#N/A,FALSE,"UNIT";#N/A,#N/A,FALSE,"계정"}</definedName>
    <definedName name="정문식" hidden="1">{#N/A,#N/A,FALSE,"UNIT";#N/A,#N/A,FALSE,"UNIT";#N/A,#N/A,FALSE,"계정"}</definedName>
    <definedName name="정미아" hidden="1">{#N/A,#N/A,FALSE,"BS";#N/A,#N/A,FALSE,"PL";#N/A,#N/A,FALSE,"처분";#N/A,#N/A,FALSE,"현금";#N/A,#N/A,FALSE,"매출";#N/A,#N/A,FALSE,"원가";#N/A,#N/A,FALSE,"경영"}</definedName>
    <definedName name="정비" hidden="1">{#N/A,#N/A,FALSE,"인원";#N/A,#N/A,FALSE,"비용2";#N/A,#N/A,FALSE,"비용1";#N/A,#N/A,FALSE,"비용";#N/A,#N/A,FALSE,"보증2";#N/A,#N/A,FALSE,"보증1";#N/A,#N/A,FALSE,"보증";#N/A,#N/A,FALSE,"손익1";#N/A,#N/A,FALSE,"손익";#N/A,#N/A,FALSE,"부서별매출";#N/A,#N/A,FALSE,"매출"}</definedName>
    <definedName name="정비대수" hidden="1">{#N/A,#N/A,FALSE,"인원";#N/A,#N/A,FALSE,"비용2";#N/A,#N/A,FALSE,"비용1";#N/A,#N/A,FALSE,"비용";#N/A,#N/A,FALSE,"보증2";#N/A,#N/A,FALSE,"보증1";#N/A,#N/A,FALSE,"보증";#N/A,#N/A,FALSE,"손익1";#N/A,#N/A,FALSE,"손익";#N/A,#N/A,FALSE,"부서별매출";#N/A,#N/A,FALSE,"매출"}</definedName>
    <definedName name="정비부품" hidden="1">{#N/A,#N/A,FALSE,"인원";#N/A,#N/A,FALSE,"비용2";#N/A,#N/A,FALSE,"비용1";#N/A,#N/A,FALSE,"비용";#N/A,#N/A,FALSE,"보증2";#N/A,#N/A,FALSE,"보증1";#N/A,#N/A,FALSE,"보증";#N/A,#N/A,FALSE,"손익1";#N/A,#N/A,FALSE,"손익";#N/A,#N/A,FALSE,"부서별매출";#N/A,#N/A,FALSE,"매출"}</definedName>
    <definedName name="정비확정" hidden="1">#REF!</definedName>
    <definedName name="정산표" hidden="1">#REF!</definedName>
    <definedName name="정상가격" hidden="1">{#N/A,#N/A,TRUE,"총괄표";#N/A,#N/A,TRUE,"1호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주식";#N/A,#N/A,TRUE,"60호 갑 적정유보";#N/A,#N/A,TRUE,"60호 을 적정유보"}</definedName>
    <definedName name="정석희" hidden="1">#REF!</definedName>
    <definedName name="제1안" hidden="1">{#N/A,#N/A,TRUE,"매출진척-1";#N/A,#N/A,TRUE,"매출진척-2";#N/A,#N/A,TRUE,"제품실적";#N/A,#N/A,TRUE,"RAC";#N/A,#N/A,TRUE,"PAC ";#N/A,#N/A,TRUE,"재고현황";#N/A,#N/A,TRUE,"공지사항"}</definedName>
    <definedName name="제조" hidden="1">#REF!</definedName>
    <definedName name="제조원가" hidden="1">#REF!</definedName>
    <definedName name="제품별사업전략" hidden="1">{#N/A,#N/A,FALSE,"UNIT";#N/A,#N/A,FALSE,"UNIT";#N/A,#N/A,FALSE,"계정"}</definedName>
    <definedName name="졍ㅇ호ㅗㅓ"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조" hidden="1">{#N/A,#N/A,FALSE,"BS";#N/A,#N/A,FALSE,"PL";#N/A,#N/A,FALSE,"처분";#N/A,#N/A,FALSE,"현금";#N/A,#N/A,FALSE,"매출";#N/A,#N/A,FALSE,"원가";#N/A,#N/A,FALSE,"경영"}</definedName>
    <definedName name="조세" hidden="1">#REF!</definedName>
    <definedName name="조정" hidden="1">#REF!</definedName>
    <definedName name="조정분개" hidden="1">#REF!</definedName>
    <definedName name="조정후손익" hidden="1">{#N/A,#N/A,FALSE,"정공"}</definedName>
    <definedName name="조직3" hidden="1">{#N/A,#N/A,FALSE,"정공"}</definedName>
    <definedName name="조회" hidden="1">{#N/A,#N/A,FALSE,"채권채무";#N/A,#N/A,FALSE,"control sheet"}</definedName>
    <definedName name="조회서" hidden="1">{#N/A,#N/A,FALSE,"채권채무";#N/A,#N/A,FALSE,"control sheet"}</definedName>
    <definedName name="조회서_차입금" hidden="1">{"'Sheet1'!$A$1:$D$15"}</definedName>
    <definedName name="종합2" hidden="1">{#N/A,#N/A,FALSE,"정공"}</definedName>
    <definedName name="종합미래2" hidden="1">{#N/A,#N/A,FALSE,"정공"}</definedName>
    <definedName name="주" hidden="1">{#N/A,#N/A,FALSE,"UNIT";#N/A,#N/A,FALSE,"UNIT";#N/A,#N/A,FALSE,"계정"}</definedName>
    <definedName name="주근조">#REF!</definedName>
    <definedName name="주마감" hidden="1">#REF!</definedName>
    <definedName name="주요업무2" hidden="1">{#N/A,#N/A,TRUE,"Y생산";#N/A,#N/A,TRUE,"Y판매";#N/A,#N/A,TRUE,"Y총물량";#N/A,#N/A,TRUE,"Y능력";#N/A,#N/A,TRUE,"YKD"}</definedName>
    <definedName name="주요업무3" hidden="1">{#N/A,#N/A,TRUE,"Y생산";#N/A,#N/A,TRUE,"Y판매";#N/A,#N/A,TRUE,"Y총물량";#N/A,#N/A,TRUE,"Y능력";#N/A,#N/A,TRUE,"YKD"}</definedName>
    <definedName name="주재원" hidden="1">#REF!</definedName>
    <definedName name="주차계획" hidden="1">{#N/A,#N/A,FALSE,"UNIT";#N/A,#N/A,FALSE,"UNIT";#N/A,#N/A,FALSE,"계정"}</definedName>
    <definedName name="중간예납"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중간예납신고납계산서" hidden="1">{#N/A,#N/A,TRUE,"일반적사항";#N/A,#N/A,TRUE,"주요재무자료";#N/A,#N/A,TRUE,"표지";#N/A,#N/A,TRUE,"총괄표";#N/A,#N/A,TRUE,"1호 과표세액";#N/A,#N/A,TRUE,"2호 서식";#N/A,#N/A,TRUE,"2호부표 최저한세";#N/A,#N/A,TRUE,"3(1)호 공제감면";#N/A,#N/A,TRUE,"3(1) 부1 공제감면";#N/A,#N/A,TRUE,"3(1) 부2 공제감면";#N/A,#N/A,TRUE,"3(1) 부3 세액조정";#N/A,#N/A,TRUE,"3(1)부7 기업합리";#N/A,#N/A,TRUE,"3(3)호(갑) 원천납부";#N/A,#N/A,TRUE,"4호 특별부가";#N/A,#N/A,TRUE,"5호 농어촌";#N/A,#N/A,TRUE,"5호2 농감면(갑)";#N/A,#N/A,TRUE,"5호2 농감면(을)";#N/A,#N/A,TRUE,"6호 소득금액";#N/A,#N/A,TRUE,"6호 첨부(익)";#N/A,#N/A,TRUE,"6호 첨부(손)";#N/A,#N/A,TRUE,"6-1호 수입금액";#N/A,#N/A,TRUE,"6-2(7)호 해외투자";#N/A,#N/A,TRUE,"6-3호 퇴충";#N/A,#N/A,TRUE,"6-3(3)호 단퇴";#N/A,#N/A,TRUE,"6-3(4)호 대손";#N/A,#N/A,TRUE,"6-4호 접대(갑)";#N/A,#N/A,TRUE,"6-4호 접대(을)";#N/A,#N/A,TRUE,"감가총괄표";#N/A,#N/A,TRUE,"6-6(3)호 감가(정율)";#N/A,#N/A,TRUE,"6-6호(부표) 자본적지출";#N/A,#N/A,TRUE,"6-10호 재고자산";#N/A,#N/A,TRUE,"6-11호 세금과공과";#N/A,#N/A,TRUE,"6-12호 선급비용";#N/A,#N/A,TRUE,"6-13호 기부금";#N/A,#N/A,TRUE,"기부1";#N/A,#N/A,TRUE,"기부2";#N/A,#N/A,TRUE,"8호 기부금조정";#N/A,#N/A,TRUE,"9호 자본금(갑)";#N/A,#N/A,TRUE,"9호 자본금(을)";#N/A,#N/A,TRUE,"10(3)호 주요계정";#N/A,#N/A,TRUE,"10(3)호 부표";#N/A,#N/A,TRUE,"10(4)호 조정수입";#N/A,#N/A,TRUE,"14(1)호 갑 주식";#N/A,#N/A,TRUE,"59호 해외특수";#N/A,#N/A,TRUE,"요약 BS";#N/A,#N/A,TRUE,"요약 PL";#N/A,#N/A,TRUE,"요약RE";#N/A,#N/A,TRUE,"조8호 기술인력";#N/A,#N/A,TRUE,"국공채감면";#N/A,#N/A,TRUE,"전기수정";#N/A,#N/A,TRUE,"퇴충명세";#N/A,#N/A,TRUE,"적금모집권유비";#N/A,#N/A,TRUE,"해외투자현황";#N/A,#N/A,TRUE,"외화감면";#N/A,#N/A,TRUE,"offshore";#N/A,#N/A,TRUE,"대손상각등명세"}</definedName>
    <definedName name="중간예납신고납부계산서" hidden="1">{#N/A,#N/A,FALSE,"1호 과표세액";#N/A,#N/A,FALSE,"2호 서식";#N/A,#N/A,FALSE,"2호부표 최저한세";#N/A,#N/A,FALSE,"5호 농어촌";#N/A,#N/A,FALSE,"6호 소득금액";#N/A,#N/A,FALSE,"6호 첨부(익)";#N/A,#N/A,FALSE,"6호 첨부(손)";#N/A,#N/A,FALSE,"6-1호 수입금액";#N/A,#N/A,FALSE,"6-2(7)호 해외투자";#N/A,#N/A,FALSE,"6-3호 퇴충";#N/A,#N/A,FALSE,"6-3(3)호 단퇴";#N/A,#N/A,FALSE,"6-3(4)호 대손";#N/A,#N/A,FALSE,"6-4호 접대(갑)";#N/A,#N/A,FALSE,"6-4호 접대(을)";#N/A,#N/A,FALSE,"9호 자본금(갑)";#N/A,#N/A,FALSE,"9호 자본금(을)";#N/A,#N/A,FALSE,"조8호 기술인력";#N/A,#N/A,FALSE,"국공채감면";#N/A,#N/A,FALSE,"전기수정";#N/A,#N/A,FALSE,"퇴충명세";#N/A,#N/A,FALSE,"적금모집권유비";#N/A,#N/A,FALSE,"해외투자현황";#N/A,#N/A,FALSE,"외화감면";#N/A,#N/A,FALSE,"대손상각등명세"}</definedName>
    <definedName name="중간요약" hidden="1">{#N/A,#N/A,FALSE,"BS";#N/A,#N/A,FALSE,"PL";#N/A,#N/A,FALSE,"처분";#N/A,#N/A,FALSE,"현금";#N/A,#N/A,FALSE,"매출";#N/A,#N/A,FALSE,"원가";#N/A,#N/A,FALSE,"경영"}</definedName>
    <definedName name="중국"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중기" hidden="1">{#N/A,#N/A,FALSE,"정공"}</definedName>
    <definedName name="중앙" hidden="1">{#N/A,#N/A,FALSE,"단축1";#N/A,#N/A,FALSE,"단축2";#N/A,#N/A,FALSE,"단축3";#N/A,#N/A,FALSE,"장축";#N/A,#N/A,FALSE,"4WD"}</definedName>
    <definedName name="중점관리4" hidden="1">#REF!</definedName>
    <definedName name="지급" hidden="1">{"YTD/Forecast",#N/A,TRUE,"Fcst_TPLN";"Monthly Averages",#N/A,TRUE,"Fcst_TPLN"}</definedName>
    <definedName name="지급어음명세서3" hidden="1">{#N/A,#N/A,FALSE,"정공"}</definedName>
    <definedName name="지나" hidden="1">#REF!</definedName>
    <definedName name="지분가치">DCF!#REF!</definedName>
    <definedName name="지표" hidden="1">#REF!</definedName>
    <definedName name="직급별3" hidden="1">{#N/A,#N/A,FALSE,"Sheet1"}</definedName>
    <definedName name="직급별초입비교"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직원">#REF!</definedName>
    <definedName name="진" hidden="1">{#N/A,#N/A,FALSE,"UNIT";#N/A,#N/A,FALSE,"UNIT";#N/A,#N/A,FALSE,"계정"}</definedName>
    <definedName name="진단표"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진짜현금작성조서" hidden="1">{#N/A,#N/A,FALSE,"BS";#N/A,#N/A,FALSE,"PL";#N/A,#N/A,FALSE,"처분";#N/A,#N/A,FALSE,"현금";#N/A,#N/A,FALSE,"매출";#N/A,#N/A,FALSE,"원가";#N/A,#N/A,FALSE,"경영"}</definedName>
    <definedName name="ㅊ" hidden="1">{#N/A,#N/A,FALSE,"BS";#N/A,#N/A,FALSE,"PL";#N/A,#N/A,FALSE,"처분";#N/A,#N/A,FALSE,"현금";#N/A,#N/A,FALSE,"매출";#N/A,#N/A,FALSE,"원가";#N/A,#N/A,FALSE,"경영"}</definedName>
    <definedName name="차." hidden="1">{#N/A,#N/A,FALSE,"UNIT";#N/A,#N/A,FALSE,"UNIT";#N/A,#N/A,FALSE,"계정"}</definedName>
    <definedName name="차량" hidden="1">{#N/A,#N/A,FALSE,"UNIT";#N/A,#N/A,FALSE,"UNIT";#N/A,#N/A,FALSE,"계정"}</definedName>
    <definedName name="차량2" hidden="1">#REF!</definedName>
    <definedName name="차량SVC" hidden="1">{#N/A,#N/A,FALSE,"UNIT";#N/A,#N/A,FALSE,"UNIT";#N/A,#N/A,FALSE,"계정"}</definedName>
    <definedName name="차량운반구" hidden="1">{"'손익현황'!$A$1:$J$29"}</definedName>
    <definedName name="차이조정분" hidden="1">{"'Sheet1'!$A$1:$D$15"}</definedName>
    <definedName name="차이현황1" hidden="1">#REF!</definedName>
    <definedName name="차입명세" hidden="1">{"'분양원가'!$B$1:$F$113"}</definedName>
    <definedName name="차종별기본생산계획"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차트" hidden="1">{#N/A,#N/A,FALSE,"정공"}</definedName>
    <definedName name="참고" hidden="1">{#N/A,#N/A,FALSE,"BS";#N/A,#N/A,FALSE,"PL";#N/A,#N/A,FALSE,"처분";#N/A,#N/A,FALSE,"현금";#N/A,#N/A,FALSE,"매출";#N/A,#N/A,FALSE,"원가";#N/A,#N/A,FALSE,"경영"}</definedName>
    <definedName name="창고LOSS" hidden="1">{#N/A,#N/A,FALSE,"군산원가";#N/A,#N/A,FALSE,"팀별월별";#N/A,#N/A,FALSE,"타공정대체";#N/A,#N/A,FALSE,"기타경비";#N/A,#N/A,FALSE,"원료";#N/A,#N/A,FALSE,"연료"}</definedName>
    <definedName name="창동" hidden="1">{"YTD/Forecast",#N/A,TRUE,"Fcst_TPLN";"Monthly Averages",#N/A,TRUE,"Fcst_TPLN"}</definedName>
    <definedName name="채권재" hidden="1">{#N/A,#N/A,FALSE,"채권채무";#N/A,#N/A,FALSE,"control sheet"}</definedName>
    <definedName name="천호" hidden="1">{"YTD/Forecast",#N/A,TRUE,"Fcst_TPLN";"Monthly Averages",#N/A,TRUE,"Fcst_TPLN"}</definedName>
    <definedName name="초고압" hidden="1">{#N/A,#N/A,FALSE,"UNIT";#N/A,#N/A,FALSE,"UNIT";#N/A,#N/A,FALSE,"계정"}</definedName>
    <definedName name="초임금비교" hidden="1">{#N/A,#N/A,FALSE,"계약직(여)"}</definedName>
    <definedName name="초임급" hidden="1">{#N/A,#N/A,FALSE,"계약직(여)"}</definedName>
    <definedName name="총괄_신세대" hidden="1">{#N/A,#N/A,FALSE,"정공"}</definedName>
    <definedName name="총괄1" hidden="1">{#N/A,#N/A,FALSE,"UNIT";#N/A,#N/A,FALSE,"UNIT";#N/A,#N/A,FALSE,"계정"}</definedName>
    <definedName name="최영" hidden="1">{#N/A,#N/A,FALSE,"정공"}</definedName>
    <definedName name="최재호" hidden="1">#REF!</definedName>
    <definedName name="추계합계">#REF!</definedName>
    <definedName name="추이" hidden="1">{#N/A,#N/A,FALSE,"인원";#N/A,#N/A,FALSE,"비용2";#N/A,#N/A,FALSE,"비용1";#N/A,#N/A,FALSE,"비용";#N/A,#N/A,FALSE,"보증2";#N/A,#N/A,FALSE,"보증1";#N/A,#N/A,FALSE,"보증";#N/A,#N/A,FALSE,"손익1";#N/A,#N/A,FALSE,"손익";#N/A,#N/A,FALSE,"부서별매출";#N/A,#N/A,FALSE,"매출"}</definedName>
    <definedName name="추정대차대조표" hidden="1">{#N/A,#N/A,FALSE,"계약직(여)"}</definedName>
    <definedName name="추진" hidden="1">{#N/A,#N/A,FALSE,"정공"}</definedName>
    <definedName name="추진전략" hidden="1">{#N/A,#N/A,FALSE,"정공"}</definedName>
    <definedName name="츄" hidden="1">{#N/A,#N/A,FALSE,"Sheet1"}</definedName>
    <definedName name="ㅋ" hidden="1">{#N/A,#N/A,FALSE,"UNIT";#N/A,#N/A,FALSE,"UNIT";#N/A,#N/A,FALSE,"계정"}</definedName>
    <definedName name="ㅋㅋ" hidden="1">{#N/A,#N/A,TRUE,"Y생산";#N/A,#N/A,TRUE,"Y판매";#N/A,#N/A,TRUE,"Y총물량";#N/A,#N/A,TRUE,"Y능력";#N/A,#N/A,TRUE,"YKD"}</definedName>
    <definedName name="ㅋㅋㅁ" hidden="1">#REF!</definedName>
    <definedName name="ㅋㅋㅋ" hidden="1">{#N/A,#N/A,TRUE,"매출진척-1";#N/A,#N/A,TRUE,"매출진척-2";#N/A,#N/A,TRUE,"제품실적";#N/A,#N/A,TRUE,"RAC";#N/A,#N/A,TRUE,"PAC ";#N/A,#N/A,TRUE,"재고현황";#N/A,#N/A,TRUE,"공지사항"}</definedName>
    <definedName name="ㅋㅋㅋㅋ" hidden="1">#REF!</definedName>
    <definedName name="ㅋㅌㅊ" hidden="1">{#N/A,#N/A,FALSE,"Sheet1"}</definedName>
    <definedName name="카메라" hidden="1">{"'Sheet1'!$B$10:$C$19","'Sheet1'!$A$53:$C$65"}</definedName>
    <definedName name="캐터링2" hidden="1">{#N/A,#N/A,TRUE,"사업자등록증 (2)"}</definedName>
    <definedName name="키프코" hidden="1">{#N/A,#N/A,FALSE,"을지 (4)";#N/A,#N/A,FALSE,"을지 (5)";#N/A,#N/A,FALSE,"을지 (6)"}</definedName>
    <definedName name="ㅌ" hidden="1">{#N/A,#N/A,FALSE,"UNIT";#N/A,#N/A,FALSE,"UNIT";#N/A,#N/A,FALSE,"계정"}</definedName>
    <definedName name="ㅌㅌ" hidden="1">#REF!</definedName>
    <definedName name="ㅌㅌㅌ" hidden="1">{#N/A,#N/A,FALSE,"BS";#N/A,#N/A,FALSE,"PL";#N/A,#N/A,FALSE,"처분";#N/A,#N/A,FALSE,"현금";#N/A,#N/A,FALSE,"매출";#N/A,#N/A,FALSE,"원가";#N/A,#N/A,FALSE,"경영"}</definedName>
    <definedName name="통합" hidden="1">{#N/A,#N/A,FALSE,"표지";#N/A,#N/A,FALSE,"제출문";#N/A,#N/A,FALSE,"소목차(1)";#N/A,#N/A,FALSE,"경제전망";#N/A,#N/A,FALSE,"부동산전망";#N/A,#N/A,FALSE,"부동산전망2";#N/A,#N/A,FALSE,"아파트개발트랜드";#N/A,#N/A,FALSE,"아파트개발트랜드2";#N/A,#N/A,FALSE,"주택시장트랜드";#N/A,#N/A,FALSE,"소목차(2)";#N/A,#N/A,FALSE,"사업개요";#N/A,#N/A,FALSE,"사업지입지분석";#N/A,#N/A,FALSE,"인근지역분석";#N/A,#N/A,FALSE,"인근지역분석2";#N/A,#N/A,FALSE,"서울 분당 용인 시세";#N/A,#N/A,FALSE,"서울 재건축 시세 ";#N/A,#N/A,FALSE,"상품분석";#N/A,#N/A,FALSE,"상품분석2";#N/A,#N/A,FALSE,"소목차3(훈민)";#N/A,#N/A,FALSE,"소목차4(훈민)";#N/A,#N/A,FALSE,"소목차5";#N/A,#N/A,FALSE,"영업전략수립전제";#N/A,#N/A,FALSE,"판매조건변경";#N/A,#N/A,FALSE,"판매조건변경2";#N/A,#N/A,FALSE,"알파제고방안";#N/A,#N/A,FALSE,"판매방제휴방안";#N/A,#N/A,FALSE,"영업활동";#N/A,#N/A,FALSE,"영업활동2";#N/A,#N/A,FALSE,"황제마케팅";#N/A,#N/A,FALSE,"DM";#N/A,#N/A,FALSE,"전단";#N/A,#N/A,FALSE,"VMS";#N/A,#N/A,FALSE,"CRM";#N/A,#N/A,FALSE,"옥외광고물";#N/A,#N/A,FALSE,"소목차6";#N/A,#N/A,FALSE,"MH운영";#N/A,#N/A,FALSE,"분양조직운영";#N/A,#N/A,FALSE,"조직도";#N/A,#N/A,FALSE,"목차";#N/A,#N/A,FALSE,"소목차7";#N/A,#N/A,FALSE,"분양목표";#N/A,#N/A,FALSE,"분양대행수수료 ";#N/A,#N/A,FALSE,"지원요청";#N/A,#N/A,FALSE,"세부업무분장"}</definedName>
    <definedName name="퇴직보험예치금" hidden="1">#REF!</definedName>
    <definedName name="퇴충명세" hidden="1">{#N/A,#N/A,TRUE,"일반적사항";#N/A,#N/A,TRUE,"주요재무자료";#N/A,#N/A,TRUE,"표지";#N/A,#N/A,TRUE,"총괄표";#N/A,#N/A,TRUE,"1호 과표세액";#N/A,#N/A,TRUE,"2호 서식";#N/A,#N/A,TRUE,"2호부표 최저한세";#N/A,#N/A,TRUE,"3(1)호 공제감면";#N/A,#N/A,TRUE,"3(1) 부1 공제감면";#N/A,#N/A,TRUE,"3(1) 부3 세액조정";#N/A,#N/A,TRUE,"3(1) 부4 공제감면";#N/A,#N/A,TRUE,"3(1) 부6 추가납부";#N/A,#N/A,TRUE,"조8호 기술인력";#N/A,#N/A,TRUE,"3(1)부7 기업합리";#N/A,#N/A,TRUE,"3(2)호 가산세";#N/A,#N/A,TRUE,"3(2)호 가산세";#N/A,#N/A,TRUE,"3(3)호(갑) 원천납부";#N/A,#N/A,TRUE,"5호 농어촌";#N/A,#N/A,TRUE,"5호2 농감면(갑)";#N/A,#N/A,TRUE,"5호2 농감면(을)";#N/A,#N/A,TRUE,"6호 소득금액";#N/A,#N/A,TRUE,"6호 첨부(익)";#N/A,#N/A,TRUE,"6호 첨부(손)";#N/A,#N/A,TRUE,"6-1호 수입금액";#N/A,#N/A,TRUE,"6-2(4)호 해외시장";#N/A,#N/A,TRUE,"6-2(6)호 해외사업";#N/A,#N/A,TRUE,"6-2(7)호 해외투자";#N/A,#N/A,TRUE,"6-2(12)호 수출손실";#N/A,#N/A,TRUE,"6-3호 퇴충";#N/A,#N/A,TRUE,"6-3(3)호 단퇴";#N/A,#N/A,TRUE,"6-3(4)호 대손";#N/A,#N/A,TRUE,"6-4호 접대(갑)";#N/A,#N/A,TRUE,"6-4호 접대(을)";#N/A,#N/A,TRUE,"6-5호 외화(갑)";#N/A,#N/A,TRUE,"6-5호 외화(을)";#N/A,#N/A,TRUE,"6-6호(부표) 자본적지출";#N/A,#N/A,TRUE,"6-7호 가지급금(갑)";#N/A,#N/A,TRUE,"6-7호 가지급(을)";#N/A,#N/A,TRUE,"6-10호 재고자산";#N/A,#N/A,TRUE,"6-11호 세금과공과";#N/A,#N/A,TRUE,"6-12호 선급비용";#N/A,#N/A,TRUE,"6-13호 기부금";#N/A,#N/A,TRUE,"6-14호 부동산보유";#N/A,#N/A,TRUE,"8호 기부금조정";#N/A,#N/A,TRUE,"9호 자본금(갑)";#N/A,#N/A,TRUE,"9호 자본금(을)";#N/A,#N/A,TRUE,"10(2)호 소득공제";#N/A,#N/A,TRUE,"10(3)호 주요계정";#N/A,#N/A,TRUE,"10(3)호 부표";#N/A,#N/A,TRUE,"10(4)호 조정수입";#N/A,#N/A,TRUE,"10(4)호 소득구분";#N/A,#N/A,TRUE,"12호 중소검토";#N/A,#N/A,TRUE,"13호 비상장";#N/A,#N/A,TRUE,"14(1)호 갑 주식";#N/A,#N/A,TRUE,"59호 해외특수";#N/A,#N/A,TRUE,"60호 갑 적정유보";#N/A,#N/A,TRUE,"60호 을 적정유보";#N/A,#N/A,TRUE,"요약 BS";#N/A,#N/A,TRUE,"요약 PL";#N/A,#N/A,TRUE,"요약원가";#N/A,#N/A,TRUE,"요약RE"}</definedName>
    <definedName name="투자" hidden="1">{#N/A,#N/A,FALSE,"UNIT";#N/A,#N/A,FALSE,"UNIT";#N/A,#N/A,FALSE,"계정"}</definedName>
    <definedName name="투자2" hidden="1">{#N/A,#N/A,TRUE,"양식5";#N/A,#N/A,TRUE,"양식1_2_2";#N/A,#N/A,TRUE,"양식1_1_2";#N/A,#N/A,TRUE,"양식2";#N/A,#N/A,TRUE,"양식4";#N/A,#N/A,TRUE,"양식3";#N/A,#N/A,TRUE,"양식6";#N/A,#N/A,TRUE,"양식7";#N/A,#N/A,TRUE,"양식10";#N/A,#N/A,TRUE,"양식11";#N/A,#N/A,TRUE,"양식12";#N/A,#N/A,TRUE,"양식13_1_2";#N/A,#N/A,TRUE,"양식13_2_2";#N/A,#N/A,TRUE,"양식14"}</definedName>
    <definedName name="투자계획" hidden="1">{#N/A,#N/A,FALSE,"UNIT";#N/A,#N/A,FALSE,"UNIT";#N/A,#N/A,FALSE,"계정"}</definedName>
    <definedName name="투자계획1" hidden="1">{#N/A,#N/A,FALSE,"UNIT";#N/A,#N/A,FALSE,"UNIT";#N/A,#N/A,FALSE,"계정"}</definedName>
    <definedName name="투자계획2" hidden="1">{#N/A,#N/A,FALSE,"UNIT";#N/A,#N/A,FALSE,"UNIT";#N/A,#N/A,FALSE,"계정"}</definedName>
    <definedName name="투자사업개요서2" hidden="1">{#N/A,#N/A,FALSE,"자금소요예측기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투자자산"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투자현황" hidden="1">{#N/A,#N/A,FALSE,"UNIT";#N/A,#N/A,FALSE,"UNIT";#N/A,#N/A,FALSE,"계정"}</definedName>
    <definedName name="투지1" hidden="1">{#N/A,#N/A,TRUE,"양식5";#N/A,#N/A,TRUE,"양식1_2_2";#N/A,#N/A,TRUE,"양식1_1_2";#N/A,#N/A,TRUE,"양식2";#N/A,#N/A,TRUE,"양식4";#N/A,#N/A,TRUE,"양식3";#N/A,#N/A,TRUE,"양식6";#N/A,#N/A,TRUE,"양식7";#N/A,#N/A,TRUE,"양식10";#N/A,#N/A,TRUE,"양식11";#N/A,#N/A,TRUE,"양식12";#N/A,#N/A,TRUE,"양식13_1_2";#N/A,#N/A,TRUE,"양식13_2_2";#N/A,#N/A,TRUE,"양식14"}</definedName>
    <definedName name="튜" hidden="1">{#N/A,#N/A,FALSE,"Sheet1"}</definedName>
    <definedName name="특수관계자" hidden="1">{#N/A,#N/A,FALSE,"BS";#N/A,#N/A,FALSE,"PL";#N/A,#N/A,FALSE,"처분";#N/A,#N/A,FALSE,"현금";#N/A,#N/A,FALSE,"매출";#N/A,#N/A,FALSE,"원가";#N/A,#N/A,FALSE,"경영"}</definedName>
    <definedName name="팀별계획" hidden="1">{#N/A,#N/A,FALSE,"UNIT";#N/A,#N/A,FALSE,"UNIT";#N/A,#N/A,FALSE,"계정"}</definedName>
    <definedName name="ㅍ" hidden="1">{#N/A,#N/A,FALSE,"UNIT";#N/A,#N/A,FALSE,"UNIT";#N/A,#N/A,FALSE,"계정"}</definedName>
    <definedName name="ㅍㄹㄷㅁㅁ" hidden="1">#REF!</definedName>
    <definedName name="ㅍㅍ">#REF!</definedName>
    <definedName name="ㅍㅍㅍㅍ" hidden="1">{#N/A,#N/A,FALSE,"UNIT";#N/A,#N/A,FALSE,"UNIT";#N/A,#N/A,FALSE,"계정"}</definedName>
    <definedName name="ㅍㅍㅍㅍㅍㅍ" hidden="1">#REF!</definedName>
    <definedName name="파생" hidden="1">{#N/A,#N/A,FALSE,"Sheet1"}</definedName>
    <definedName name="판도라상자" hidden="1">{#N/A,#N/A,FALSE,"정공"}</definedName>
    <definedName name="판매보증" hidden="1">{#N/A,#N/A,FALSE,"인원";#N/A,#N/A,FALSE,"비용2";#N/A,#N/A,FALSE,"비용1";#N/A,#N/A,FALSE,"비용";#N/A,#N/A,FALSE,"보증2";#N/A,#N/A,FALSE,"보증1";#N/A,#N/A,FALSE,"보증";#N/A,#N/A,FALSE,"손익1";#N/A,#N/A,FALSE,"손익";#N/A,#N/A,FALSE,"부서별매출";#N/A,#N/A,FALSE,"매출"}</definedName>
    <definedName name="판본부" hidden="1">{#N/A,#N/A,FALSE,"군산원가";#N/A,#N/A,FALSE,"팀별월별";#N/A,#N/A,FALSE,"타공정대체";#N/A,#N/A,FALSE,"기타경비";#N/A,#N/A,FALSE,"원료";#N/A,#N/A,FALSE,"연료"}</definedName>
    <definedName name="판유리" hidden="1">{#N/A,#N/A,FALSE,"목차";#N/A,#N/A,FALSE,"경영목표";#N/A,#N/A,FALSE,"팀별손익";#N/A,#N/A,FALSE,"총손익";#N/A,#N/A,FALSE,"제품별손익 (2)";#N/A,#N/A,FALSE,"제품상품손익";#N/A,#N/A,FALSE,"년간판매";#N/A,#N/A,FALSE,"제품별판매";#N/A,#N/A,FALSE,"제품별판매 (2)";#N/A,#N/A,FALSE,"단가";#N/A,#N/A,FALSE,"재고";#N/A,#N/A,FALSE,"재고 (2)";#N/A,#N/A,FALSE,"인원운용";#N/A,#N/A,FALSE,"년판매비";#N/A,#N/A,FALSE,"총원가";#N/A,#N/A,FALSE,"팀별관리비";#N/A,#N/A,FALSE,"월별관리비";#N/A,#N/A,FALSE,"월별관리비 (2)";#N/A,#N/A,FALSE,"총괄";#N/A,#N/A,FALSE,"군산";#N/A,#N/A,FALSE,"부산";#N/A,#N/A,FALSE,"가좌"}</definedName>
    <definedName name="판촉지원적립금" hidden="1">{#N/A,#N/A,TRUE,"매출진척-1";#N/A,#N/A,TRUE,"매출진척-2";#N/A,#N/A,TRUE,"제품실적";#N/A,#N/A,TRUE,"RAC";#N/A,#N/A,TRUE,"PAC ";#N/A,#N/A,TRUE,"재고현황";#N/A,#N/A,TRUE,"공지사항"}</definedName>
    <definedName name="평균이자" hidden="1">#REF!</definedName>
    <definedName name="포" hidden="1">{#N/A,#N/A,FALSE,"UNIT";#N/A,#N/A,FALSE,"UNIT";#N/A,#N/A,FALSE,"계정"}</definedName>
    <definedName name="품" hidden="1">{#N/A,#N/A,TRUE,"Y생산";#N/A,#N/A,TRUE,"Y판매";#N/A,#N/A,TRUE,"Y총물량";#N/A,#N/A,TRUE,"Y능력";#N/A,#N/A,TRUE,"YKD"}</definedName>
    <definedName name="품목" hidden="1">{#N/A,#N/A,FALSE,"계약직(여)"}</definedName>
    <definedName name="품종별" hidden="1">{#N/A,#N/A,FALSE,"Yield";#N/A,#N/A,FALSE,"Loss1";#N/A,#N/A,FALSE,"Loss2";#N/A,#N/A,FALSE,"Hour-Labor(배분)";#N/A,#N/A,FALSE,"Capital Expenditure";#N/A,#N/A,FALSE,"Productivity"}</definedName>
    <definedName name="프름"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ㅎ" hidden="1">{#N/A,#N/A,FALSE,"을지 (4)";#N/A,#N/A,FALSE,"을지 (5)";#N/A,#N/A,FALSE,"을지 (6)"}</definedName>
    <definedName name="ㅎ러ㅗㅓㅏㅇ노" hidden="1">#REF!</definedName>
    <definedName name="ㅎ롤홀" hidden="1">{#N/A,#N/A,FALSE,"Aging Summary";#N/A,#N/A,FALSE,"Ratio Analysis";#N/A,#N/A,FALSE,"Test 120 Day Accts";#N/A,#N/A,FALSE,"Tickmarks"}</definedName>
    <definedName name="ㅎㄽ" hidden="1">{#N/A,#N/A,FALSE,"UNIT";#N/A,#N/A,FALSE,"UNIT";#N/A,#N/A,FALSE,"계정"}</definedName>
    <definedName name="ㅎㅀㅀ"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ㅎㅇㄴㅁㅎㅁㄶ" hidden="1">#REF!</definedName>
    <definedName name="ㅎㅎ" hidden="1">{#N/A,#N/A,TRUE,"Summary";#N/A,#N/A,TRUE,"IS";#N/A,#N/A,TRUE,"Adj";#N/A,#N/A,TRUE,"BS";#N/A,#N/A,TRUE,"CF";#N/A,#N/A,TRUE,"Debt";#N/A,#N/A,TRUE,"IRR"}</definedName>
    <definedName name="ㅎㅎ2" hidden="1">{#N/A,#N/A,TRUE,"Summary";#N/A,#N/A,TRUE,"IS";#N/A,#N/A,TRUE,"Adj";#N/A,#N/A,TRUE,"BS";#N/A,#N/A,TRUE,"CF";#N/A,#N/A,TRUE,"Debt";#N/A,#N/A,TRUE,"IRR"}</definedName>
    <definedName name="ㅎㅎㅎ" hidden="1">{#N/A,#N/A,TRUE,"양식5";#N/A,#N/A,TRUE,"양식1_2_2";#N/A,#N/A,TRUE,"양식1_1_2";#N/A,#N/A,TRUE,"양식2";#N/A,#N/A,TRUE,"양식4";#N/A,#N/A,TRUE,"양식3";#N/A,#N/A,TRUE,"양식6";#N/A,#N/A,TRUE,"양식7";#N/A,#N/A,TRUE,"양식10";#N/A,#N/A,TRUE,"양식11";#N/A,#N/A,TRUE,"양식12";#N/A,#N/A,TRUE,"양식13_1_2";#N/A,#N/A,TRUE,"양식13_2_2";#N/A,#N/A,TRUE,"양식14"}</definedName>
    <definedName name="하하" hidden="1">{#N/A,#N/A,FALSE,"BS";#N/A,#N/A,FALSE,"PL";#N/A,#N/A,FALSE,"처분";#N/A,#N/A,FALSE,"현금";#N/A,#N/A,FALSE,"매출";#N/A,#N/A,FALSE,"원가";#N/A,#N/A,FALSE,"경영"}</definedName>
    <definedName name="한국8" hidden="1">#REF!</definedName>
    <definedName name="한국9" hidden="1">#REF!</definedName>
    <definedName name="한글" hidden="1">#REF!</definedName>
    <definedName name="한미" hidden="1">#REF!</definedName>
    <definedName name="한총2" hidden="1">{#N/A,#N/A,FALSE,"을지 (4)";#N/A,#N/A,FALSE,"을지 (5)";#N/A,#N/A,FALSE,"을지 (6)"}</definedName>
    <definedName name="한화부평" hidden="1">{"YTD/Forecast",#N/A,TRUE,"Fcst_TPLN";"Monthly Averages",#N/A,TRUE,"Fcst_TPLN"}</definedName>
    <definedName name="항공수요" hidden="1">{#N/A,#N/A,FALSE,"손익표지";#N/A,#N/A,FALSE,"손익계산";#N/A,#N/A,FALSE,"일반관리비";#N/A,#N/A,FALSE,"영업외수익";#N/A,#N/A,FALSE,"영업외비용";#N/A,#N/A,FALSE,"매출액";#N/A,#N/A,FALSE,"요약손익";#N/A,#N/A,FALSE,"요약대차";#N/A,#N/A,FALSE,"매출채권현황";#N/A,#N/A,FALSE,"매출채권명세"}</definedName>
    <definedName name="해외업무출장" hidden="1">{#N/A,#N/A,FALSE,"교재수정"}</definedName>
    <definedName name="해외출장3" hidden="1">{#N/A,#N/A,FALSE,"교재수정"}</definedName>
    <definedName name="해외출장4" hidden="1">{#N/A,#N/A,FALSE,"교재수정"}</definedName>
    <definedName name="햐주">#REF!</definedName>
    <definedName name="향주">#REF!</definedName>
    <definedName name="현">#REF!</definedName>
    <definedName name="현금"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현금23" hidden="1">{#N/A,#N/A,FALSE,"BS";#N/A,#N/A,FALSE,"PL";#N/A,#N/A,FALSE,"처분";#N/A,#N/A,FALSE,"현금";#N/A,#N/A,FALSE,"매출";#N/A,#N/A,FALSE,"원가";#N/A,#N/A,FALSE,"경영"}</definedName>
    <definedName name="현금등가물" hidden="1">{#N/A,#N/A,FALSE,"Aging Summary";#N/A,#N/A,FALSE,"Ratio Analysis";#N/A,#N/A,FALSE,"Test 120 Day Accts";#N/A,#N/A,FALSE,"Tickmarks"}</definedName>
    <definedName name="현금등가물및단기" hidden="1">{#N/A,#N/A,FALSE,"Aging Summary";#N/A,#N/A,FALSE,"Ratio Analysis";#N/A,#N/A,FALSE,"Test 120 Day Accts";#N/A,#N/A,FALSE,"Tickmarks"}</definedName>
    <definedName name="현금정산료"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현금표" hidden="1">{#N/A,#N/A,FALSE,"수입금 명세서 1";#N/A,#N/A,FALSE,"현장별공사손익현황 2";#N/A,#N/A,FALSE,"수입명세서 3-5";#N/A,#N/A,FALSE,"영업외수익명세서 6-10";#N/A,#N/A,FALSE,"특별이익명세서 11";#N/A,#N/A,FALSE,"고정자산처분명세서 12-13";#N/A,#N/A,FALSE,"공사원가명세서 14";#N/A,#N/A,FALSE,"영업외비용명세서 15-17";#N/A,#N/A,FALSE,"특별손실명세서 18";#N/A,#N/A,FALSE,"채권명세서 19";#N/A,#N/A,FALSE,"관계회사자산명세서 20";#N/A,#N/A,FALSE,"21, 23-24";#N/A,#N/A,FALSE,"감가상각비등명세서 22";#N/A,#N/A,FALSE,"사채명세서 25";#N/A,#N/A,FALSE,"충당금명세서 26"}</definedName>
    <definedName name="현금프름표" hidden="1">{#N/A,#N/A,FALSE,"선급공사비명세서 1-2";#N/A,#N/A,FALSE,"건설가계정명세서 3";#N/A,#N/A,FALSE,"자본금명세서 4-5";#N/A,#N/A,FALSE,"용역원가명세서 6-7";#N/A,#N/A,FALSE,"상풍매출원가명세서 8";#N/A,#N/A,FALSE,"판매비와일반관리명세서 9-10";#N/A,#N/A,FALSE,"결손처리계산서(안) 11"}</definedName>
    <definedName name="현금흐름" hidden="1">{#N/A,#N/A,FALSE,"Aging Summary";#N/A,#N/A,FALSE,"Ratio Analysis";#N/A,#N/A,FALSE,"Test 120 Day Accts";#N/A,#N/A,FALSE,"Tickmarks"}</definedName>
    <definedName name="현금흐름1" hidden="1">#REF!</definedName>
    <definedName name="현대" hidden="1">{#N/A,#N/A,FALSE,"정공"}</definedName>
    <definedName name="현작성조서" hidden="1">{#N/A,#N/A,FALSE,"BS";#N/A,#N/A,FALSE,"PL";#N/A,#N/A,FALSE,"처분";#N/A,#N/A,FALSE,"현금";#N/A,#N/A,FALSE,"매출";#N/A,#N/A,FALSE,"원가";#N/A,#N/A,FALSE,"경영"}</definedName>
    <definedName name="호" hidden="1">{#N/A,#N/A,FALSE,"UNIT";#N/A,#N/A,FALSE,"UNIT";#N/A,#N/A,FALSE,"계정"}</definedName>
    <definedName name="호ㅓ" hidden="1">{#N/A,#N/A,FALSE,"교재수정"}</definedName>
    <definedName name="홈마트" hidden="1">{"YTD/Forecast",#N/A,TRUE,"Fcst_TPLN";"Monthly Averages",#N/A,TRUE,"Fcst_TPLN"}</definedName>
    <definedName name="화폐단위">#REF!</definedName>
    <definedName name="화폐단위2" comment="백만단위">1000000</definedName>
    <definedName name="화폐단위3" comment="천단위">1000</definedName>
    <definedName name="확" hidden="1">{#N/A,#N/A,FALSE,"BS";#N/A,#N/A,FALSE,"PL";#N/A,#N/A,FALSE,"처분";#N/A,#N/A,FALSE,"현금";#N/A,#N/A,FALSE,"매출";#N/A,#N/A,FALSE,"원가";#N/A,#N/A,FALSE,"경영"}</definedName>
    <definedName name="확대3" hidden="1">{#N/A,#N/A,FALSE,"UNIT";#N/A,#N/A,FALSE,"UNIT";#N/A,#N/A,FALSE,"계정"}</definedName>
    <definedName name="환경" hidden="1">{#N/A,#N/A,FALSE,"UNIT";#N/A,#N/A,FALSE,"UNIT";#N/A,#N/A,FALSE,"계정"}</definedName>
    <definedName name="황" hidden="1">{"'분양원가'!$B$1:$F$113"}</definedName>
    <definedName name="회계기간" comment="회계기간">#REF!</definedName>
    <definedName name="회계팀_수정분" hidden="1">#REF!</definedName>
    <definedName name="회사제시" hidden="1">#REF!</definedName>
    <definedName name="효율2" hidden="1">{#N/A,#N/A,FALSE,"인원";#N/A,#N/A,FALSE,"비용2";#N/A,#N/A,FALSE,"비용1";#N/A,#N/A,FALSE,"비용";#N/A,#N/A,FALSE,"보증2";#N/A,#N/A,FALSE,"보증1";#N/A,#N/A,FALSE,"보증";#N/A,#N/A,FALSE,"손익1";#N/A,#N/A,FALSE,"손익";#N/A,#N/A,FALSE,"부서별매출";#N/A,#N/A,FALSE,"매출"}</definedName>
    <definedName name="훈" hidden="1">255</definedName>
    <definedName name="흐름" hidden="1">{#N/A,#N/A,FALSE,"BS";#N/A,#N/A,FALSE,"PL";#N/A,#N/A,FALSE,"처분";#N/A,#N/A,FALSE,"현금";#N/A,#N/A,FALSE,"매출";#N/A,#N/A,FALSE,"원가";#N/A,#N/A,FALSE,"경영"}</definedName>
    <definedName name="ㅏ" hidden="1">{#N/A,#N/A,FALSE,"을지 (4)";#N/A,#N/A,FALSE,"을지 (5)";#N/A,#N/A,FALSE,"을지 (6)"}</definedName>
    <definedName name="ㅏㅏ" hidden="1">{#N/A,#N/A,FALSE,"Aging Summary";#N/A,#N/A,FALSE,"Ratio Analysis";#N/A,#N/A,FALSE,"Test 120 Day Accts";#N/A,#N/A,FALSE,"Tickmarks"}</definedName>
    <definedName name="ㅏㅏㅏ"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ㅏㅏㅏㅏ" hidden="1">{#N/A,#N/A,FALSE,"Aging Summary";#N/A,#N/A,FALSE,"Ratio Analysis";#N/A,#N/A,FALSE,"Test 120 Day Accts";#N/A,#N/A,FALSE,"Tickmarks"}</definedName>
    <definedName name="ㅏㅐㅏㅔㅐㅣ" hidden="1">{#N/A,#N/A,FALSE,"UNIT";#N/A,#N/A,FALSE,"UNIT";#N/A,#N/A,FALSE,"계정"}</definedName>
    <definedName name="ㅐㅏ"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ㅐㅐ" hidden="1">{#N/A,#N/A,FALSE,"을지 (4)";#N/A,#N/A,FALSE,"을지 (5)";#N/A,#N/A,FALSE,"을지 (6)"}</definedName>
    <definedName name="ㅐㅐㅐ" hidden="1">{#N/A,#N/A,TRUE,"일정"}</definedName>
    <definedName name="ㅐㅐㅐㅐ" hidden="1">{#N/A,#N/A,TRUE,"양식5";#N/A,#N/A,TRUE,"양식1_2_2";#N/A,#N/A,TRUE,"양식1_1_2";#N/A,#N/A,TRUE,"양식2";#N/A,#N/A,TRUE,"양식4";#N/A,#N/A,TRUE,"양식3";#N/A,#N/A,TRUE,"양식6";#N/A,#N/A,TRUE,"양식7";#N/A,#N/A,TRUE,"양식10";#N/A,#N/A,TRUE,"양식11";#N/A,#N/A,TRUE,"양식12";#N/A,#N/A,TRUE,"양식13_1_2";#N/A,#N/A,TRUE,"양식13_2_2";#N/A,#N/A,TRUE,"양식14"}</definedName>
    <definedName name="ㅑ" hidden="1">{#N/A,#N/A,FALSE,"Aging Summary";#N/A,#N/A,FALSE,"Ratio Analysis";#N/A,#N/A,FALSE,"Test 120 Day Accts";#N/A,#N/A,FALSE,"Tickmarks"}</definedName>
    <definedName name="ㅑ7">감가상각집계표!$I$17</definedName>
    <definedName name="ㅑㅑㅑ" hidden="1">{#N/A,#N/A,FALSE,"초도품";#N/A,#N/A,FALSE,"초도품 (2)";#N/A,#N/A,FALSE,"초도품 (3)";#N/A,#N/A,FALSE,"초도품 (4)";#N/A,#N/A,FALSE,"초도품 (5)";#N/A,#N/A,FALSE,"초도품 (6)"}</definedName>
    <definedName name="ㅓ" hidden="1">{#N/A,#N/A,FALSE,"BS";#N/A,#N/A,FALSE,"PL";#N/A,#N/A,FALSE,"처분";#N/A,#N/A,FALSE,"현금";#N/A,#N/A,FALSE,"매출";#N/A,#N/A,FALSE,"원가";#N/A,#N/A,FALSE,"경영"}</definedName>
    <definedName name="ㅓ라ㅣㅁ" hidden="1">{"'Sheet1'!$A$1:$H$36"}</definedName>
    <definedName name="ㅓㅎ" hidden="1">{#N/A,#N/A,FALSE,"Sheet1"}</definedName>
    <definedName name="ㅓㅏ리앙" hidden="1">{#N/A,#N/A,FALSE,"UNIT";#N/A,#N/A,FALSE,"UNIT";#N/A,#N/A,FALSE,"계정"}</definedName>
    <definedName name="ㅓㅏㅓㄹ마" hidden="1">{#N/A,#N/A,FALSE,"PHOTO5";#N/A,#N/A,FALSE,"ETCH5";#N/A,#N/A,FALSE,"DIFF5";#N/A,#N/A,FALSE,"CVD5";#N/A,#N/A,FALSE,"I5";#N/A,#N/A,FALSE,"METAL5";#N/A,#N/A,FALSE,"PHOTO6";#N/A,#N/A,FALSE,"ETCH6";#N/A,#N/A,FALSE,"DIFF6";#N/A,#N/A,FALSE,"CVD6";#N/A,#N/A,FALSE,"I6";#N/A,#N/A,FALSE,"METAL6"}</definedName>
    <definedName name="ㅓㅏㅓㅣ" hidden="1">{#N/A,#N/A,FALSE,"교재수정"}</definedName>
    <definedName name="ㅓㅗ" hidden="1">#REF!</definedName>
    <definedName name="ㅓㅗㅓㅗㅓㅗ" hidden="1">#REF!</definedName>
    <definedName name="ㅔㅔ" hidden="1">{#N/A,#N/A,FALSE,"초도품";#N/A,#N/A,FALSE,"초도품 (2)";#N/A,#N/A,FALSE,"초도품 (3)";#N/A,#N/A,FALSE,"초도품 (4)";#N/A,#N/A,FALSE,"초도품 (5)";#N/A,#N/A,FALSE,"초도품 (6)"}</definedName>
    <definedName name="ㅕ" hidden="1">{#N/A,#N/A,FALSE,"BS";#N/A,#N/A,FALSE,"PL";#N/A,#N/A,FALSE,"처분";#N/A,#N/A,FALSE,"현금";#N/A,#N/A,FALSE,"매출";#N/A,#N/A,FALSE,"원가";#N/A,#N/A,FALSE,"경영"}</definedName>
    <definedName name="ㅕㅕㅕ" hidden="1">{#N/A,#N/A,FALSE,"을지 (4)";#N/A,#N/A,FALSE,"을지 (5)";#N/A,#N/A,FALSE,"을지 (6)"}</definedName>
    <definedName name="ㅕㅛ" hidden="1">{#N/A,#N/A,FALSE,"Sheet1"}</definedName>
    <definedName name="ㅗ" hidden="1">{#N/A,#N/A,FALSE,"BS";#N/A,#N/A,FALSE,"PL";#N/A,#N/A,FALSE,"처분";#N/A,#N/A,FALSE,"현금";#N/A,#N/A,FALSE,"매출";#N/A,#N/A,FALSE,"원가";#N/A,#N/A,FALSE,"경영"}</definedName>
    <definedName name="ㅗㄱㄴㅇㅁ" hidden="1">{#N/A,#N/A,TRUE,"일정"}</definedName>
    <definedName name="ㅗㄹ호"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ㅗㅎ" hidden="1">{#N/A,#N/A,FALSE,"Sheet1"}</definedName>
    <definedName name="ㅗ허" hidden="1">{#N/A,#N/A,FALSE,"98소지이동TOTvs99.1 (2)";#N/A,#N/A,FALSE,"TOTAL";#N/A,#N/A,FALSE,"98소지이동TOTvs99.1(b) (2)"}</definedName>
    <definedName name="ㅗㅓ" hidden="1">{#N/A,#N/A,FALSE,"BS";#N/A,#N/A,FALSE,"PL";#N/A,#N/A,FALSE,"처분";#N/A,#N/A,FALSE,"현금";#N/A,#N/A,FALSE,"매출";#N/A,#N/A,FALSE,"원가";#N/A,#N/A,FALSE,"경영"}</definedName>
    <definedName name="ㅗㅓ허호"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ㅗㅗ" hidden="1">{#N/A,#N/A,FALSE,"초도품";#N/A,#N/A,FALSE,"초도품 (2)";#N/A,#N/A,FALSE,"초도품 (3)";#N/A,#N/A,FALSE,"초도품 (4)";#N/A,#N/A,FALSE,"초도품 (5)";#N/A,#N/A,FALSE,"초도품 (6)"}</definedName>
    <definedName name="ㅗㅗㅗㅗㅗㅗㅗㅗㅗㅗ" hidden="1">{#N/A,#N/A,TRUE,"일정"}</definedName>
    <definedName name="ㅗㅠㅏㅓ" hidden="1">{#N/A,#N/A,FALSE,"교재수정"}</definedName>
    <definedName name="ㅘㅣㅓㅣㅏ" hidden="1">{#N/A,#N/A,FALSE,"교재수정"}</definedName>
    <definedName name="ㅛ" hidden="1">{#N/A,#N/A,FALSE,"BS";#N/A,#N/A,FALSE,"PL";#N/A,#N/A,FALSE,"처분";#N/A,#N/A,FALSE,"현금";#N/A,#N/A,FALSE,"매출";#N/A,#N/A,FALSE,"원가";#N/A,#N/A,FALSE,"경영"}</definedName>
    <definedName name="ㅛㄱ됴ㄱㄷ죠ㅅㄱ됴ㅅㄱㄷ죡ㄷ죠" hidden="1">{#N/A,#N/A,TRUE,"일정"}</definedName>
    <definedName name="ㅛㅕㅑ" hidden="1">{#N/A,#N/A,FALSE,"BS";#N/A,#N/A,FALSE,"PL";#N/A,#N/A,FALSE,"A";#N/A,#N/A,FALSE,"B";#N/A,#N/A,FALSE,"B1";#N/A,#N/A,FALSE,"C";#N/A,#N/A,FALSE,"C1";#N/A,#N/A,FALSE,"C2";#N/A,#N/A,FALSE,"D";#N/A,#N/A,FALSE,"E";#N/A,#N/A,FALSE,"F";#N/A,#N/A,FALSE,"AA";#N/A,#N/A,FALSE,"BB";#N/A,#N/A,FALSE,"CC";#N/A,#N/A,FALSE,"DD";#N/A,#N/A,FALSE,"EE";#N/A,#N/A,FALSE,"FF";#N/A,#N/A,FALSE,"PL10";#N/A,#N/A,FALSE,"PL20";#N/A,#N/A,FALSE,"PL30"}</definedName>
    <definedName name="ㅛㅛㅛ" hidden="1">{#N/A,#N/A,FALSE,"초도품";#N/A,#N/A,FALSE,"초도품 (2)";#N/A,#N/A,FALSE,"초도품 (3)";#N/A,#N/A,FALSE,"초도품 (4)";#N/A,#N/A,FALSE,"초도품 (5)";#N/A,#N/A,FALSE,"초도품 (6)"}</definedName>
    <definedName name="ㅜ" hidden="1">{#N/A,#N/A,TRUE,"1호 과표세액";#N/A,#N/A,TRUE,"1-2호 농어촌과표";#N/A,#N/A,TRUE,"2호 서식";#N/A,#N/A,TRUE,"2호부표 최저한세";#N/A,#N/A,TRUE,"3(1)호 공제감면";#N/A,#N/A,TRUE,"임시특별감면";#N/A,#N/A,TRUE,"3(1)부7 기업합리";#N/A,#N/A,TRUE,"5호 농어촌";#N/A,#N/A,TRUE,"5호2 농감면(갑)";#N/A,#N/A,TRUE,"6호 소득금액";#N/A,#N/A,TRUE,"6호 첨부(익)";#N/A,#N/A,TRUE,"6호 첨부(손)";#N/A,#N/A,TRUE,"감가총괄";#N/A,#N/A,TRUE,"6-6(3)호 감가(정액)";#N/A,#N/A,TRUE,"9호 자본금(갑)";#N/A,#N/A,TRUE,"9호 자본금(을)";#N/A,#N/A,TRUE,"10(3)호 주요계정";#N/A,#N/A,TRUE,"10(4)호 소득구분"}</definedName>
    <definedName name="ㅜㅗㅛ" hidden="1">{#N/A,#N/A,FALSE,"Sheet1"}</definedName>
    <definedName name="ㅜㅛㅅㄱ누ㅛㅅㄱ누ㅛㅅㄴ구ㅛㅅㄱㄴ" hidden="1">{#N/A,#N/A,TRUE,"일정"}</definedName>
    <definedName name="ㅜㅜㅜㅜㅜㅜㅜㅜㅜ" hidden="1">{#N/A,#N/A,FALSE,"Sheet1"}</definedName>
    <definedName name="ㅠ" hidden="1">{#N/A,#N/A,FALSE,"UNIT";#N/A,#N/A,FALSE,"UNIT";#N/A,#N/A,FALSE,"계정"}</definedName>
    <definedName name="ㅡ" hidden="1">{#N/A,#N/A,FALSE,"관섬";#N/A,#N/A,FALSE,"목차";#N/A,#N/A,FALSE,"실행목표";#N/A,#N/A,FALSE,"팀별손익";#N/A,#N/A,FALSE,"월별손익";#N/A,#N/A,FALSE,"제품별손익";#N/A,#N/A,FALSE,"년간판매";#N/A,#N/A,FALSE,"관매출";#N/A,#N/A,FALSE,"관섬 단가";#N/A,#N/A,FALSE,"인원운용";#N/A,#N/A,FALSE,"판매비";#N/A,#N/A,FALSE,"팀별관리비";#N/A,#N/A,FALSE,"월별관리비";#N/A,#N/A,FALSE,"월별손익 (2)";#N/A,#N/A,FALSE,"재고 (2)";#N/A,#N/A,FALSE,"판매비 (2)";#N/A,#N/A,FALSE,"월별관리비 (2)";#N/A,#N/A,FALSE,"월별손익 (3)";#N/A,#N/A,FALSE,"관섬 매출";#N/A,#N/A,FALSE,"재고수불";#N/A,#N/A,FALSE,"판매비 (3)";#N/A,#N/A,FALSE,"월별관리비 (3)";#N/A,#N/A,FALSE,"인천원가";#N/A,#N/A,FALSE,"총원가";#N/A,#N/A,FALSE,"제조원가";#N/A,#N/A,FALSE,"기타비용";#N/A,#N/A,FALSE,"원료";#N/A,#N/A,FALSE,"연료";#N/A,#N/A,FALSE,"인천"}</definedName>
    <definedName name="ㅣ" hidden="1">{#N/A,#N/A,FALSE,"Sheet1"}</definedName>
    <definedName name="ㅣㅏ" hidden="1">{#N/A,#N/A,FALSE,"Sheet1"}</definedName>
    <definedName name="ㅣㅡ" hidden="1">{#N/A,#N/A,FALSE,"BS";#N/A,#N/A,FALSE,"PL";#N/A,#N/A,FALSE,"A";#N/A,#N/A,FALSE,"B";#N/A,#N/A,FALSE,"B1";#N/A,#N/A,FALSE,"C";#N/A,#N/A,FALSE,"C1";#N/A,#N/A,FALSE,"C2";#N/A,#N/A,FALSE,"D";#N/A,#N/A,FALSE,"E";#N/A,#N/A,FALSE,"F";#N/A,#N/A,FALSE,"AA";#N/A,#N/A,FALSE,"BB";#N/A,#N/A,FALSE,"CC";#N/A,#N/A,FALSE,"DD";#N/A,#N/A,FALSE,"EE";#N/A,#N/A,FALSE,"FF";#N/A,#N/A,FALSE,"PL10";#N/A,#N/A,FALSE,"PL20";#N/A,#N/A,FALSE,"PL30"}</definedName>
    <definedName name="ㅣㅣ" hidden="1">{#N/A,#N/A,FALSE,"을지 (4)";#N/A,#N/A,FALSE,"을지 (5)";#N/A,#N/A,FALSE,"을지 (6)"}</definedName>
    <definedName name="ㅣㅣㅣ" hidden="1">{#N/A,#N/A,FALSE,"교재수정"}</definedName>
    <definedName name="ㅣㅣㅣㅣ" hidden="1">{#N/A,#N/A,FALSE,"BS";#N/A,#N/A,FALSE,"PL";#N/A,#N/A,FALSE,"처분";#N/A,#N/A,FALSE,"현금";#N/A,#N/A,FALSE,"매출";#N/A,#N/A,FALSE,"원가";#N/A,#N/A,FALSE,"경영"}</definedName>
    <definedName name="ㅣㅣㅣㅣㅣㅣㅣㅣㅣㅣㅣ" hidden="1">{#N/A,#N/A,FALSE,"Sheet1"}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8" i="147" l="1"/>
  <c r="F31" i="144" l="1"/>
  <c r="I73" i="150" l="1"/>
  <c r="H73" i="150"/>
  <c r="G73" i="150"/>
  <c r="F73" i="150"/>
  <c r="E73" i="150"/>
  <c r="D73" i="150"/>
  <c r="I18" i="153" l="1"/>
  <c r="T20" i="144" l="1"/>
  <c r="S20" i="144"/>
  <c r="G69" i="150" l="1"/>
  <c r="F69" i="150"/>
  <c r="H69" i="150"/>
  <c r="G197" i="146" l="1"/>
  <c r="G184" i="146"/>
  <c r="F171" i="146"/>
  <c r="F159" i="146"/>
  <c r="E147" i="146"/>
  <c r="E135" i="146"/>
  <c r="D122" i="146"/>
  <c r="L121" i="146"/>
  <c r="L122" i="146" s="1"/>
  <c r="D92" i="146"/>
  <c r="D109" i="146"/>
  <c r="M110" i="146"/>
  <c r="M111" i="146" s="1"/>
  <c r="M92" i="146"/>
  <c r="M93" i="146" s="1"/>
  <c r="D76" i="146" l="1"/>
  <c r="M75" i="146"/>
  <c r="M76" i="146" s="1"/>
  <c r="C65" i="146"/>
  <c r="D42" i="146"/>
  <c r="P41" i="146"/>
  <c r="P42" i="146" s="1"/>
  <c r="D60" i="146"/>
  <c r="Q91" i="146"/>
  <c r="P91" i="146"/>
  <c r="O91" i="146"/>
  <c r="N91" i="146"/>
  <c r="M91" i="146"/>
  <c r="H247" i="147" l="1"/>
  <c r="H229" i="147"/>
  <c r="G212" i="147"/>
  <c r="F175" i="147"/>
  <c r="F156" i="147"/>
  <c r="E139" i="147"/>
  <c r="E122" i="147" l="1"/>
  <c r="E112" i="147"/>
  <c r="E103" i="147"/>
  <c r="F11" i="115" l="1"/>
  <c r="E11" i="115"/>
  <c r="E52" i="115"/>
  <c r="F16" i="115"/>
  <c r="E16" i="115"/>
  <c r="F42" i="115"/>
  <c r="F41" i="115"/>
  <c r="F40" i="115"/>
  <c r="F39" i="115"/>
  <c r="F38" i="115"/>
  <c r="F52" i="115"/>
  <c r="F50" i="115"/>
  <c r="F51" i="115"/>
  <c r="F49" i="115"/>
  <c r="F48" i="115"/>
  <c r="F47" i="115"/>
  <c r="F46" i="115"/>
  <c r="E46" i="115"/>
  <c r="F33" i="115"/>
  <c r="E33" i="115"/>
  <c r="I7" i="159"/>
  <c r="D30" i="159" l="1"/>
  <c r="E30" i="159"/>
  <c r="C30" i="159"/>
  <c r="L30" i="159"/>
  <c r="J30" i="159"/>
  <c r="I30" i="159"/>
  <c r="H30" i="159"/>
  <c r="G30" i="159"/>
  <c r="F30" i="159"/>
  <c r="K30" i="159" l="1"/>
  <c r="I6" i="159" l="1"/>
  <c r="E31" i="115" s="1"/>
  <c r="E14" i="115" s="1"/>
  <c r="I5" i="159"/>
  <c r="E30" i="115" s="1"/>
  <c r="E13" i="115" s="1"/>
  <c r="M16" i="159"/>
  <c r="C18" i="159"/>
  <c r="I4" i="159"/>
  <c r="E32" i="115" s="1"/>
  <c r="E15" i="115" s="1"/>
  <c r="D18" i="159" l="1"/>
  <c r="E12" i="115"/>
  <c r="E17" i="115" s="1"/>
  <c r="E18" i="159"/>
  <c r="L18" i="159"/>
  <c r="H18" i="159"/>
  <c r="J18" i="159"/>
  <c r="G18" i="159"/>
  <c r="I18" i="159"/>
  <c r="M17" i="159"/>
  <c r="K15" i="159"/>
  <c r="M15" i="159"/>
  <c r="K17" i="159"/>
  <c r="F18" i="159"/>
  <c r="K16" i="159"/>
  <c r="M18" i="159" l="1"/>
  <c r="K18" i="159"/>
  <c r="E34" i="115" l="1"/>
  <c r="D34" i="115"/>
  <c r="D8" i="1"/>
  <c r="D7" i="1"/>
  <c r="D9" i="1" l="1"/>
  <c r="D10" i="1" s="1"/>
  <c r="E20" i="110" l="1"/>
  <c r="E13" i="110" s="1"/>
  <c r="K37" i="157"/>
  <c r="E19" i="110"/>
  <c r="E12" i="110" s="1"/>
  <c r="E18" i="110"/>
  <c r="E11" i="110" s="1"/>
  <c r="E17" i="110"/>
  <c r="K8" i="110"/>
  <c r="J8" i="110"/>
  <c r="I8" i="110"/>
  <c r="H8" i="110"/>
  <c r="G8" i="110"/>
  <c r="F8" i="110"/>
  <c r="E8" i="110"/>
  <c r="D8" i="110"/>
  <c r="H85" i="150"/>
  <c r="I85" i="150" s="1"/>
  <c r="G85" i="150"/>
  <c r="F85" i="150"/>
  <c r="I83" i="150"/>
  <c r="H83" i="150"/>
  <c r="G83" i="150"/>
  <c r="F83" i="150"/>
  <c r="E83" i="150"/>
  <c r="I82" i="150"/>
  <c r="H82" i="150"/>
  <c r="G82" i="150"/>
  <c r="F82" i="150"/>
  <c r="E82" i="150"/>
  <c r="I81" i="150"/>
  <c r="H81" i="150"/>
  <c r="G81" i="150"/>
  <c r="F81" i="150"/>
  <c r="E81" i="150"/>
  <c r="F74" i="150"/>
  <c r="E74" i="150"/>
  <c r="G45" i="150"/>
  <c r="H20" i="150"/>
  <c r="H19" i="150"/>
  <c r="H18" i="150"/>
  <c r="J20" i="150"/>
  <c r="J19" i="150"/>
  <c r="J18" i="150"/>
  <c r="H38" i="150"/>
  <c r="H37" i="150"/>
  <c r="H36" i="150"/>
  <c r="D38" i="150"/>
  <c r="D37" i="150"/>
  <c r="D36" i="150"/>
  <c r="J30" i="150"/>
  <c r="J28" i="150" s="1"/>
  <c r="H30" i="150"/>
  <c r="I30" i="150" s="1"/>
  <c r="G30" i="150"/>
  <c r="F30" i="150"/>
  <c r="E30" i="150"/>
  <c r="D30" i="150"/>
  <c r="D15" i="1" l="1"/>
  <c r="D14" i="1"/>
  <c r="D13" i="1"/>
  <c r="E16" i="110"/>
  <c r="E10" i="110"/>
  <c r="K30" i="150"/>
  <c r="I28" i="150"/>
  <c r="I32" i="150" s="1"/>
  <c r="J34" i="150"/>
  <c r="J33" i="150"/>
  <c r="J32" i="150"/>
  <c r="I34" i="150"/>
  <c r="I33" i="150"/>
  <c r="E9" i="110" l="1"/>
  <c r="D12" i="1"/>
  <c r="D11" i="1" s="1"/>
  <c r="D16" i="1" s="1"/>
  <c r="L30" i="150"/>
  <c r="K28" i="150"/>
  <c r="K34" i="150" l="1"/>
  <c r="K32" i="150"/>
  <c r="K33" i="150"/>
  <c r="M30" i="150"/>
  <c r="L28" i="150"/>
  <c r="N30" i="150" l="1"/>
  <c r="M28" i="150"/>
  <c r="L33" i="150"/>
  <c r="L32" i="150"/>
  <c r="L34" i="150"/>
  <c r="M34" i="150" l="1"/>
  <c r="M33" i="150"/>
  <c r="M32" i="150"/>
  <c r="O30" i="150"/>
  <c r="N28" i="150"/>
  <c r="N34" i="150" l="1"/>
  <c r="N32" i="150"/>
  <c r="N33" i="150"/>
  <c r="P30" i="150"/>
  <c r="P28" i="150" s="1"/>
  <c r="O28" i="150"/>
  <c r="O32" i="150" l="1"/>
  <c r="O33" i="150"/>
  <c r="O34" i="150"/>
  <c r="Q28" i="150"/>
  <c r="P34" i="150"/>
  <c r="Q34" i="150" s="1"/>
  <c r="K20" i="150" s="1"/>
  <c r="P32" i="150"/>
  <c r="P33" i="150"/>
  <c r="Q33" i="150" s="1"/>
  <c r="K19" i="150" s="1"/>
  <c r="Q32" i="150" l="1"/>
  <c r="K18" i="150" s="1"/>
  <c r="H239" i="147" l="1"/>
  <c r="H249" i="147"/>
  <c r="H238" i="147" s="1"/>
  <c r="H243" i="147"/>
  <c r="G243" i="147"/>
  <c r="G245" i="147" s="1"/>
  <c r="F249" i="147"/>
  <c r="E249" i="147"/>
  <c r="G247" i="147"/>
  <c r="G249" i="147" s="1"/>
  <c r="E245" i="147"/>
  <c r="I244" i="147"/>
  <c r="H244" i="147"/>
  <c r="G244" i="147"/>
  <c r="F244" i="147"/>
  <c r="F245" i="147" s="1"/>
  <c r="E244" i="147"/>
  <c r="D244" i="147"/>
  <c r="D245" i="147" s="1"/>
  <c r="H221" i="147"/>
  <c r="G229" i="147"/>
  <c r="G231" i="147" s="1"/>
  <c r="H225" i="147"/>
  <c r="G225" i="147"/>
  <c r="F231" i="147"/>
  <c r="E231" i="147"/>
  <c r="H231" i="147"/>
  <c r="H220" i="147" s="1"/>
  <c r="E227" i="147"/>
  <c r="D227" i="147"/>
  <c r="I226" i="147"/>
  <c r="H226" i="147"/>
  <c r="G226" i="147"/>
  <c r="F226" i="147"/>
  <c r="F227" i="147" s="1"/>
  <c r="E226" i="147"/>
  <c r="D226" i="147"/>
  <c r="G204" i="147"/>
  <c r="G214" i="147"/>
  <c r="G203" i="147" s="1"/>
  <c r="G208" i="147"/>
  <c r="F208" i="147"/>
  <c r="F214" i="147"/>
  <c r="E214" i="147"/>
  <c r="I209" i="147"/>
  <c r="H209" i="147"/>
  <c r="G209" i="147"/>
  <c r="F209" i="147"/>
  <c r="E209" i="147"/>
  <c r="E210" i="147" s="1"/>
  <c r="D209" i="147"/>
  <c r="D210" i="147" s="1"/>
  <c r="G186" i="147"/>
  <c r="G194" i="147"/>
  <c r="G196" i="147" s="1"/>
  <c r="G185" i="147" s="1"/>
  <c r="G190" i="147"/>
  <c r="F190" i="147"/>
  <c r="E190" i="147"/>
  <c r="D190" i="147"/>
  <c r="F194" i="147"/>
  <c r="F196" i="147" s="1"/>
  <c r="E194" i="147"/>
  <c r="E196" i="147" s="1"/>
  <c r="I191" i="147"/>
  <c r="H191" i="147"/>
  <c r="G191" i="147"/>
  <c r="F191" i="147"/>
  <c r="E191" i="147"/>
  <c r="D191" i="147"/>
  <c r="F167" i="147"/>
  <c r="F177" i="147"/>
  <c r="F166" i="147" s="1"/>
  <c r="E175" i="147"/>
  <c r="E177" i="147" s="1"/>
  <c r="F171" i="147"/>
  <c r="E171" i="147"/>
  <c r="D171" i="147"/>
  <c r="I172" i="147"/>
  <c r="H172" i="147"/>
  <c r="G172" i="147"/>
  <c r="F172" i="147"/>
  <c r="E172" i="147"/>
  <c r="D172" i="147"/>
  <c r="F149" i="147"/>
  <c r="E149" i="147"/>
  <c r="F158" i="147"/>
  <c r="F148" i="147" s="1"/>
  <c r="E156" i="147"/>
  <c r="E158" i="147" s="1"/>
  <c r="E153" i="147"/>
  <c r="I153" i="147"/>
  <c r="H153" i="147"/>
  <c r="G153" i="147"/>
  <c r="F153" i="147"/>
  <c r="D153" i="147"/>
  <c r="F152" i="147"/>
  <c r="E152" i="147"/>
  <c r="D152" i="147"/>
  <c r="E131" i="147"/>
  <c r="E141" i="147"/>
  <c r="E130" i="147" s="1"/>
  <c r="E135" i="147"/>
  <c r="D135" i="147"/>
  <c r="I136" i="147"/>
  <c r="H136" i="147"/>
  <c r="G136" i="147"/>
  <c r="F136" i="147"/>
  <c r="E136" i="147"/>
  <c r="D136" i="147"/>
  <c r="E43" i="147"/>
  <c r="E114" i="147"/>
  <c r="E124" i="147"/>
  <c r="E113" i="147" s="1"/>
  <c r="E118" i="147"/>
  <c r="D118" i="147"/>
  <c r="I119" i="147"/>
  <c r="H119" i="147"/>
  <c r="G119" i="147"/>
  <c r="F119" i="147"/>
  <c r="E119" i="147"/>
  <c r="D119" i="147"/>
  <c r="E95" i="147"/>
  <c r="E105" i="147"/>
  <c r="E94" i="147" s="1"/>
  <c r="E99" i="147"/>
  <c r="D99" i="147"/>
  <c r="I100" i="147"/>
  <c r="H100" i="147"/>
  <c r="G100" i="147"/>
  <c r="F100" i="147"/>
  <c r="E100" i="147"/>
  <c r="D100" i="147"/>
  <c r="E77" i="147"/>
  <c r="D88" i="147"/>
  <c r="E85" i="147"/>
  <c r="E81" i="147"/>
  <c r="D81" i="147"/>
  <c r="I82" i="147"/>
  <c r="H82" i="147"/>
  <c r="G82" i="147"/>
  <c r="F82" i="147"/>
  <c r="E82" i="147"/>
  <c r="D82" i="147"/>
  <c r="D70" i="147"/>
  <c r="D63" i="147"/>
  <c r="I64" i="147"/>
  <c r="H64" i="147"/>
  <c r="G64" i="147"/>
  <c r="F64" i="147"/>
  <c r="E64" i="147"/>
  <c r="D64" i="147"/>
  <c r="I68" i="147"/>
  <c r="H68" i="147"/>
  <c r="G68" i="147"/>
  <c r="F68" i="147"/>
  <c r="E68" i="147"/>
  <c r="I47" i="147"/>
  <c r="E50" i="147"/>
  <c r="I51" i="147"/>
  <c r="H51" i="147"/>
  <c r="G51" i="147"/>
  <c r="F51" i="147"/>
  <c r="E51" i="147"/>
  <c r="H47" i="147"/>
  <c r="G47" i="147"/>
  <c r="F47" i="147"/>
  <c r="E47" i="147"/>
  <c r="E46" i="147"/>
  <c r="D47" i="147"/>
  <c r="H245" i="147" l="1"/>
  <c r="I237" i="147" s="1"/>
  <c r="D192" i="147"/>
  <c r="E192" i="147"/>
  <c r="G227" i="147"/>
  <c r="H227" i="147"/>
  <c r="I219" i="147" s="1"/>
  <c r="G210" i="147"/>
  <c r="H202" i="147" s="1"/>
  <c r="F210" i="147"/>
  <c r="F192" i="147"/>
  <c r="F173" i="147"/>
  <c r="G165" i="147" s="1"/>
  <c r="F154" i="147"/>
  <c r="G147" i="147" s="1"/>
  <c r="G192" i="147"/>
  <c r="H184" i="147" s="1"/>
  <c r="D173" i="147"/>
  <c r="E173" i="147"/>
  <c r="D154" i="147"/>
  <c r="E154" i="147"/>
  <c r="D101" i="147"/>
  <c r="E93" i="147" s="1"/>
  <c r="D137" i="147"/>
  <c r="D120" i="147"/>
  <c r="E137" i="147"/>
  <c r="F129" i="147" s="1"/>
  <c r="E120" i="147"/>
  <c r="F112" i="147" s="1"/>
  <c r="E101" i="147"/>
  <c r="F93" i="147" s="1"/>
  <c r="D83" i="147"/>
  <c r="E75" i="147" s="1"/>
  <c r="E83" i="147"/>
  <c r="F75" i="147" s="1"/>
  <c r="D65" i="147"/>
  <c r="E58" i="147" s="1"/>
  <c r="E87" i="147"/>
  <c r="E76" i="147" s="1"/>
  <c r="E52" i="147"/>
  <c r="E42" i="147" s="1"/>
  <c r="E48" i="147"/>
  <c r="F41" i="147" s="1"/>
  <c r="D46" i="147" l="1"/>
  <c r="D48" i="147" s="1"/>
  <c r="E41" i="147" s="1"/>
  <c r="I34" i="147"/>
  <c r="H34" i="147"/>
  <c r="G34" i="147"/>
  <c r="F34" i="147"/>
  <c r="E34" i="147"/>
  <c r="H195" i="146"/>
  <c r="G195" i="146"/>
  <c r="H182" i="146"/>
  <c r="G182" i="146"/>
  <c r="H169" i="146"/>
  <c r="G169" i="146"/>
  <c r="F169" i="146"/>
  <c r="H157" i="146"/>
  <c r="G157" i="146"/>
  <c r="F157" i="146"/>
  <c r="H145" i="146"/>
  <c r="G145" i="146"/>
  <c r="F145" i="146"/>
  <c r="E145" i="146"/>
  <c r="C131" i="146"/>
  <c r="H133" i="146"/>
  <c r="G133" i="146"/>
  <c r="F133" i="146"/>
  <c r="E133" i="146"/>
  <c r="D121" i="146"/>
  <c r="D120" i="146"/>
  <c r="D119" i="146" s="1"/>
  <c r="H111" i="146"/>
  <c r="G111" i="146"/>
  <c r="F111" i="146"/>
  <c r="E111" i="146"/>
  <c r="D111" i="146"/>
  <c r="D108" i="146"/>
  <c r="H107" i="146"/>
  <c r="G107" i="146"/>
  <c r="F107" i="146"/>
  <c r="E107" i="146"/>
  <c r="D107" i="146"/>
  <c r="D124" i="146" l="1"/>
  <c r="D89" i="146"/>
  <c r="D74" i="146"/>
  <c r="D73" i="146" l="1"/>
  <c r="D78" i="146" s="1"/>
  <c r="D94" i="146"/>
  <c r="D40" i="146"/>
  <c r="D30" i="146"/>
  <c r="C33" i="146"/>
  <c r="G19" i="145"/>
  <c r="F19" i="145"/>
  <c r="E19" i="145"/>
  <c r="G18" i="145"/>
  <c r="I38" i="109" s="1"/>
  <c r="I20" i="109" s="1"/>
  <c r="F18" i="145"/>
  <c r="H38" i="109" s="1"/>
  <c r="H20" i="109" s="1"/>
  <c r="E18" i="145"/>
  <c r="F17" i="145"/>
  <c r="E17" i="145"/>
  <c r="F16" i="145"/>
  <c r="E16" i="145"/>
  <c r="E15" i="145"/>
  <c r="G35" i="109" s="1"/>
  <c r="G17" i="109" s="1"/>
  <c r="E14" i="145"/>
  <c r="E13" i="145"/>
  <c r="G33" i="109" s="1"/>
  <c r="G15" i="109" s="1"/>
  <c r="E11" i="145"/>
  <c r="E10" i="145"/>
  <c r="G30" i="109" s="1"/>
  <c r="G12" i="109" s="1"/>
  <c r="K28" i="109"/>
  <c r="K10" i="109" s="1"/>
  <c r="J28" i="109"/>
  <c r="I39" i="109"/>
  <c r="I21" i="109" s="1"/>
  <c r="I28" i="109"/>
  <c r="I10" i="109" s="1"/>
  <c r="H39" i="109"/>
  <c r="H21" i="109" s="1"/>
  <c r="H37" i="109"/>
  <c r="H19" i="109" s="1"/>
  <c r="H36" i="109"/>
  <c r="H18" i="109" s="1"/>
  <c r="H28" i="109"/>
  <c r="H10" i="109" s="1"/>
  <c r="G39" i="109"/>
  <c r="G21" i="109" s="1"/>
  <c r="G38" i="109"/>
  <c r="G20" i="109" s="1"/>
  <c r="G37" i="109"/>
  <c r="G19" i="109" s="1"/>
  <c r="G36" i="109"/>
  <c r="G18" i="109" s="1"/>
  <c r="G34" i="109"/>
  <c r="G16" i="109" s="1"/>
  <c r="G31" i="109"/>
  <c r="G13" i="109" s="1"/>
  <c r="G28" i="109"/>
  <c r="G10" i="109" s="1"/>
  <c r="E26" i="109"/>
  <c r="F26" i="109" s="1"/>
  <c r="F8" i="109" s="1"/>
  <c r="E21" i="109"/>
  <c r="E20" i="109"/>
  <c r="E19" i="109"/>
  <c r="E18" i="109"/>
  <c r="E17" i="109"/>
  <c r="E16" i="109"/>
  <c r="E15" i="109"/>
  <c r="E14" i="109"/>
  <c r="E11" i="109"/>
  <c r="J10" i="109"/>
  <c r="E9" i="109"/>
  <c r="K8" i="109"/>
  <c r="J8" i="109"/>
  <c r="I8" i="109"/>
  <c r="H8" i="109"/>
  <c r="G8" i="109"/>
  <c r="E28" i="145"/>
  <c r="E12" i="145" s="1"/>
  <c r="G32" i="109" s="1"/>
  <c r="G14" i="109" s="1"/>
  <c r="E29" i="145"/>
  <c r="F29" i="145" s="1"/>
  <c r="F27" i="145"/>
  <c r="F31" i="145" s="1"/>
  <c r="F15" i="145" s="1"/>
  <c r="H35" i="109" s="1"/>
  <c r="H17" i="109" s="1"/>
  <c r="F26" i="145"/>
  <c r="G25" i="145"/>
  <c r="H25" i="145" s="1"/>
  <c r="I25" i="145" s="1"/>
  <c r="F25" i="145"/>
  <c r="E27" i="145"/>
  <c r="E26" i="145"/>
  <c r="E25" i="145"/>
  <c r="E23" i="145"/>
  <c r="F23" i="145" s="1"/>
  <c r="G23" i="145" s="1"/>
  <c r="D8" i="109"/>
  <c r="G6" i="109"/>
  <c r="E27" i="109"/>
  <c r="E28" i="109"/>
  <c r="E10" i="109" s="1"/>
  <c r="E29" i="109"/>
  <c r="E30" i="109"/>
  <c r="E12" i="109" s="1"/>
  <c r="E31" i="109"/>
  <c r="E13" i="109" s="1"/>
  <c r="K6" i="109"/>
  <c r="J6" i="109"/>
  <c r="I6" i="109"/>
  <c r="H6" i="109"/>
  <c r="F6" i="109"/>
  <c r="E6" i="109"/>
  <c r="D6" i="109"/>
  <c r="E30" i="146" l="1"/>
  <c r="D29" i="146"/>
  <c r="D28" i="146" s="1"/>
  <c r="H23" i="145"/>
  <c r="I23" i="145" s="1"/>
  <c r="G29" i="145"/>
  <c r="G26" i="145"/>
  <c r="G27" i="145"/>
  <c r="E25" i="109"/>
  <c r="F28" i="145"/>
  <c r="F30" i="145"/>
  <c r="F14" i="145" s="1"/>
  <c r="H34" i="109" s="1"/>
  <c r="H16" i="109" s="1"/>
  <c r="E8" i="109"/>
  <c r="E7" i="109" s="1"/>
  <c r="D39" i="146"/>
  <c r="F30" i="146" l="1"/>
  <c r="H27" i="145"/>
  <c r="G28" i="145"/>
  <c r="G30" i="145"/>
  <c r="G32" i="145"/>
  <c r="G16" i="145" s="1"/>
  <c r="I36" i="109" s="1"/>
  <c r="I18" i="109" s="1"/>
  <c r="G33" i="145"/>
  <c r="G17" i="145" s="1"/>
  <c r="I37" i="109" s="1"/>
  <c r="I19" i="109" s="1"/>
  <c r="G31" i="145"/>
  <c r="H26" i="145"/>
  <c r="H29" i="145"/>
  <c r="D44" i="146"/>
  <c r="G30" i="146" l="1"/>
  <c r="I26" i="145"/>
  <c r="I29" i="145"/>
  <c r="I27" i="145"/>
  <c r="H30" i="145"/>
  <c r="H28" i="145"/>
  <c r="H35" i="145"/>
  <c r="H19" i="145" s="1"/>
  <c r="J39" i="109" s="1"/>
  <c r="J21" i="109" s="1"/>
  <c r="H32" i="145"/>
  <c r="H31" i="145"/>
  <c r="H34" i="145"/>
  <c r="H18" i="145" s="1"/>
  <c r="J38" i="109" s="1"/>
  <c r="J20" i="109" s="1"/>
  <c r="H33" i="145"/>
  <c r="H30" i="146" l="1"/>
  <c r="I30" i="145"/>
  <c r="I28" i="145"/>
  <c r="I34" i="145"/>
  <c r="I32" i="145"/>
  <c r="I35" i="145"/>
  <c r="I31" i="145"/>
  <c r="I33" i="145"/>
  <c r="R20" i="144" l="1"/>
  <c r="Q20" i="144"/>
  <c r="Q19" i="144"/>
  <c r="Q18" i="144"/>
  <c r="Q17" i="144"/>
  <c r="M233" i="144"/>
  <c r="M232" i="144"/>
  <c r="M231" i="144"/>
  <c r="L233" i="144"/>
  <c r="L232" i="144"/>
  <c r="L231" i="144"/>
  <c r="K233" i="144"/>
  <c r="K232" i="144"/>
  <c r="K231" i="144"/>
  <c r="Q16" i="144"/>
  <c r="P20" i="144"/>
  <c r="M230" i="144"/>
  <c r="L230" i="144"/>
  <c r="K230" i="144"/>
  <c r="P19" i="144"/>
  <c r="P18" i="144"/>
  <c r="P17" i="144"/>
  <c r="P16" i="144"/>
  <c r="D517" i="144"/>
  <c r="H509" i="144"/>
  <c r="H508" i="144"/>
  <c r="H507" i="144"/>
  <c r="H506" i="144"/>
  <c r="H505" i="144"/>
  <c r="G509" i="144"/>
  <c r="G508" i="144"/>
  <c r="G507" i="144"/>
  <c r="G506" i="144"/>
  <c r="G505" i="144"/>
  <c r="D471" i="144"/>
  <c r="H463" i="144"/>
  <c r="H462" i="144"/>
  <c r="H461" i="144"/>
  <c r="H460" i="144"/>
  <c r="H459" i="144"/>
  <c r="G463" i="144"/>
  <c r="G462" i="144"/>
  <c r="G461" i="144"/>
  <c r="G460" i="144"/>
  <c r="G459" i="144"/>
  <c r="D425" i="144"/>
  <c r="H417" i="144"/>
  <c r="H416" i="144"/>
  <c r="H415" i="144"/>
  <c r="H414" i="144"/>
  <c r="H413" i="144"/>
  <c r="G417" i="144"/>
  <c r="G416" i="144"/>
  <c r="G415" i="144"/>
  <c r="G414" i="144"/>
  <c r="G413" i="144"/>
  <c r="F417" i="144"/>
  <c r="F416" i="144"/>
  <c r="F415" i="144"/>
  <c r="F414" i="144"/>
  <c r="F413" i="144"/>
  <c r="D378" i="144"/>
  <c r="H370" i="144"/>
  <c r="H369" i="144"/>
  <c r="H368" i="144"/>
  <c r="H367" i="144"/>
  <c r="H366" i="144"/>
  <c r="G370" i="144"/>
  <c r="G369" i="144"/>
  <c r="G368" i="144"/>
  <c r="G367" i="144"/>
  <c r="G366" i="144"/>
  <c r="F370" i="144"/>
  <c r="F369" i="144"/>
  <c r="F368" i="144"/>
  <c r="F367" i="144"/>
  <c r="F366" i="144"/>
  <c r="D332" i="144"/>
  <c r="D286" i="144"/>
  <c r="H324" i="144"/>
  <c r="H323" i="144"/>
  <c r="H322" i="144"/>
  <c r="H321" i="144"/>
  <c r="H320" i="144"/>
  <c r="G324" i="144"/>
  <c r="G323" i="144"/>
  <c r="G322" i="144"/>
  <c r="G321" i="144"/>
  <c r="G320" i="144"/>
  <c r="F324" i="144"/>
  <c r="F323" i="144"/>
  <c r="F322" i="144"/>
  <c r="F321" i="144"/>
  <c r="F320" i="144"/>
  <c r="E324" i="144"/>
  <c r="E323" i="144"/>
  <c r="E322" i="144"/>
  <c r="E321" i="144"/>
  <c r="E320" i="144"/>
  <c r="E278" i="144"/>
  <c r="E277" i="144"/>
  <c r="E276" i="144"/>
  <c r="E275" i="144"/>
  <c r="E274" i="144"/>
  <c r="D241" i="144"/>
  <c r="F233" i="144"/>
  <c r="F232" i="144"/>
  <c r="F231" i="144"/>
  <c r="F230" i="144"/>
  <c r="D205" i="144"/>
  <c r="D204" i="144"/>
  <c r="D203" i="144"/>
  <c r="D202" i="144"/>
  <c r="D201" i="144"/>
  <c r="H189" i="144"/>
  <c r="H188" i="144"/>
  <c r="H187" i="144"/>
  <c r="H186" i="144"/>
  <c r="H185" i="144"/>
  <c r="G189" i="144"/>
  <c r="G188" i="144"/>
  <c r="G187" i="144"/>
  <c r="G186" i="144"/>
  <c r="G185" i="144"/>
  <c r="F189" i="144"/>
  <c r="F188" i="144"/>
  <c r="F187" i="144"/>
  <c r="F186" i="144"/>
  <c r="F185" i="144"/>
  <c r="E189" i="144"/>
  <c r="E188" i="144"/>
  <c r="E187" i="144"/>
  <c r="E186" i="144"/>
  <c r="E185" i="144"/>
  <c r="D189" i="144"/>
  <c r="D188" i="144"/>
  <c r="D187" i="144"/>
  <c r="D186" i="144"/>
  <c r="D185" i="144"/>
  <c r="D197" i="144"/>
  <c r="E151" i="144"/>
  <c r="J58" i="144"/>
  <c r="J57" i="144"/>
  <c r="J56" i="144"/>
  <c r="J55" i="144"/>
  <c r="J54" i="144"/>
  <c r="F106" i="144"/>
  <c r="F151" i="144" s="1"/>
  <c r="E197" i="144" s="1"/>
  <c r="E241" i="144" s="1"/>
  <c r="E286" i="144" s="1"/>
  <c r="E332" i="144" s="1"/>
  <c r="E378" i="144" s="1"/>
  <c r="E425" i="144" s="1"/>
  <c r="E471" i="144" s="1"/>
  <c r="E517" i="144" s="1"/>
  <c r="E106" i="144"/>
  <c r="I67" i="144"/>
  <c r="I106" i="144" s="1"/>
  <c r="I151" i="144" s="1"/>
  <c r="H197" i="144" s="1"/>
  <c r="H241" i="144" s="1"/>
  <c r="H286" i="144" s="1"/>
  <c r="H332" i="144" s="1"/>
  <c r="H378" i="144" s="1"/>
  <c r="H425" i="144" s="1"/>
  <c r="H471" i="144" s="1"/>
  <c r="H517" i="144" s="1"/>
  <c r="H67" i="144"/>
  <c r="H106" i="144" s="1"/>
  <c r="H151" i="144" s="1"/>
  <c r="G197" i="144" s="1"/>
  <c r="G241" i="144" s="1"/>
  <c r="G286" i="144" s="1"/>
  <c r="G332" i="144" s="1"/>
  <c r="G378" i="144" s="1"/>
  <c r="G425" i="144" s="1"/>
  <c r="G471" i="144" s="1"/>
  <c r="G517" i="144" s="1"/>
  <c r="G67" i="144"/>
  <c r="G106" i="144" s="1"/>
  <c r="G151" i="144" s="1"/>
  <c r="F197" i="144" s="1"/>
  <c r="F241" i="144" s="1"/>
  <c r="F286" i="144" s="1"/>
  <c r="F332" i="144" s="1"/>
  <c r="F378" i="144" s="1"/>
  <c r="F425" i="144" s="1"/>
  <c r="F471" i="144" s="1"/>
  <c r="F517" i="144" s="1"/>
  <c r="F67" i="144"/>
  <c r="G29" i="108"/>
  <c r="E29" i="108"/>
  <c r="D29" i="108"/>
  <c r="D8" i="144"/>
  <c r="D7" i="144"/>
  <c r="D6" i="144"/>
  <c r="D5" i="144"/>
  <c r="E20" i="144"/>
  <c r="D20" i="144"/>
  <c r="F19" i="144"/>
  <c r="G19" i="144" s="1"/>
  <c r="H19" i="144" s="1"/>
  <c r="I19" i="144" s="1"/>
  <c r="F18" i="144"/>
  <c r="G18" i="144" s="1"/>
  <c r="H18" i="144" s="1"/>
  <c r="I18" i="144" s="1"/>
  <c r="F17" i="144"/>
  <c r="G17" i="144" s="1"/>
  <c r="H17" i="144" s="1"/>
  <c r="I17" i="144" s="1"/>
  <c r="F16" i="144"/>
  <c r="G16" i="144" s="1"/>
  <c r="E34" i="144"/>
  <c r="F34" i="144" s="1"/>
  <c r="E33" i="144"/>
  <c r="E7" i="144" s="1"/>
  <c r="E32" i="144"/>
  <c r="E6" i="144" s="1"/>
  <c r="E31" i="144"/>
  <c r="E5" i="144" s="1"/>
  <c r="F41" i="108"/>
  <c r="F23" i="108" s="1"/>
  <c r="F40" i="108"/>
  <c r="F22" i="108" s="1"/>
  <c r="F39" i="108"/>
  <c r="F21" i="108" s="1"/>
  <c r="F38" i="108"/>
  <c r="F20" i="108" s="1"/>
  <c r="F37" i="108"/>
  <c r="F19" i="108" s="1"/>
  <c r="F36" i="108"/>
  <c r="F18" i="108" s="1"/>
  <c r="F8" i="108"/>
  <c r="K10" i="108"/>
  <c r="J10" i="108"/>
  <c r="I10" i="108"/>
  <c r="H10" i="108"/>
  <c r="G10" i="108"/>
  <c r="E28" i="108"/>
  <c r="E10" i="108" s="1"/>
  <c r="D10" i="108"/>
  <c r="E8" i="144" l="1"/>
  <c r="E9" i="144" s="1"/>
  <c r="G34" i="144"/>
  <c r="G8" i="144" s="1"/>
  <c r="F8" i="144"/>
  <c r="F32" i="144"/>
  <c r="F6" i="144" s="1"/>
  <c r="F33" i="144"/>
  <c r="F7" i="144" s="1"/>
  <c r="E27" i="144"/>
  <c r="D9" i="144"/>
  <c r="H16" i="144"/>
  <c r="G20" i="144"/>
  <c r="F20" i="144"/>
  <c r="F10" i="108"/>
  <c r="F5" i="144" l="1"/>
  <c r="F9" i="144" s="1"/>
  <c r="H29" i="108" s="1"/>
  <c r="F43" i="147" s="1"/>
  <c r="H34" i="144"/>
  <c r="H8" i="144" s="1"/>
  <c r="G33" i="144"/>
  <c r="G7" i="144" s="1"/>
  <c r="G32" i="144"/>
  <c r="G6" i="144" s="1"/>
  <c r="G31" i="144"/>
  <c r="G5" i="144" s="1"/>
  <c r="G9" i="144" s="1"/>
  <c r="I29" i="108" s="1"/>
  <c r="G43" i="147" s="1"/>
  <c r="I16" i="144"/>
  <c r="I20" i="144" s="1"/>
  <c r="H20" i="144"/>
  <c r="H32" i="144" l="1"/>
  <c r="H6" i="144" s="1"/>
  <c r="H31" i="144"/>
  <c r="H5" i="144" s="1"/>
  <c r="H33" i="144"/>
  <c r="H7" i="144" s="1"/>
  <c r="H9" i="144" s="1"/>
  <c r="J29" i="108" s="1"/>
  <c r="H43" i="147" s="1"/>
  <c r="I34" i="144"/>
  <c r="I8" i="144" s="1"/>
  <c r="I32" i="144"/>
  <c r="I6" i="144" s="1"/>
  <c r="I31" i="144"/>
  <c r="I5" i="144" s="1"/>
  <c r="I33" i="144"/>
  <c r="I7" i="144" s="1"/>
  <c r="I9" i="144" l="1"/>
  <c r="K29" i="108" s="1"/>
  <c r="I43" i="147" s="1"/>
  <c r="E33" i="108" l="1"/>
  <c r="E15" i="108" s="1"/>
  <c r="E32" i="108"/>
  <c r="E14" i="108" s="1"/>
  <c r="E31" i="108"/>
  <c r="E13" i="108" s="1"/>
  <c r="E30" i="108"/>
  <c r="E23" i="108"/>
  <c r="E22" i="108"/>
  <c r="E21" i="108"/>
  <c r="E20" i="108"/>
  <c r="E19" i="108"/>
  <c r="E18" i="108"/>
  <c r="E17" i="108"/>
  <c r="E16" i="108"/>
  <c r="E27" i="108"/>
  <c r="E8" i="108"/>
  <c r="H51" i="157"/>
  <c r="F51" i="157"/>
  <c r="E50" i="157"/>
  <c r="C50" i="157"/>
  <c r="I49" i="157"/>
  <c r="H49" i="157"/>
  <c r="G49" i="157"/>
  <c r="F49" i="157"/>
  <c r="D49" i="157"/>
  <c r="J49" i="157" s="1"/>
  <c r="C49" i="157"/>
  <c r="I48" i="157"/>
  <c r="H48" i="157"/>
  <c r="G48" i="157"/>
  <c r="F48" i="157"/>
  <c r="E48" i="157"/>
  <c r="D48" i="157"/>
  <c r="H46" i="157"/>
  <c r="E46" i="157"/>
  <c r="D46" i="157"/>
  <c r="C46" i="157"/>
  <c r="I42" i="157"/>
  <c r="G42" i="157"/>
  <c r="I41" i="157"/>
  <c r="C41" i="157"/>
  <c r="I40" i="157"/>
  <c r="G40" i="157"/>
  <c r="C40" i="157"/>
  <c r="I39" i="157"/>
  <c r="E39" i="157"/>
  <c r="D39" i="157"/>
  <c r="H38" i="157"/>
  <c r="E38" i="157"/>
  <c r="H37" i="157"/>
  <c r="C37" i="157"/>
  <c r="F36" i="157"/>
  <c r="I35" i="157"/>
  <c r="H35" i="157"/>
  <c r="G35" i="157"/>
  <c r="F35" i="157"/>
  <c r="E35" i="157"/>
  <c r="D35" i="157"/>
  <c r="I34" i="157"/>
  <c r="H34" i="157"/>
  <c r="F34" i="157"/>
  <c r="E34" i="157"/>
  <c r="E33" i="157"/>
  <c r="D33" i="157"/>
  <c r="I32" i="157"/>
  <c r="H32" i="157"/>
  <c r="G32" i="157"/>
  <c r="F32" i="157"/>
  <c r="E32" i="157"/>
  <c r="C32" i="157"/>
  <c r="I31" i="157"/>
  <c r="I30" i="157"/>
  <c r="H30" i="157"/>
  <c r="F30" i="157"/>
  <c r="I29" i="157"/>
  <c r="G29" i="157"/>
  <c r="I27" i="157"/>
  <c r="I26" i="157"/>
  <c r="F26" i="157"/>
  <c r="C26" i="157"/>
  <c r="I25" i="157"/>
  <c r="H25" i="157"/>
  <c r="F25" i="157"/>
  <c r="D25" i="157"/>
  <c r="C25" i="157"/>
  <c r="I24" i="157"/>
  <c r="F24" i="157"/>
  <c r="I23" i="157"/>
  <c r="H23" i="157"/>
  <c r="G23" i="157"/>
  <c r="F23" i="157"/>
  <c r="E23" i="157"/>
  <c r="C23" i="157"/>
  <c r="I22" i="157"/>
  <c r="E22" i="157"/>
  <c r="E21" i="157"/>
  <c r="I20" i="157"/>
  <c r="I19" i="157"/>
  <c r="I18" i="157"/>
  <c r="H18" i="157"/>
  <c r="G18" i="157"/>
  <c r="F18" i="157"/>
  <c r="E18" i="157"/>
  <c r="D18" i="157"/>
  <c r="H17" i="157"/>
  <c r="F17" i="157"/>
  <c r="I13" i="157"/>
  <c r="H13" i="157"/>
  <c r="G13" i="157"/>
  <c r="E13" i="157"/>
  <c r="D13" i="157"/>
  <c r="D10" i="157" s="1"/>
  <c r="D9" i="157" s="1"/>
  <c r="D14" i="157" s="1"/>
  <c r="H12" i="157"/>
  <c r="G12" i="157"/>
  <c r="F12" i="157"/>
  <c r="D12" i="157"/>
  <c r="C12" i="157"/>
  <c r="C10" i="157" s="1"/>
  <c r="C9" i="157" s="1"/>
  <c r="I11" i="157"/>
  <c r="G11" i="157"/>
  <c r="C11" i="157"/>
  <c r="I8" i="157"/>
  <c r="H8" i="157"/>
  <c r="G8" i="157"/>
  <c r="F8" i="157"/>
  <c r="E8" i="157"/>
  <c r="D8" i="157"/>
  <c r="C8" i="157"/>
  <c r="J8" i="157" s="1"/>
  <c r="I7" i="157"/>
  <c r="I6" i="157" s="1"/>
  <c r="H7" i="157"/>
  <c r="H6" i="157" s="1"/>
  <c r="G7" i="157"/>
  <c r="G6" i="157" s="1"/>
  <c r="H286" i="156"/>
  <c r="G284" i="156"/>
  <c r="I51" i="157" s="1"/>
  <c r="G283" i="156"/>
  <c r="I50" i="157" s="1"/>
  <c r="F283" i="156"/>
  <c r="E283" i="156"/>
  <c r="D282" i="156"/>
  <c r="D285" i="156" s="1"/>
  <c r="D287" i="156" s="1"/>
  <c r="G281" i="156"/>
  <c r="I46" i="157" s="1"/>
  <c r="E280" i="156"/>
  <c r="D279" i="156"/>
  <c r="D278" i="156"/>
  <c r="F277" i="156"/>
  <c r="E277" i="156"/>
  <c r="G277" i="156" s="1"/>
  <c r="I38" i="157" s="1"/>
  <c r="F276" i="156"/>
  <c r="F37" i="154" s="1"/>
  <c r="E276" i="156"/>
  <c r="E37" i="154" s="1"/>
  <c r="F275" i="156"/>
  <c r="E275" i="156"/>
  <c r="G275" i="156" s="1"/>
  <c r="I36" i="157" s="1"/>
  <c r="G274" i="156"/>
  <c r="I33" i="157" s="1"/>
  <c r="F274" i="156"/>
  <c r="E274" i="156"/>
  <c r="F273" i="156"/>
  <c r="E273" i="156"/>
  <c r="G273" i="156" s="1"/>
  <c r="E272" i="156"/>
  <c r="F271" i="156"/>
  <c r="E271" i="156"/>
  <c r="G271" i="156" s="1"/>
  <c r="I21" i="157" s="1"/>
  <c r="F270" i="156"/>
  <c r="E270" i="156"/>
  <c r="G270" i="156" s="1"/>
  <c r="D269" i="156"/>
  <c r="D268" i="156"/>
  <c r="G267" i="156"/>
  <c r="G266" i="156"/>
  <c r="I12" i="157" s="1"/>
  <c r="G265" i="156"/>
  <c r="H264" i="156"/>
  <c r="H263" i="156"/>
  <c r="G262" i="156"/>
  <c r="H261" i="156"/>
  <c r="H268" i="156" s="1"/>
  <c r="D256" i="156"/>
  <c r="H255" i="156"/>
  <c r="F253" i="156"/>
  <c r="E253" i="156"/>
  <c r="G253" i="156" s="1"/>
  <c r="G251" i="156"/>
  <c r="E250" i="156"/>
  <c r="D249" i="156"/>
  <c r="F247" i="156"/>
  <c r="E247" i="156"/>
  <c r="G247" i="156" s="1"/>
  <c r="H42" i="157" s="1"/>
  <c r="F246" i="156"/>
  <c r="F245" i="156"/>
  <c r="E245" i="156"/>
  <c r="G245" i="156" s="1"/>
  <c r="H40" i="157" s="1"/>
  <c r="F244" i="156"/>
  <c r="G244" i="156" s="1"/>
  <c r="H39" i="157" s="1"/>
  <c r="E244" i="156"/>
  <c r="F243" i="156"/>
  <c r="E243" i="156"/>
  <c r="G243" i="156" s="1"/>
  <c r="F242" i="156"/>
  <c r="G242" i="156" s="1"/>
  <c r="H36" i="157" s="1"/>
  <c r="E242" i="156"/>
  <c r="F241" i="156"/>
  <c r="E241" i="156"/>
  <c r="G241" i="156" s="1"/>
  <c r="H33" i="157" s="1"/>
  <c r="F240" i="156"/>
  <c r="E240" i="156"/>
  <c r="F239" i="156"/>
  <c r="G239" i="156" s="1"/>
  <c r="H29" i="157" s="1"/>
  <c r="E239" i="156"/>
  <c r="F238" i="156"/>
  <c r="E238" i="156"/>
  <c r="F237" i="156"/>
  <c r="E237" i="156"/>
  <c r="F236" i="156"/>
  <c r="G236" i="156" s="1"/>
  <c r="E236" i="156"/>
  <c r="F235" i="156"/>
  <c r="G235" i="156" s="1"/>
  <c r="H26" i="157" s="1"/>
  <c r="E235" i="156"/>
  <c r="F234" i="156"/>
  <c r="E234" i="156"/>
  <c r="G234" i="156" s="1"/>
  <c r="H24" i="157" s="1"/>
  <c r="F233" i="156"/>
  <c r="E233" i="156"/>
  <c r="G233" i="156" s="1"/>
  <c r="H22" i="157" s="1"/>
  <c r="F232" i="156"/>
  <c r="E232" i="156"/>
  <c r="G232" i="156" s="1"/>
  <c r="H21" i="157" s="1"/>
  <c r="F231" i="156"/>
  <c r="E231" i="156"/>
  <c r="F230" i="156"/>
  <c r="G230" i="156" s="1"/>
  <c r="H19" i="157" s="1"/>
  <c r="E230" i="156"/>
  <c r="F229" i="156"/>
  <c r="E229" i="156"/>
  <c r="G229" i="156" s="1"/>
  <c r="D228" i="156"/>
  <c r="D227" i="156"/>
  <c r="D248" i="156" s="1"/>
  <c r="G226" i="156"/>
  <c r="G225" i="156"/>
  <c r="G224" i="156"/>
  <c r="H11" i="157" s="1"/>
  <c r="H223" i="156"/>
  <c r="H222" i="156"/>
  <c r="G221" i="156"/>
  <c r="H220" i="156"/>
  <c r="H227" i="156" s="1"/>
  <c r="D215" i="156"/>
  <c r="H214" i="156"/>
  <c r="G212" i="156"/>
  <c r="G51" i="157" s="1"/>
  <c r="F211" i="156"/>
  <c r="G211" i="156" s="1"/>
  <c r="E211" i="156"/>
  <c r="G209" i="156"/>
  <c r="G46" i="157" s="1"/>
  <c r="E208" i="156"/>
  <c r="F205" i="156"/>
  <c r="F204" i="156"/>
  <c r="E204" i="156"/>
  <c r="G204" i="156" s="1"/>
  <c r="E203" i="156"/>
  <c r="G203" i="156" s="1"/>
  <c r="G39" i="157" s="1"/>
  <c r="G202" i="156"/>
  <c r="G38" i="157" s="1"/>
  <c r="F202" i="156"/>
  <c r="E202" i="156"/>
  <c r="F201" i="156"/>
  <c r="E201" i="156"/>
  <c r="G201" i="156" s="1"/>
  <c r="G37" i="157" s="1"/>
  <c r="F200" i="156"/>
  <c r="E200" i="156"/>
  <c r="G200" i="156" s="1"/>
  <c r="G36" i="157" s="1"/>
  <c r="G199" i="156"/>
  <c r="G34" i="157" s="1"/>
  <c r="F199" i="156"/>
  <c r="E199" i="156"/>
  <c r="F198" i="156"/>
  <c r="E198" i="156"/>
  <c r="G197" i="156"/>
  <c r="F197" i="156"/>
  <c r="E197" i="156"/>
  <c r="F196" i="156"/>
  <c r="E196" i="156"/>
  <c r="G196" i="156" s="1"/>
  <c r="G31" i="157" s="1"/>
  <c r="F195" i="156"/>
  <c r="E195" i="156"/>
  <c r="G195" i="156" s="1"/>
  <c r="G30" i="157" s="1"/>
  <c r="F194" i="156"/>
  <c r="E194" i="156"/>
  <c r="G194" i="156" s="1"/>
  <c r="E193" i="156"/>
  <c r="F192" i="156"/>
  <c r="E192" i="156"/>
  <c r="G192" i="156" s="1"/>
  <c r="G27" i="157" s="1"/>
  <c r="G191" i="156"/>
  <c r="G25" i="157" s="1"/>
  <c r="F191" i="156"/>
  <c r="E191" i="156"/>
  <c r="F190" i="156"/>
  <c r="E190" i="156"/>
  <c r="G190" i="156" s="1"/>
  <c r="G26" i="157" s="1"/>
  <c r="F189" i="156"/>
  <c r="G189" i="156" s="1"/>
  <c r="G24" i="157" s="1"/>
  <c r="E189" i="156"/>
  <c r="F188" i="156"/>
  <c r="E188" i="156"/>
  <c r="G188" i="156" s="1"/>
  <c r="G22" i="157" s="1"/>
  <c r="F187" i="156"/>
  <c r="E187" i="156"/>
  <c r="G187" i="156" s="1"/>
  <c r="G21" i="157" s="1"/>
  <c r="F186" i="156"/>
  <c r="E186" i="156"/>
  <c r="G186" i="156" s="1"/>
  <c r="G20" i="157" s="1"/>
  <c r="F185" i="156"/>
  <c r="E185" i="156"/>
  <c r="G185" i="156" s="1"/>
  <c r="G19" i="157" s="1"/>
  <c r="G184" i="156"/>
  <c r="F184" i="156"/>
  <c r="E184" i="156"/>
  <c r="D183" i="156"/>
  <c r="D206" i="156" s="1"/>
  <c r="D213" i="156" s="1"/>
  <c r="H182" i="156"/>
  <c r="G181" i="156"/>
  <c r="G180" i="156"/>
  <c r="G179" i="156"/>
  <c r="H178" i="156"/>
  <c r="H177" i="156" s="1"/>
  <c r="G176" i="156"/>
  <c r="H175" i="156"/>
  <c r="D170" i="156"/>
  <c r="H169" i="156"/>
  <c r="D168" i="156"/>
  <c r="G167" i="156"/>
  <c r="F167" i="156"/>
  <c r="E167" i="156"/>
  <c r="G165" i="156"/>
  <c r="F46" i="157" s="1"/>
  <c r="G164" i="156"/>
  <c r="D163" i="156"/>
  <c r="F161" i="156"/>
  <c r="E161" i="156"/>
  <c r="G161" i="156" s="1"/>
  <c r="F42" i="157" s="1"/>
  <c r="F160" i="156"/>
  <c r="F159" i="156"/>
  <c r="E159" i="156"/>
  <c r="G159" i="156" s="1"/>
  <c r="F40" i="157" s="1"/>
  <c r="G158" i="156"/>
  <c r="F39" i="157" s="1"/>
  <c r="J39" i="157" s="1"/>
  <c r="F158" i="156"/>
  <c r="E158" i="156"/>
  <c r="F157" i="156"/>
  <c r="G157" i="156" s="1"/>
  <c r="F38" i="157" s="1"/>
  <c r="E157" i="156"/>
  <c r="G156" i="156"/>
  <c r="F37" i="157" s="1"/>
  <c r="F156" i="156"/>
  <c r="E156" i="156"/>
  <c r="F155" i="156"/>
  <c r="E155" i="156"/>
  <c r="G155" i="156" s="1"/>
  <c r="F154" i="156"/>
  <c r="E154" i="156"/>
  <c r="E33" i="154" s="1"/>
  <c r="F153" i="156"/>
  <c r="E153" i="156"/>
  <c r="G153" i="156" s="1"/>
  <c r="F31" i="157" s="1"/>
  <c r="F152" i="156"/>
  <c r="G152" i="156" s="1"/>
  <c r="F29" i="157" s="1"/>
  <c r="E152" i="156"/>
  <c r="E151" i="156"/>
  <c r="G150" i="156"/>
  <c r="F27" i="157" s="1"/>
  <c r="F150" i="156"/>
  <c r="E150" i="156"/>
  <c r="F149" i="156"/>
  <c r="E149" i="156"/>
  <c r="G149" i="156" s="1"/>
  <c r="F22" i="157" s="1"/>
  <c r="F148" i="156"/>
  <c r="F147" i="156"/>
  <c r="E147" i="156"/>
  <c r="G147" i="156" s="1"/>
  <c r="F20" i="157" s="1"/>
  <c r="F146" i="156"/>
  <c r="G146" i="156" s="1"/>
  <c r="F19" i="157" s="1"/>
  <c r="E146" i="156"/>
  <c r="F145" i="156"/>
  <c r="G145" i="156" s="1"/>
  <c r="E145" i="156"/>
  <c r="D144" i="156"/>
  <c r="D162" i="156" s="1"/>
  <c r="G142" i="156"/>
  <c r="F13" i="157" s="1"/>
  <c r="G141" i="156"/>
  <c r="G140" i="156"/>
  <c r="F11" i="157" s="1"/>
  <c r="F10" i="157" s="1"/>
  <c r="F9" i="157" s="1"/>
  <c r="F14" i="157" s="1"/>
  <c r="H139" i="156"/>
  <c r="H138" i="156"/>
  <c r="G137" i="156"/>
  <c r="F7" i="157" s="1"/>
  <c r="F6" i="157" s="1"/>
  <c r="H136" i="156"/>
  <c r="H130" i="156"/>
  <c r="F128" i="156"/>
  <c r="E128" i="156"/>
  <c r="G128" i="156" s="1"/>
  <c r="E51" i="157" s="1"/>
  <c r="G127" i="156"/>
  <c r="E49" i="157" s="1"/>
  <c r="F127" i="156"/>
  <c r="E127" i="156"/>
  <c r="F126" i="156"/>
  <c r="D125" i="156"/>
  <c r="G124" i="156"/>
  <c r="G123" i="156"/>
  <c r="E45" i="157" s="1"/>
  <c r="H122" i="156"/>
  <c r="D121" i="156"/>
  <c r="G120" i="156"/>
  <c r="E42" i="157" s="1"/>
  <c r="F120" i="156"/>
  <c r="E120" i="156"/>
  <c r="F119" i="156"/>
  <c r="E119" i="156"/>
  <c r="G119" i="156" s="1"/>
  <c r="E41" i="157" s="1"/>
  <c r="F118" i="156"/>
  <c r="G118" i="156" s="1"/>
  <c r="E40" i="157" s="1"/>
  <c r="E118" i="156"/>
  <c r="F117" i="156"/>
  <c r="E117" i="156"/>
  <c r="G117" i="156" s="1"/>
  <c r="E37" i="157" s="1"/>
  <c r="F116" i="156"/>
  <c r="E116" i="156"/>
  <c r="G116" i="156" s="1"/>
  <c r="E36" i="157" s="1"/>
  <c r="G115" i="156"/>
  <c r="E31" i="157" s="1"/>
  <c r="F115" i="156"/>
  <c r="E115" i="156"/>
  <c r="F114" i="156"/>
  <c r="F30" i="154" s="1"/>
  <c r="E114" i="156"/>
  <c r="G114" i="156" s="1"/>
  <c r="E30" i="157" s="1"/>
  <c r="F113" i="156"/>
  <c r="E113" i="156"/>
  <c r="F112" i="156"/>
  <c r="G112" i="156" s="1"/>
  <c r="E28" i="157" s="1"/>
  <c r="E112" i="156"/>
  <c r="F111" i="156"/>
  <c r="G111" i="156" s="1"/>
  <c r="E27" i="157" s="1"/>
  <c r="E111" i="156"/>
  <c r="F110" i="156"/>
  <c r="E110" i="156"/>
  <c r="F109" i="156"/>
  <c r="F26" i="154" s="1"/>
  <c r="E109" i="156"/>
  <c r="G109" i="156" s="1"/>
  <c r="E26" i="157" s="1"/>
  <c r="G108" i="156"/>
  <c r="E24" i="157" s="1"/>
  <c r="F108" i="156"/>
  <c r="E108" i="156"/>
  <c r="E24" i="154" s="1"/>
  <c r="F107" i="156"/>
  <c r="F106" i="156"/>
  <c r="G106" i="156" s="1"/>
  <c r="E20" i="157" s="1"/>
  <c r="E106" i="156"/>
  <c r="F105" i="156"/>
  <c r="E105" i="156"/>
  <c r="G105" i="156" s="1"/>
  <c r="E19" i="157" s="1"/>
  <c r="G104" i="156"/>
  <c r="F104" i="156"/>
  <c r="E104" i="156"/>
  <c r="D103" i="156"/>
  <c r="G101" i="156"/>
  <c r="G100" i="156"/>
  <c r="E12" i="157" s="1"/>
  <c r="G99" i="156"/>
  <c r="E11" i="157" s="1"/>
  <c r="E10" i="157" s="1"/>
  <c r="E9" i="157" s="1"/>
  <c r="H98" i="156"/>
  <c r="H97" i="156"/>
  <c r="H102" i="156" s="1"/>
  <c r="G96" i="156"/>
  <c r="E7" i="157" s="1"/>
  <c r="E6" i="157" s="1"/>
  <c r="E15" i="157" s="1"/>
  <c r="H95" i="156"/>
  <c r="H89" i="156"/>
  <c r="D88" i="156"/>
  <c r="D90" i="156" s="1"/>
  <c r="G87" i="156"/>
  <c r="D51" i="157" s="1"/>
  <c r="F86" i="156"/>
  <c r="E86" i="156"/>
  <c r="G86" i="156" s="1"/>
  <c r="D85" i="156"/>
  <c r="G84" i="156"/>
  <c r="E83" i="156"/>
  <c r="E45" i="154" s="1"/>
  <c r="D82" i="156"/>
  <c r="F80" i="156"/>
  <c r="G80" i="156" s="1"/>
  <c r="D42" i="157" s="1"/>
  <c r="E80" i="156"/>
  <c r="F79" i="156"/>
  <c r="F41" i="154" s="1"/>
  <c r="G78" i="156"/>
  <c r="D40" i="157" s="1"/>
  <c r="F78" i="156"/>
  <c r="E78" i="156"/>
  <c r="F77" i="156"/>
  <c r="F38" i="154" s="1"/>
  <c r="E77" i="156"/>
  <c r="G77" i="156" s="1"/>
  <c r="D38" i="157" s="1"/>
  <c r="F76" i="156"/>
  <c r="E76" i="156"/>
  <c r="F75" i="156"/>
  <c r="G75" i="156" s="1"/>
  <c r="D36" i="157" s="1"/>
  <c r="E75" i="156"/>
  <c r="F74" i="156"/>
  <c r="E74" i="156"/>
  <c r="G74" i="156" s="1"/>
  <c r="D34" i="157" s="1"/>
  <c r="G73" i="156"/>
  <c r="F73" i="156"/>
  <c r="E73" i="156"/>
  <c r="F72" i="156"/>
  <c r="F32" i="154" s="1"/>
  <c r="E72" i="156"/>
  <c r="E32" i="154" s="1"/>
  <c r="F71" i="156"/>
  <c r="E71" i="156"/>
  <c r="G71" i="156" s="1"/>
  <c r="D31" i="157" s="1"/>
  <c r="F70" i="156"/>
  <c r="E70" i="156"/>
  <c r="F69" i="156"/>
  <c r="G69" i="156" s="1"/>
  <c r="D29" i="157" s="1"/>
  <c r="E69" i="156"/>
  <c r="E68" i="156"/>
  <c r="F67" i="156"/>
  <c r="E67" i="156"/>
  <c r="G67" i="156" s="1"/>
  <c r="D27" i="157" s="1"/>
  <c r="F66" i="156"/>
  <c r="E66" i="156"/>
  <c r="F65" i="156"/>
  <c r="F24" i="154" s="1"/>
  <c r="G24" i="154" s="1"/>
  <c r="E65" i="156"/>
  <c r="F64" i="156"/>
  <c r="E64" i="156"/>
  <c r="F63" i="156"/>
  <c r="G63" i="156" s="1"/>
  <c r="D22" i="157" s="1"/>
  <c r="J22" i="157" s="1"/>
  <c r="E63" i="156"/>
  <c r="F62" i="156"/>
  <c r="F21" i="154" s="1"/>
  <c r="F61" i="156"/>
  <c r="E61" i="156"/>
  <c r="G61" i="156" s="1"/>
  <c r="D20" i="157" s="1"/>
  <c r="F60" i="156"/>
  <c r="E60" i="156"/>
  <c r="G60" i="156" s="1"/>
  <c r="D19" i="157" s="1"/>
  <c r="F59" i="156"/>
  <c r="E59" i="156"/>
  <c r="G59" i="156" s="1"/>
  <c r="D58" i="156"/>
  <c r="D81" i="156" s="1"/>
  <c r="G56" i="156"/>
  <c r="G55" i="156"/>
  <c r="G54" i="156"/>
  <c r="D11" i="157" s="1"/>
  <c r="H53" i="156"/>
  <c r="H52" i="156"/>
  <c r="G51" i="156"/>
  <c r="D7" i="157" s="1"/>
  <c r="D6" i="157" s="1"/>
  <c r="H50" i="156"/>
  <c r="H44" i="156"/>
  <c r="D43" i="156"/>
  <c r="D45" i="156" s="1"/>
  <c r="G42" i="156"/>
  <c r="C51" i="157" s="1"/>
  <c r="F41" i="156"/>
  <c r="E41" i="156"/>
  <c r="G39" i="156"/>
  <c r="E38" i="156"/>
  <c r="G38" i="156" s="1"/>
  <c r="D37" i="156"/>
  <c r="D36" i="156"/>
  <c r="G35" i="156"/>
  <c r="C42" i="157" s="1"/>
  <c r="J42" i="157" s="1"/>
  <c r="F35" i="156"/>
  <c r="E35" i="156"/>
  <c r="G34" i="156"/>
  <c r="C39" i="157" s="1"/>
  <c r="F34" i="156"/>
  <c r="E34" i="156"/>
  <c r="E39" i="154" s="1"/>
  <c r="F33" i="156"/>
  <c r="E33" i="156"/>
  <c r="G33" i="156" s="1"/>
  <c r="C38" i="157" s="1"/>
  <c r="J38" i="157" s="1"/>
  <c r="G32" i="156"/>
  <c r="F32" i="156"/>
  <c r="E32" i="156"/>
  <c r="F31" i="156"/>
  <c r="E31" i="156"/>
  <c r="G31" i="156" s="1"/>
  <c r="C36" i="157" s="1"/>
  <c r="F30" i="156"/>
  <c r="F35" i="154" s="1"/>
  <c r="E30" i="156"/>
  <c r="F29" i="156"/>
  <c r="E29" i="156"/>
  <c r="F28" i="156"/>
  <c r="F33" i="154" s="1"/>
  <c r="G33" i="154" s="1"/>
  <c r="E28" i="156"/>
  <c r="G27" i="156"/>
  <c r="F27" i="156"/>
  <c r="E27" i="156"/>
  <c r="G26" i="156"/>
  <c r="C31" i="157" s="1"/>
  <c r="F26" i="156"/>
  <c r="E26" i="156"/>
  <c r="F25" i="156"/>
  <c r="E25" i="156"/>
  <c r="F24" i="156"/>
  <c r="E24" i="156"/>
  <c r="F23" i="156"/>
  <c r="F28" i="154" s="1"/>
  <c r="E23" i="156"/>
  <c r="F22" i="156"/>
  <c r="E22" i="156"/>
  <c r="G21" i="156"/>
  <c r="C24" i="157" s="1"/>
  <c r="F21" i="156"/>
  <c r="E21" i="156"/>
  <c r="G20" i="156"/>
  <c r="C22" i="157" s="1"/>
  <c r="F20" i="156"/>
  <c r="E20" i="156"/>
  <c r="F19" i="156"/>
  <c r="F18" i="156"/>
  <c r="E18" i="156"/>
  <c r="G18" i="156" s="1"/>
  <c r="C20" i="157" s="1"/>
  <c r="F17" i="156"/>
  <c r="F19" i="154" s="1"/>
  <c r="E17" i="156"/>
  <c r="F16" i="156"/>
  <c r="F18" i="154" s="1"/>
  <c r="E16" i="156"/>
  <c r="F15" i="156"/>
  <c r="E15" i="156"/>
  <c r="G15" i="156" s="1"/>
  <c r="D14" i="156"/>
  <c r="G12" i="156"/>
  <c r="C13" i="157" s="1"/>
  <c r="G11" i="156"/>
  <c r="G10" i="156"/>
  <c r="H9" i="156"/>
  <c r="H8" i="156"/>
  <c r="F7" i="156"/>
  <c r="E7" i="156"/>
  <c r="G7" i="156" s="1"/>
  <c r="F6" i="156"/>
  <c r="E6" i="156"/>
  <c r="H5" i="156"/>
  <c r="H13" i="156" s="1"/>
  <c r="D368" i="155"/>
  <c r="H360" i="155"/>
  <c r="H359" i="155"/>
  <c r="H358" i="155"/>
  <c r="H357" i="155"/>
  <c r="E354" i="155"/>
  <c r="F352" i="155"/>
  <c r="E352" i="155"/>
  <c r="H352" i="155" s="1"/>
  <c r="F351" i="155"/>
  <c r="E351" i="155"/>
  <c r="H351" i="155" s="1"/>
  <c r="F350" i="155"/>
  <c r="E350" i="155"/>
  <c r="F349" i="155"/>
  <c r="E349" i="155"/>
  <c r="E348" i="155"/>
  <c r="F347" i="155"/>
  <c r="E347" i="155"/>
  <c r="H347" i="155" s="1"/>
  <c r="H343" i="155"/>
  <c r="F343" i="155"/>
  <c r="E343" i="155"/>
  <c r="F342" i="155"/>
  <c r="E342" i="155"/>
  <c r="H342" i="155" s="1"/>
  <c r="H341" i="155" s="1"/>
  <c r="H340" i="155"/>
  <c r="E339" i="155"/>
  <c r="F338" i="155"/>
  <c r="E338" i="155"/>
  <c r="G338" i="155" s="1"/>
  <c r="F337" i="155"/>
  <c r="E337" i="155"/>
  <c r="G337" i="155" s="1"/>
  <c r="F336" i="155"/>
  <c r="F334" i="155"/>
  <c r="E334" i="155"/>
  <c r="G334" i="155" s="1"/>
  <c r="H332" i="155"/>
  <c r="H330" i="155"/>
  <c r="F329" i="155"/>
  <c r="E329" i="155"/>
  <c r="H329" i="155" s="1"/>
  <c r="H328" i="155"/>
  <c r="F328" i="155"/>
  <c r="E328" i="155"/>
  <c r="F327" i="155"/>
  <c r="E327" i="155"/>
  <c r="H327" i="155" s="1"/>
  <c r="F326" i="155"/>
  <c r="E326" i="155"/>
  <c r="D316" i="155"/>
  <c r="H310" i="155"/>
  <c r="H309" i="155"/>
  <c r="F308" i="155"/>
  <c r="H308" i="155" s="1"/>
  <c r="H307" i="155" s="1"/>
  <c r="E308" i="155"/>
  <c r="H306" i="155"/>
  <c r="F303" i="155"/>
  <c r="H303" i="155" s="1"/>
  <c r="H302" i="155" s="1"/>
  <c r="E303" i="155"/>
  <c r="H301" i="155"/>
  <c r="F301" i="155"/>
  <c r="E301" i="155"/>
  <c r="F300" i="155"/>
  <c r="E300" i="155"/>
  <c r="H300" i="155" s="1"/>
  <c r="F299" i="155"/>
  <c r="E299" i="155"/>
  <c r="H299" i="155" s="1"/>
  <c r="F298" i="155"/>
  <c r="E298" i="155"/>
  <c r="H298" i="155" s="1"/>
  <c r="E297" i="155"/>
  <c r="F296" i="155"/>
  <c r="E296" i="155"/>
  <c r="D295" i="155"/>
  <c r="D304" i="155" s="1"/>
  <c r="D317" i="155" s="1"/>
  <c r="F292" i="155"/>
  <c r="E292" i="155"/>
  <c r="H292" i="155" s="1"/>
  <c r="H291" i="155"/>
  <c r="H290" i="155"/>
  <c r="E289" i="155"/>
  <c r="H289" i="155" s="1"/>
  <c r="H288" i="155"/>
  <c r="E287" i="155"/>
  <c r="G286" i="155"/>
  <c r="F286" i="155"/>
  <c r="E286" i="155"/>
  <c r="F285" i="155"/>
  <c r="E285" i="155"/>
  <c r="G285" i="155" s="1"/>
  <c r="F284" i="155"/>
  <c r="E284" i="155"/>
  <c r="G284" i="155" s="1"/>
  <c r="F283" i="155"/>
  <c r="F282" i="155"/>
  <c r="E282" i="155"/>
  <c r="G282" i="155" s="1"/>
  <c r="F281" i="155"/>
  <c r="E281" i="155"/>
  <c r="G280" i="155"/>
  <c r="F280" i="155"/>
  <c r="E280" i="155"/>
  <c r="D279" i="155"/>
  <c r="D277" i="155" s="1"/>
  <c r="D293" i="155" s="1"/>
  <c r="D318" i="155" s="1"/>
  <c r="H278" i="155"/>
  <c r="H276" i="155"/>
  <c r="H275" i="155"/>
  <c r="F275" i="155"/>
  <c r="E275" i="155"/>
  <c r="F274" i="155"/>
  <c r="F273" i="155"/>
  <c r="E273" i="155"/>
  <c r="H273" i="155" s="1"/>
  <c r="F272" i="155"/>
  <c r="H272" i="155" s="1"/>
  <c r="E272" i="155"/>
  <c r="H271" i="155"/>
  <c r="F271" i="155"/>
  <c r="E271" i="155"/>
  <c r="F270" i="155"/>
  <c r="E270" i="155"/>
  <c r="H270" i="155" s="1"/>
  <c r="D269" i="155"/>
  <c r="D268" i="155"/>
  <c r="D260" i="155"/>
  <c r="H254" i="155"/>
  <c r="H253" i="155"/>
  <c r="H252" i="155"/>
  <c r="H251" i="155" s="1"/>
  <c r="E252" i="155"/>
  <c r="H250" i="155"/>
  <c r="E247" i="155"/>
  <c r="F245" i="155"/>
  <c r="E245" i="155"/>
  <c r="H245" i="155" s="1"/>
  <c r="F244" i="155"/>
  <c r="E244" i="155"/>
  <c r="H244" i="155" s="1"/>
  <c r="F243" i="155"/>
  <c r="H243" i="155" s="1"/>
  <c r="E243" i="155"/>
  <c r="F242" i="155"/>
  <c r="H242" i="155" s="1"/>
  <c r="E241" i="155"/>
  <c r="F240" i="155"/>
  <c r="E240" i="155"/>
  <c r="D239" i="155"/>
  <c r="D248" i="155" s="1"/>
  <c r="D261" i="155" s="1"/>
  <c r="F236" i="155"/>
  <c r="H236" i="155" s="1"/>
  <c r="E236" i="155"/>
  <c r="H235" i="155"/>
  <c r="E233" i="155"/>
  <c r="E231" i="155"/>
  <c r="F230" i="155"/>
  <c r="E230" i="155"/>
  <c r="G230" i="155" s="1"/>
  <c r="F229" i="155"/>
  <c r="F228" i="155"/>
  <c r="G228" i="155" s="1"/>
  <c r="E228" i="155"/>
  <c r="G227" i="155"/>
  <c r="H227" i="155" s="1"/>
  <c r="F227" i="155"/>
  <c r="E227" i="155"/>
  <c r="G226" i="155"/>
  <c r="F226" i="155"/>
  <c r="E226" i="155"/>
  <c r="F225" i="155"/>
  <c r="F224" i="155"/>
  <c r="E224" i="155"/>
  <c r="G224" i="155" s="1"/>
  <c r="H225" i="155" s="1"/>
  <c r="D223" i="155"/>
  <c r="H222" i="155"/>
  <c r="D221" i="155"/>
  <c r="H220" i="155"/>
  <c r="H219" i="155"/>
  <c r="F219" i="155"/>
  <c r="E219" i="155"/>
  <c r="F218" i="155"/>
  <c r="F217" i="155"/>
  <c r="E217" i="155"/>
  <c r="H217" i="155" s="1"/>
  <c r="F216" i="155"/>
  <c r="E216" i="155"/>
  <c r="H216" i="155" s="1"/>
  <c r="F215" i="155"/>
  <c r="E215" i="155"/>
  <c r="H215" i="155" s="1"/>
  <c r="F214" i="155"/>
  <c r="F10" i="153" s="1"/>
  <c r="E214" i="155"/>
  <c r="H214" i="155" s="1"/>
  <c r="D213" i="155"/>
  <c r="D212" i="155" s="1"/>
  <c r="D237" i="155" s="1"/>
  <c r="D262" i="155" s="1"/>
  <c r="D204" i="155"/>
  <c r="H198" i="155"/>
  <c r="H197" i="155"/>
  <c r="E196" i="155"/>
  <c r="H194" i="155"/>
  <c r="D192" i="155"/>
  <c r="D205" i="155" s="1"/>
  <c r="F191" i="155"/>
  <c r="E191" i="155"/>
  <c r="F189" i="155"/>
  <c r="H189" i="155" s="1"/>
  <c r="E189" i="155"/>
  <c r="H188" i="155"/>
  <c r="F188" i="155"/>
  <c r="E188" i="155"/>
  <c r="F187" i="155"/>
  <c r="E187" i="155"/>
  <c r="H186" i="155"/>
  <c r="F186" i="155"/>
  <c r="F41" i="153" s="1"/>
  <c r="E186" i="155"/>
  <c r="F185" i="155"/>
  <c r="E184" i="155"/>
  <c r="F183" i="155"/>
  <c r="H183" i="155" s="1"/>
  <c r="E183" i="155"/>
  <c r="D182" i="155"/>
  <c r="H179" i="155"/>
  <c r="E178" i="155"/>
  <c r="H177" i="155"/>
  <c r="D177" i="155"/>
  <c r="E176" i="155"/>
  <c r="F175" i="155"/>
  <c r="G175" i="155" s="1"/>
  <c r="E175" i="155"/>
  <c r="F174" i="155"/>
  <c r="F173" i="155"/>
  <c r="E173" i="155"/>
  <c r="G173" i="155" s="1"/>
  <c r="H174" i="155" s="1"/>
  <c r="F172" i="155"/>
  <c r="F171" i="155"/>
  <c r="E171" i="155"/>
  <c r="G171" i="155" s="1"/>
  <c r="F170" i="155"/>
  <c r="E170" i="155"/>
  <c r="G170" i="155" s="1"/>
  <c r="F169" i="155"/>
  <c r="E169" i="155"/>
  <c r="D168" i="155"/>
  <c r="H167" i="155"/>
  <c r="H165" i="155"/>
  <c r="F164" i="155"/>
  <c r="E164" i="155"/>
  <c r="H164" i="155" s="1"/>
  <c r="F163" i="155"/>
  <c r="F15" i="153" s="1"/>
  <c r="F162" i="155"/>
  <c r="H162" i="155" s="1"/>
  <c r="E162" i="155"/>
  <c r="F161" i="155"/>
  <c r="E161" i="155"/>
  <c r="F160" i="155"/>
  <c r="H160" i="155" s="1"/>
  <c r="E160" i="155"/>
  <c r="F159" i="155"/>
  <c r="E159" i="155"/>
  <c r="H159" i="155" s="1"/>
  <c r="D158" i="155"/>
  <c r="D157" i="155"/>
  <c r="D150" i="155"/>
  <c r="D149" i="155"/>
  <c r="H143" i="155"/>
  <c r="H142" i="155"/>
  <c r="F141" i="155"/>
  <c r="E141" i="155"/>
  <c r="H141" i="155" s="1"/>
  <c r="H140" i="155"/>
  <c r="H139" i="155"/>
  <c r="D137" i="155"/>
  <c r="H136" i="155"/>
  <c r="F135" i="155"/>
  <c r="E135" i="155"/>
  <c r="H135" i="155" s="1"/>
  <c r="F134" i="155"/>
  <c r="E134" i="155"/>
  <c r="H134" i="155" s="1"/>
  <c r="F133" i="155"/>
  <c r="E133" i="155"/>
  <c r="H133" i="155" s="1"/>
  <c r="D131" i="155"/>
  <c r="H128" i="155"/>
  <c r="H127" i="155" s="1"/>
  <c r="H123" i="155" s="1"/>
  <c r="H129" i="155" s="1"/>
  <c r="F128" i="155"/>
  <c r="E128" i="155"/>
  <c r="H126" i="155"/>
  <c r="H125" i="155"/>
  <c r="H124" i="155"/>
  <c r="D123" i="155"/>
  <c r="H122" i="155"/>
  <c r="F121" i="155"/>
  <c r="E121" i="155"/>
  <c r="H121" i="155" s="1"/>
  <c r="F120" i="155"/>
  <c r="H119" i="155"/>
  <c r="F119" i="155"/>
  <c r="E119" i="155"/>
  <c r="H118" i="155"/>
  <c r="H117" i="155" s="1"/>
  <c r="D118" i="155"/>
  <c r="D117" i="155" s="1"/>
  <c r="D129" i="155" s="1"/>
  <c r="D109" i="155"/>
  <c r="H103" i="155"/>
  <c r="H102" i="155"/>
  <c r="E101" i="155"/>
  <c r="H101" i="155" s="1"/>
  <c r="H100" i="155"/>
  <c r="H99" i="155"/>
  <c r="D97" i="155"/>
  <c r="D110" i="155" s="1"/>
  <c r="E96" i="155"/>
  <c r="H96" i="155" s="1"/>
  <c r="H95" i="155" s="1"/>
  <c r="F94" i="155"/>
  <c r="H94" i="155" s="1"/>
  <c r="E94" i="155"/>
  <c r="H93" i="155"/>
  <c r="F93" i="155"/>
  <c r="F45" i="153" s="1"/>
  <c r="E93" i="155"/>
  <c r="F92" i="155"/>
  <c r="F44" i="153" s="1"/>
  <c r="E92" i="155"/>
  <c r="H92" i="155" s="1"/>
  <c r="F91" i="155"/>
  <c r="E91" i="155"/>
  <c r="H91" i="155" s="1"/>
  <c r="F90" i="155"/>
  <c r="E90" i="155"/>
  <c r="F89" i="155"/>
  <c r="E89" i="155"/>
  <c r="E88" i="155"/>
  <c r="F87" i="155"/>
  <c r="F38" i="153" s="1"/>
  <c r="E87" i="155"/>
  <c r="D86" i="155"/>
  <c r="H83" i="155"/>
  <c r="F83" i="155"/>
  <c r="E83" i="155"/>
  <c r="F82" i="155"/>
  <c r="H82" i="155" s="1"/>
  <c r="E82" i="155"/>
  <c r="H81" i="155"/>
  <c r="H80" i="155"/>
  <c r="E79" i="155"/>
  <c r="F78" i="155"/>
  <c r="E78" i="155"/>
  <c r="H77" i="155"/>
  <c r="F77" i="155"/>
  <c r="F76" i="155"/>
  <c r="G76" i="155" s="1"/>
  <c r="E76" i="155"/>
  <c r="F75" i="155"/>
  <c r="F74" i="155"/>
  <c r="G74" i="155" s="1"/>
  <c r="E74" i="155"/>
  <c r="F73" i="155"/>
  <c r="G73" i="155" s="1"/>
  <c r="E73" i="155"/>
  <c r="F72" i="155"/>
  <c r="E72" i="155"/>
  <c r="D71" i="155"/>
  <c r="H70" i="155"/>
  <c r="D69" i="155"/>
  <c r="H68" i="155"/>
  <c r="H67" i="155"/>
  <c r="F67" i="155"/>
  <c r="E67" i="155"/>
  <c r="F66" i="155"/>
  <c r="F65" i="155"/>
  <c r="F14" i="153" s="1"/>
  <c r="E65" i="155"/>
  <c r="H64" i="155"/>
  <c r="F64" i="155"/>
  <c r="E64" i="155"/>
  <c r="H63" i="155"/>
  <c r="F63" i="155"/>
  <c r="E63" i="155"/>
  <c r="H62" i="155"/>
  <c r="F62" i="155"/>
  <c r="E62" i="155"/>
  <c r="D61" i="155"/>
  <c r="D60" i="155"/>
  <c r="D84" i="155" s="1"/>
  <c r="D111" i="155" s="1"/>
  <c r="D52" i="155"/>
  <c r="D47" i="155"/>
  <c r="H46" i="155"/>
  <c r="H45" i="155"/>
  <c r="H44" i="155"/>
  <c r="H43" i="155" s="1"/>
  <c r="F44" i="155"/>
  <c r="E44" i="155"/>
  <c r="H42" i="155"/>
  <c r="H41" i="155"/>
  <c r="F38" i="155"/>
  <c r="E38" i="155"/>
  <c r="F36" i="155"/>
  <c r="F47" i="153" s="1"/>
  <c r="E36" i="155"/>
  <c r="H36" i="155" s="1"/>
  <c r="F35" i="155"/>
  <c r="F46" i="153" s="1"/>
  <c r="E35" i="155"/>
  <c r="H35" i="155" s="1"/>
  <c r="F34" i="155"/>
  <c r="E34" i="155"/>
  <c r="H33" i="155"/>
  <c r="F33" i="155"/>
  <c r="E33" i="155"/>
  <c r="F32" i="155"/>
  <c r="E31" i="155"/>
  <c r="D30" i="155"/>
  <c r="D39" i="155" s="1"/>
  <c r="D53" i="155" s="1"/>
  <c r="F27" i="155"/>
  <c r="F34" i="153" s="1"/>
  <c r="E27" i="155"/>
  <c r="F26" i="155"/>
  <c r="E26" i="155"/>
  <c r="F25" i="155"/>
  <c r="E25" i="155"/>
  <c r="D24" i="155"/>
  <c r="G21" i="155"/>
  <c r="F21" i="155"/>
  <c r="E21" i="155"/>
  <c r="F20" i="155"/>
  <c r="G20" i="155" s="1"/>
  <c r="H21" i="155" s="1"/>
  <c r="E20" i="155"/>
  <c r="F19" i="155"/>
  <c r="F18" i="155"/>
  <c r="F21" i="153" s="1"/>
  <c r="E18" i="155"/>
  <c r="F17" i="155"/>
  <c r="F26" i="153" s="1"/>
  <c r="G16" i="155"/>
  <c r="F16" i="155"/>
  <c r="E16" i="155"/>
  <c r="D15" i="155"/>
  <c r="D13" i="155" s="1"/>
  <c r="D28" i="155" s="1"/>
  <c r="D54" i="155" s="1"/>
  <c r="H14" i="155"/>
  <c r="H12" i="155"/>
  <c r="F11" i="155"/>
  <c r="F10" i="155"/>
  <c r="E10" i="155"/>
  <c r="H9" i="155"/>
  <c r="F9" i="155"/>
  <c r="E9" i="155"/>
  <c r="F8" i="155"/>
  <c r="E8" i="155"/>
  <c r="H8" i="155" s="1"/>
  <c r="F7" i="155"/>
  <c r="F11" i="153" s="1"/>
  <c r="E7" i="155"/>
  <c r="D6" i="155"/>
  <c r="D5" i="155" s="1"/>
  <c r="F52" i="154"/>
  <c r="C52" i="154"/>
  <c r="E51" i="154"/>
  <c r="F50" i="154"/>
  <c r="E50" i="154"/>
  <c r="C50" i="154"/>
  <c r="G50" i="154" s="1"/>
  <c r="F49" i="154"/>
  <c r="C49" i="154"/>
  <c r="F48" i="154"/>
  <c r="C48" i="154"/>
  <c r="D47" i="154"/>
  <c r="G46" i="154"/>
  <c r="F46" i="154"/>
  <c r="E46" i="154"/>
  <c r="C46" i="154"/>
  <c r="C45" i="154"/>
  <c r="D44" i="154"/>
  <c r="E42" i="154"/>
  <c r="C42" i="154"/>
  <c r="C41" i="154"/>
  <c r="F40" i="154"/>
  <c r="C40" i="154"/>
  <c r="C39" i="154"/>
  <c r="C38" i="154"/>
  <c r="C37" i="154"/>
  <c r="G37" i="154" s="1"/>
  <c r="F36" i="154"/>
  <c r="C36" i="154"/>
  <c r="C35" i="154"/>
  <c r="C34" i="154"/>
  <c r="C33" i="154"/>
  <c r="C32" i="154"/>
  <c r="F31" i="154"/>
  <c r="C31" i="154"/>
  <c r="C30" i="154"/>
  <c r="C29" i="154"/>
  <c r="C28" i="154"/>
  <c r="C27" i="154"/>
  <c r="C26" i="154"/>
  <c r="F25" i="154"/>
  <c r="C25" i="154"/>
  <c r="C24" i="154"/>
  <c r="F23" i="154"/>
  <c r="E23" i="154"/>
  <c r="G23" i="154" s="1"/>
  <c r="C23" i="154"/>
  <c r="F22" i="154"/>
  <c r="E22" i="154"/>
  <c r="G22" i="154" s="1"/>
  <c r="C22" i="154"/>
  <c r="C21" i="154"/>
  <c r="C20" i="154"/>
  <c r="C19" i="154"/>
  <c r="E18" i="154"/>
  <c r="C18" i="154"/>
  <c r="F17" i="154"/>
  <c r="C17" i="154"/>
  <c r="G14" i="154"/>
  <c r="C14" i="154"/>
  <c r="G13" i="154"/>
  <c r="C13" i="154"/>
  <c r="D11" i="154" s="1"/>
  <c r="D10" i="154" s="1"/>
  <c r="G12" i="154"/>
  <c r="C12" i="154"/>
  <c r="F9" i="154"/>
  <c r="E9" i="154"/>
  <c r="C9" i="154"/>
  <c r="G9" i="154" s="1"/>
  <c r="F8" i="154"/>
  <c r="C8" i="154"/>
  <c r="E60" i="153"/>
  <c r="D60" i="153"/>
  <c r="F59" i="153"/>
  <c r="D59" i="153"/>
  <c r="D58" i="153"/>
  <c r="H57" i="153"/>
  <c r="H56" i="153"/>
  <c r="F55" i="153"/>
  <c r="E55" i="153"/>
  <c r="H55" i="153" s="1"/>
  <c r="D55" i="153"/>
  <c r="H54" i="153"/>
  <c r="D54" i="153"/>
  <c r="H53" i="153"/>
  <c r="H52" i="153" s="1"/>
  <c r="D53" i="153"/>
  <c r="D52" i="153"/>
  <c r="D49" i="153"/>
  <c r="D48" i="153"/>
  <c r="D47" i="153"/>
  <c r="D46" i="153"/>
  <c r="H45" i="153"/>
  <c r="E45" i="153"/>
  <c r="D45" i="153"/>
  <c r="D44" i="153"/>
  <c r="F43" i="153"/>
  <c r="D43" i="153"/>
  <c r="D42" i="153"/>
  <c r="E41" i="153"/>
  <c r="D41" i="153"/>
  <c r="H41" i="153" s="1"/>
  <c r="D40" i="153"/>
  <c r="D39" i="153"/>
  <c r="D38" i="153"/>
  <c r="D34" i="153"/>
  <c r="F33" i="153"/>
  <c r="D33" i="153"/>
  <c r="E32" i="153"/>
  <c r="D32" i="153"/>
  <c r="D31" i="153"/>
  <c r="D30" i="153"/>
  <c r="D29" i="153"/>
  <c r="C28" i="153"/>
  <c r="C27" i="153"/>
  <c r="C26" i="153"/>
  <c r="F25" i="153"/>
  <c r="C25" i="153"/>
  <c r="C24" i="153"/>
  <c r="D24" i="153" s="1"/>
  <c r="C23" i="153"/>
  <c r="C22" i="153"/>
  <c r="E21" i="153"/>
  <c r="C21" i="153"/>
  <c r="D19" i="153"/>
  <c r="H17" i="153"/>
  <c r="D17" i="153"/>
  <c r="D16" i="153"/>
  <c r="D15" i="153"/>
  <c r="D14" i="153"/>
  <c r="F13" i="153"/>
  <c r="E13" i="153"/>
  <c r="D13" i="153"/>
  <c r="H13" i="153" s="1"/>
  <c r="D12" i="153"/>
  <c r="E11" i="153"/>
  <c r="D11" i="153"/>
  <c r="H11" i="153" s="1"/>
  <c r="D10" i="153"/>
  <c r="D9" i="153" s="1"/>
  <c r="D8" i="153" s="1"/>
  <c r="Q106" i="152"/>
  <c r="F339" i="155" s="1"/>
  <c r="O106" i="152"/>
  <c r="F287" i="155" s="1"/>
  <c r="M106" i="152"/>
  <c r="F231" i="155" s="1"/>
  <c r="K106" i="152"/>
  <c r="F176" i="155" s="1"/>
  <c r="G176" i="155" s="1"/>
  <c r="G106" i="152"/>
  <c r="F79" i="155" s="1"/>
  <c r="G79" i="155" s="1"/>
  <c r="E106" i="152"/>
  <c r="Q104" i="152"/>
  <c r="F280" i="156" s="1"/>
  <c r="G280" i="156" s="1"/>
  <c r="H279" i="156" s="1"/>
  <c r="O104" i="152"/>
  <c r="F250" i="156" s="1"/>
  <c r="M104" i="152"/>
  <c r="F208" i="156" s="1"/>
  <c r="G104" i="152"/>
  <c r="F83" i="156" s="1"/>
  <c r="E104" i="152"/>
  <c r="F38" i="156" s="1"/>
  <c r="Q102" i="152"/>
  <c r="F354" i="155" s="1"/>
  <c r="H354" i="155" s="1"/>
  <c r="H353" i="155" s="1"/>
  <c r="O102" i="152"/>
  <c r="M102" i="152"/>
  <c r="F247" i="155" s="1"/>
  <c r="H247" i="155" s="1"/>
  <c r="H246" i="155" s="1"/>
  <c r="K102" i="152"/>
  <c r="G102" i="152"/>
  <c r="F96" i="155" s="1"/>
  <c r="K96" i="152"/>
  <c r="N91" i="152"/>
  <c r="L91" i="152"/>
  <c r="J91" i="152"/>
  <c r="H91" i="152"/>
  <c r="E107" i="156" s="1"/>
  <c r="G107" i="156" s="1"/>
  <c r="F91" i="152"/>
  <c r="E62" i="156" s="1"/>
  <c r="G62" i="156" s="1"/>
  <c r="D21" i="157" s="1"/>
  <c r="D91" i="152"/>
  <c r="Q81" i="152"/>
  <c r="O81" i="152"/>
  <c r="M81" i="152"/>
  <c r="K81" i="152"/>
  <c r="I81" i="152"/>
  <c r="F132" i="155" s="1"/>
  <c r="G81" i="152"/>
  <c r="E81" i="152"/>
  <c r="Q78" i="152"/>
  <c r="F348" i="155" s="1"/>
  <c r="H348" i="155" s="1"/>
  <c r="E78" i="152"/>
  <c r="O74" i="152"/>
  <c r="M74" i="152"/>
  <c r="K74" i="152"/>
  <c r="E73" i="152"/>
  <c r="E74" i="152" s="1"/>
  <c r="O70" i="152"/>
  <c r="M70" i="152"/>
  <c r="K70" i="152"/>
  <c r="G70" i="152"/>
  <c r="E70" i="152"/>
  <c r="Q67" i="152"/>
  <c r="F335" i="155" s="1"/>
  <c r="P66" i="152"/>
  <c r="O63" i="152"/>
  <c r="O62" i="152"/>
  <c r="F289" i="155" s="1"/>
  <c r="M62" i="152"/>
  <c r="M63" i="152" s="1"/>
  <c r="K62" i="152"/>
  <c r="F178" i="155" s="1"/>
  <c r="H178" i="155" s="1"/>
  <c r="O61" i="152"/>
  <c r="M61" i="152"/>
  <c r="F203" i="156" s="1"/>
  <c r="K61" i="152"/>
  <c r="K63" i="152" s="1"/>
  <c r="P58" i="152"/>
  <c r="N58" i="152"/>
  <c r="E283" i="155" s="1"/>
  <c r="G283" i="155" s="1"/>
  <c r="L58" i="152"/>
  <c r="J58" i="152"/>
  <c r="E172" i="155" s="1"/>
  <c r="G172" i="155" s="1"/>
  <c r="F58" i="152"/>
  <c r="E75" i="155" s="1"/>
  <c r="D58" i="152"/>
  <c r="E17" i="155" s="1"/>
  <c r="P57" i="152"/>
  <c r="N57" i="152"/>
  <c r="L57" i="152"/>
  <c r="E225" i="155" s="1"/>
  <c r="G225" i="155" s="1"/>
  <c r="J57" i="152"/>
  <c r="F57" i="152"/>
  <c r="D57" i="152"/>
  <c r="P56" i="152"/>
  <c r="N56" i="152"/>
  <c r="O59" i="152" s="1"/>
  <c r="L56" i="152"/>
  <c r="E229" i="155" s="1"/>
  <c r="G229" i="155" s="1"/>
  <c r="H229" i="155" s="1"/>
  <c r="J56" i="152"/>
  <c r="E174" i="155" s="1"/>
  <c r="G174" i="155" s="1"/>
  <c r="F56" i="152"/>
  <c r="E77" i="155" s="1"/>
  <c r="G77" i="155" s="1"/>
  <c r="D56" i="152"/>
  <c r="E19" i="155" s="1"/>
  <c r="Q55" i="152"/>
  <c r="F272" i="156" s="1"/>
  <c r="O55" i="152"/>
  <c r="M55" i="152"/>
  <c r="F193" i="156" s="1"/>
  <c r="G193" i="156" s="1"/>
  <c r="G28" i="157" s="1"/>
  <c r="K55" i="152"/>
  <c r="F151" i="156" s="1"/>
  <c r="G151" i="156" s="1"/>
  <c r="F28" i="157" s="1"/>
  <c r="G55" i="152"/>
  <c r="F68" i="156" s="1"/>
  <c r="G68" i="156" s="1"/>
  <c r="D28" i="157" s="1"/>
  <c r="E55" i="152"/>
  <c r="Q52" i="152"/>
  <c r="D51" i="152"/>
  <c r="E11" i="155" s="1"/>
  <c r="H11" i="155" s="1"/>
  <c r="P50" i="152"/>
  <c r="E336" i="155" s="1"/>
  <c r="G336" i="155" s="1"/>
  <c r="H337" i="155" s="1"/>
  <c r="P49" i="152"/>
  <c r="O46" i="152"/>
  <c r="M46" i="152"/>
  <c r="F252" i="155" s="1"/>
  <c r="K46" i="152"/>
  <c r="F196" i="155" s="1"/>
  <c r="G46" i="152"/>
  <c r="F101" i="155" s="1"/>
  <c r="V35" i="152"/>
  <c r="D34" i="152"/>
  <c r="E23" i="155" s="1"/>
  <c r="W31" i="152"/>
  <c r="F30" i="152" s="1"/>
  <c r="G31" i="152"/>
  <c r="X28" i="152"/>
  <c r="L25" i="152" s="1"/>
  <c r="E218" i="155" s="1"/>
  <c r="H218" i="155" s="1"/>
  <c r="W28" i="152"/>
  <c r="J25" i="152" s="1"/>
  <c r="E163" i="155" s="1"/>
  <c r="V28" i="152"/>
  <c r="F25" i="152" s="1"/>
  <c r="E66" i="155" s="1"/>
  <c r="Y27" i="152"/>
  <c r="X27" i="152"/>
  <c r="W27" i="152"/>
  <c r="Y26" i="152"/>
  <c r="X26" i="152"/>
  <c r="W26" i="152"/>
  <c r="V26" i="152"/>
  <c r="V27" i="152" s="1"/>
  <c r="F24" i="152" s="1"/>
  <c r="G26" i="152"/>
  <c r="N24" i="152"/>
  <c r="L24" i="152"/>
  <c r="E205" i="156" s="1"/>
  <c r="G205" i="156" s="1"/>
  <c r="G41" i="157" s="1"/>
  <c r="J24" i="152"/>
  <c r="E160" i="156" s="1"/>
  <c r="G160" i="156" s="1"/>
  <c r="F41" i="157" s="1"/>
  <c r="H21" i="152"/>
  <c r="E126" i="156" s="1"/>
  <c r="H18" i="152"/>
  <c r="E120" i="155" s="1"/>
  <c r="H120" i="155" s="1"/>
  <c r="H17" i="152"/>
  <c r="I15" i="152"/>
  <c r="O12" i="152"/>
  <c r="M12" i="152"/>
  <c r="K12" i="152"/>
  <c r="G12" i="152"/>
  <c r="E12" i="152"/>
  <c r="N11" i="152"/>
  <c r="L11" i="152"/>
  <c r="E242" i="155" s="1"/>
  <c r="J11" i="152"/>
  <c r="E185" i="155" s="1"/>
  <c r="H185" i="155" s="1"/>
  <c r="F11" i="152"/>
  <c r="D11" i="152"/>
  <c r="N10" i="152"/>
  <c r="L10" i="152"/>
  <c r="J10" i="152"/>
  <c r="F10" i="152"/>
  <c r="D10" i="152"/>
  <c r="M7" i="152"/>
  <c r="K7" i="152"/>
  <c r="G7" i="152"/>
  <c r="E7" i="152"/>
  <c r="E12" i="108" l="1"/>
  <c r="F12" i="108"/>
  <c r="E11" i="108"/>
  <c r="E9" i="108" s="1"/>
  <c r="H172" i="155"/>
  <c r="G287" i="155"/>
  <c r="G23" i="156"/>
  <c r="C28" i="157" s="1"/>
  <c r="H210" i="156"/>
  <c r="G50" i="157"/>
  <c r="E148" i="156"/>
  <c r="G148" i="156" s="1"/>
  <c r="E246" i="156"/>
  <c r="G246" i="156" s="1"/>
  <c r="H41" i="157" s="1"/>
  <c r="H12" i="153"/>
  <c r="G17" i="157"/>
  <c r="D26" i="153"/>
  <c r="H34" i="153"/>
  <c r="E25" i="153"/>
  <c r="G25" i="153" s="1"/>
  <c r="H26" i="153" s="1"/>
  <c r="E46" i="153"/>
  <c r="H296" i="155"/>
  <c r="E38" i="153"/>
  <c r="J51" i="157"/>
  <c r="H10" i="157"/>
  <c r="H9" i="157" s="1"/>
  <c r="H14" i="157" s="1"/>
  <c r="D17" i="157"/>
  <c r="H287" i="155"/>
  <c r="J40" i="157"/>
  <c r="H42" i="153"/>
  <c r="H90" i="155"/>
  <c r="E42" i="153"/>
  <c r="J36" i="157"/>
  <c r="E29" i="154"/>
  <c r="G24" i="156"/>
  <c r="C29" i="157" s="1"/>
  <c r="J29" i="157" s="1"/>
  <c r="G59" i="152"/>
  <c r="E28" i="153"/>
  <c r="G16" i="156"/>
  <c r="C18" i="157" s="1"/>
  <c r="J18" i="157" s="1"/>
  <c r="E35" i="152"/>
  <c r="F31" i="155" s="1"/>
  <c r="K59" i="152"/>
  <c r="K109" i="152" s="1"/>
  <c r="H32" i="153"/>
  <c r="G272" i="156"/>
  <c r="I28" i="157" s="1"/>
  <c r="H26" i="155"/>
  <c r="E33" i="153"/>
  <c r="H33" i="153" s="1"/>
  <c r="K26" i="152"/>
  <c r="F22" i="153"/>
  <c r="E8" i="154"/>
  <c r="G8" i="154" s="1"/>
  <c r="H7" i="154" s="1"/>
  <c r="H15" i="154" s="1"/>
  <c r="G6" i="156"/>
  <c r="C7" i="157" s="1"/>
  <c r="H27" i="155"/>
  <c r="E34" i="153"/>
  <c r="G65" i="156"/>
  <c r="D24" i="157" s="1"/>
  <c r="G109" i="152"/>
  <c r="E79" i="156"/>
  <c r="H46" i="153"/>
  <c r="H283" i="155"/>
  <c r="J32" i="157"/>
  <c r="D37" i="153"/>
  <c r="D50" i="153" s="1"/>
  <c r="D62" i="153" s="1"/>
  <c r="E17" i="154"/>
  <c r="G17" i="154" s="1"/>
  <c r="E36" i="154"/>
  <c r="G36" i="154" s="1"/>
  <c r="G26" i="153"/>
  <c r="E48" i="154"/>
  <c r="G48" i="154" s="1"/>
  <c r="G41" i="156"/>
  <c r="E27" i="153"/>
  <c r="G78" i="155"/>
  <c r="H79" i="155" s="1"/>
  <c r="I17" i="157"/>
  <c r="G19" i="155"/>
  <c r="E59" i="152"/>
  <c r="H19" i="153"/>
  <c r="F23" i="155"/>
  <c r="H23" i="155"/>
  <c r="H22" i="155" s="1"/>
  <c r="E30" i="153"/>
  <c r="D22" i="153"/>
  <c r="D20" i="153" s="1"/>
  <c r="D18" i="153" s="1"/>
  <c r="D35" i="153" s="1"/>
  <c r="D63" i="153" s="1"/>
  <c r="G21" i="153"/>
  <c r="G32" i="154"/>
  <c r="G240" i="156"/>
  <c r="H31" i="157" s="1"/>
  <c r="E31" i="154"/>
  <c r="G31" i="154" s="1"/>
  <c r="D151" i="155"/>
  <c r="E19" i="154"/>
  <c r="G19" i="154" s="1"/>
  <c r="G17" i="156"/>
  <c r="C19" i="157" s="1"/>
  <c r="J19" i="157" s="1"/>
  <c r="G72" i="156"/>
  <c r="D32" i="157" s="1"/>
  <c r="H252" i="156"/>
  <c r="H50" i="157"/>
  <c r="H47" i="157" s="1"/>
  <c r="G47" i="157"/>
  <c r="E32" i="155"/>
  <c r="E109" i="152"/>
  <c r="M59" i="152"/>
  <c r="E23" i="153"/>
  <c r="G23" i="153" s="1"/>
  <c r="G72" i="155"/>
  <c r="H73" i="155" s="1"/>
  <c r="H71" i="155" s="1"/>
  <c r="H69" i="155" s="1"/>
  <c r="D15" i="157"/>
  <c r="I47" i="157"/>
  <c r="E24" i="153"/>
  <c r="G24" i="153" s="1"/>
  <c r="G281" i="155"/>
  <c r="H281" i="155" s="1"/>
  <c r="H279" i="155" s="1"/>
  <c r="H277" i="155" s="1"/>
  <c r="M26" i="152"/>
  <c r="M109" i="152" s="1"/>
  <c r="F24" i="153"/>
  <c r="G66" i="156"/>
  <c r="D26" i="157" s="1"/>
  <c r="J26" i="157" s="1"/>
  <c r="E26" i="154"/>
  <c r="G26" i="154" s="1"/>
  <c r="F88" i="155"/>
  <c r="H88" i="155" s="1"/>
  <c r="H14" i="153"/>
  <c r="F184" i="155"/>
  <c r="H184" i="155" s="1"/>
  <c r="H182" i="155" s="1"/>
  <c r="H192" i="155" s="1"/>
  <c r="H38" i="153"/>
  <c r="H7" i="155"/>
  <c r="H350" i="155"/>
  <c r="F42" i="153"/>
  <c r="F42" i="154"/>
  <c r="G42" i="154" s="1"/>
  <c r="J12" i="157"/>
  <c r="F27" i="154"/>
  <c r="H37" i="156"/>
  <c r="C45" i="157"/>
  <c r="G238" i="156"/>
  <c r="H28" i="157" s="1"/>
  <c r="E28" i="154"/>
  <c r="G28" i="154" s="1"/>
  <c r="D7" i="154"/>
  <c r="D15" i="154" s="1"/>
  <c r="D16" i="154"/>
  <c r="G18" i="154"/>
  <c r="H65" i="155"/>
  <c r="H187" i="155"/>
  <c r="E43" i="153"/>
  <c r="H43" i="153" s="1"/>
  <c r="J24" i="157"/>
  <c r="G28" i="156"/>
  <c r="C33" i="157" s="1"/>
  <c r="I45" i="157"/>
  <c r="I44" i="157" s="1"/>
  <c r="G75" i="155"/>
  <c r="H75" i="155" s="1"/>
  <c r="E26" i="153"/>
  <c r="D61" i="153"/>
  <c r="H87" i="155"/>
  <c r="H163" i="155"/>
  <c r="J13" i="157"/>
  <c r="G22" i="156"/>
  <c r="C27" i="157" s="1"/>
  <c r="E27" i="154"/>
  <c r="G27" i="154" s="1"/>
  <c r="H66" i="155"/>
  <c r="H61" i="155" s="1"/>
  <c r="H60" i="155" s="1"/>
  <c r="H84" i="155" s="1"/>
  <c r="H213" i="155"/>
  <c r="H212" i="155" s="1"/>
  <c r="G339" i="155"/>
  <c r="E40" i="154"/>
  <c r="G40" i="154" s="1"/>
  <c r="H176" i="155"/>
  <c r="C17" i="157"/>
  <c r="G30" i="156"/>
  <c r="C35" i="157" s="1"/>
  <c r="J35" i="157" s="1"/>
  <c r="E35" i="154"/>
  <c r="G35" i="154" s="1"/>
  <c r="E14" i="157"/>
  <c r="F12" i="153"/>
  <c r="Q59" i="152"/>
  <c r="Q109" i="152" s="1"/>
  <c r="G231" i="155"/>
  <c r="G20" i="154"/>
  <c r="E49" i="153"/>
  <c r="H49" i="153" s="1"/>
  <c r="H48" i="153" s="1"/>
  <c r="E20" i="154"/>
  <c r="E52" i="154"/>
  <c r="G52" i="154" s="1"/>
  <c r="H38" i="155"/>
  <c r="H37" i="155" s="1"/>
  <c r="D166" i="155"/>
  <c r="D180" i="155" s="1"/>
  <c r="D206" i="155" s="1"/>
  <c r="F233" i="155"/>
  <c r="J31" i="157"/>
  <c r="G83" i="156"/>
  <c r="J46" i="157"/>
  <c r="H191" i="155"/>
  <c r="H190" i="155" s="1"/>
  <c r="F27" i="153"/>
  <c r="H233" i="155"/>
  <c r="H232" i="155" s="1"/>
  <c r="H11" i="154"/>
  <c r="H10" i="154" s="1"/>
  <c r="H234" i="155"/>
  <c r="G154" i="156"/>
  <c r="F33" i="157" s="1"/>
  <c r="G198" i="156"/>
  <c r="G33" i="157" s="1"/>
  <c r="F20" i="154"/>
  <c r="E14" i="153"/>
  <c r="H10" i="155"/>
  <c r="E132" i="155"/>
  <c r="I109" i="152"/>
  <c r="E38" i="154"/>
  <c r="G38" i="154" s="1"/>
  <c r="F28" i="153"/>
  <c r="G28" i="153" s="1"/>
  <c r="E335" i="155"/>
  <c r="G335" i="155" s="1"/>
  <c r="H335" i="155" s="1"/>
  <c r="H333" i="155" s="1"/>
  <c r="H331" i="155" s="1"/>
  <c r="F39" i="154"/>
  <c r="G39" i="154" s="1"/>
  <c r="G76" i="156"/>
  <c r="D37" i="157" s="1"/>
  <c r="J37" i="157" s="1"/>
  <c r="E17" i="157"/>
  <c r="E16" i="157" s="1"/>
  <c r="E43" i="157" s="1"/>
  <c r="E52" i="157" s="1"/>
  <c r="E54" i="157" s="1"/>
  <c r="H15" i="157"/>
  <c r="J11" i="157"/>
  <c r="J10" i="157" s="1"/>
  <c r="J9" i="157" s="1"/>
  <c r="G250" i="156"/>
  <c r="G276" i="156"/>
  <c r="I37" i="157" s="1"/>
  <c r="H196" i="155"/>
  <c r="H195" i="155" s="1"/>
  <c r="H285" i="155"/>
  <c r="D50" i="157"/>
  <c r="J50" i="157" s="1"/>
  <c r="H85" i="156"/>
  <c r="H231" i="155"/>
  <c r="H223" i="155" s="1"/>
  <c r="H221" i="155" s="1"/>
  <c r="F29" i="154"/>
  <c r="G29" i="154" s="1"/>
  <c r="G25" i="154"/>
  <c r="G51" i="154"/>
  <c r="E10" i="153"/>
  <c r="H10" i="153" s="1"/>
  <c r="H143" i="156"/>
  <c r="H163" i="156"/>
  <c r="F45" i="157"/>
  <c r="F44" i="157" s="1"/>
  <c r="G208" i="156"/>
  <c r="E47" i="157"/>
  <c r="E19" i="156"/>
  <c r="G126" i="156"/>
  <c r="H125" i="156" s="1"/>
  <c r="E49" i="154"/>
  <c r="G49" i="154" s="1"/>
  <c r="G17" i="155"/>
  <c r="E16" i="153"/>
  <c r="F49" i="153"/>
  <c r="F40" i="153"/>
  <c r="H161" i="155"/>
  <c r="H158" i="155" s="1"/>
  <c r="H157" i="155" s="1"/>
  <c r="H326" i="155"/>
  <c r="H325" i="155" s="1"/>
  <c r="H324" i="155" s="1"/>
  <c r="H57" i="156"/>
  <c r="F51" i="154"/>
  <c r="D129" i="156"/>
  <c r="D131" i="156" s="1"/>
  <c r="F15" i="157"/>
  <c r="E12" i="153"/>
  <c r="F23" i="153"/>
  <c r="E34" i="154"/>
  <c r="E44" i="157"/>
  <c r="F50" i="157"/>
  <c r="F47" i="157" s="1"/>
  <c r="H166" i="156"/>
  <c r="E44" i="153"/>
  <c r="H44" i="153" s="1"/>
  <c r="H34" i="155"/>
  <c r="H240" i="155"/>
  <c r="F34" i="154"/>
  <c r="G34" i="154" s="1"/>
  <c r="G231" i="156"/>
  <c r="H20" i="157" s="1"/>
  <c r="J20" i="157" s="1"/>
  <c r="H17" i="155"/>
  <c r="H25" i="155"/>
  <c r="F32" i="153"/>
  <c r="H89" i="155"/>
  <c r="H339" i="155"/>
  <c r="H349" i="155"/>
  <c r="H346" i="155" s="1"/>
  <c r="H355" i="155" s="1"/>
  <c r="G29" i="156"/>
  <c r="C34" i="157" s="1"/>
  <c r="J34" i="157" s="1"/>
  <c r="H282" i="156"/>
  <c r="G70" i="156"/>
  <c r="D30" i="157" s="1"/>
  <c r="D28" i="153"/>
  <c r="E30" i="154"/>
  <c r="G30" i="154" s="1"/>
  <c r="G25" i="156"/>
  <c r="C30" i="157" s="1"/>
  <c r="J30" i="157" s="1"/>
  <c r="G64" i="156"/>
  <c r="D23" i="157" s="1"/>
  <c r="J23" i="157" s="1"/>
  <c r="E25" i="154"/>
  <c r="G10" i="157"/>
  <c r="G9" i="157" s="1"/>
  <c r="G110" i="156"/>
  <c r="E25" i="157" s="1"/>
  <c r="J25" i="157" s="1"/>
  <c r="I10" i="157"/>
  <c r="I9" i="157" s="1"/>
  <c r="I14" i="157" s="1"/>
  <c r="Y28" i="152"/>
  <c r="N25" i="152" s="1"/>
  <c r="E274" i="155" s="1"/>
  <c r="H274" i="155" s="1"/>
  <c r="H269" i="155" s="1"/>
  <c r="H268" i="155" s="1"/>
  <c r="G18" i="155"/>
  <c r="G169" i="155"/>
  <c r="H170" i="155" s="1"/>
  <c r="F45" i="154"/>
  <c r="G45" i="154" s="1"/>
  <c r="H44" i="154" s="1"/>
  <c r="G113" i="156"/>
  <c r="E29" i="157" s="1"/>
  <c r="G237" i="156"/>
  <c r="H27" i="157" s="1"/>
  <c r="D47" i="157"/>
  <c r="H31" i="155" l="1"/>
  <c r="H30" i="155" s="1"/>
  <c r="H39" i="155" s="1"/>
  <c r="H24" i="153"/>
  <c r="H293" i="155"/>
  <c r="H249" i="156"/>
  <c r="H45" i="157"/>
  <c r="H44" i="157" s="1"/>
  <c r="H86" i="155"/>
  <c r="H97" i="155" s="1"/>
  <c r="D45" i="157"/>
  <c r="D44" i="157" s="1"/>
  <c r="H82" i="156"/>
  <c r="H269" i="156"/>
  <c r="H278" i="156" s="1"/>
  <c r="H285" i="156" s="1"/>
  <c r="H287" i="156" s="1"/>
  <c r="I287" i="156" s="1"/>
  <c r="F362" i="155" s="1"/>
  <c r="H362" i="155" s="1"/>
  <c r="H361" i="155" s="1"/>
  <c r="H366" i="155" s="1"/>
  <c r="H367" i="155" s="1"/>
  <c r="H58" i="156"/>
  <c r="H81" i="156" s="1"/>
  <c r="H88" i="156" s="1"/>
  <c r="H90" i="156" s="1"/>
  <c r="I90" i="156" s="1"/>
  <c r="E105" i="155" s="1"/>
  <c r="G27" i="153"/>
  <c r="H28" i="153" s="1"/>
  <c r="H6" i="155"/>
  <c r="H5" i="155" s="1"/>
  <c r="C48" i="157"/>
  <c r="H40" i="156"/>
  <c r="J28" i="157"/>
  <c r="E40" i="153"/>
  <c r="H40" i="153" s="1"/>
  <c r="H32" i="155"/>
  <c r="E22" i="153"/>
  <c r="G22" i="153" s="1"/>
  <c r="H22" i="153" s="1"/>
  <c r="H20" i="153" s="1"/>
  <c r="H18" i="153" s="1"/>
  <c r="O26" i="152"/>
  <c r="F297" i="155" s="1"/>
  <c r="H297" i="155" s="1"/>
  <c r="H295" i="155" s="1"/>
  <c r="H304" i="155" s="1"/>
  <c r="F16" i="153"/>
  <c r="E47" i="153" s="1"/>
  <c r="H47" i="153" s="1"/>
  <c r="J17" i="157"/>
  <c r="I16" i="157"/>
  <c r="H16" i="157"/>
  <c r="H43" i="157" s="1"/>
  <c r="H52" i="157" s="1"/>
  <c r="H54" i="157" s="1"/>
  <c r="E21" i="154"/>
  <c r="G21" i="154" s="1"/>
  <c r="G19" i="156"/>
  <c r="H228" i="156"/>
  <c r="H248" i="156" s="1"/>
  <c r="F241" i="155"/>
  <c r="H241" i="155" s="1"/>
  <c r="H239" i="155" s="1"/>
  <c r="H248" i="155" s="1"/>
  <c r="H261" i="155" s="1"/>
  <c r="H47" i="154"/>
  <c r="C44" i="157"/>
  <c r="H31" i="153"/>
  <c r="F21" i="157"/>
  <c r="F16" i="157" s="1"/>
  <c r="F43" i="157" s="1"/>
  <c r="F52" i="157" s="1"/>
  <c r="F54" i="157" s="1"/>
  <c r="H144" i="156"/>
  <c r="G79" i="156"/>
  <c r="D41" i="157" s="1"/>
  <c r="J41" i="157" s="1"/>
  <c r="E41" i="154"/>
  <c r="G41" i="154" s="1"/>
  <c r="H16" i="154" s="1"/>
  <c r="H43" i="154" s="1"/>
  <c r="H53" i="154" s="1"/>
  <c r="H55" i="154" s="1"/>
  <c r="H132" i="155"/>
  <c r="H131" i="155" s="1"/>
  <c r="H137" i="155" s="1"/>
  <c r="H150" i="155" s="1"/>
  <c r="H151" i="155" s="1"/>
  <c r="E39" i="153"/>
  <c r="J33" i="157"/>
  <c r="H168" i="155"/>
  <c r="H166" i="155" s="1"/>
  <c r="H180" i="155" s="1"/>
  <c r="H206" i="155" s="1"/>
  <c r="H19" i="155"/>
  <c r="H15" i="155" s="1"/>
  <c r="H13" i="155" s="1"/>
  <c r="H237" i="155"/>
  <c r="H207" i="156"/>
  <c r="G45" i="157"/>
  <c r="G44" i="157" s="1"/>
  <c r="H183" i="156"/>
  <c r="H206" i="156" s="1"/>
  <c r="H213" i="156" s="1"/>
  <c r="H215" i="156" s="1"/>
  <c r="I215" i="156" s="1"/>
  <c r="F256" i="155" s="1"/>
  <c r="H256" i="155" s="1"/>
  <c r="H255" i="155" s="1"/>
  <c r="H260" i="155" s="1"/>
  <c r="E15" i="153"/>
  <c r="H15" i="153" s="1"/>
  <c r="C6" i="157"/>
  <c r="J7" i="157"/>
  <c r="J6" i="157" s="1"/>
  <c r="J15" i="157" s="1"/>
  <c r="I131" i="156"/>
  <c r="F145" i="155" s="1"/>
  <c r="H145" i="155" s="1"/>
  <c r="H144" i="155" s="1"/>
  <c r="H149" i="155" s="1"/>
  <c r="J14" i="157"/>
  <c r="H30" i="153"/>
  <c r="H29" i="153" s="1"/>
  <c r="H162" i="156"/>
  <c r="H168" i="156" s="1"/>
  <c r="H170" i="156" s="1"/>
  <c r="I170" i="156" s="1"/>
  <c r="F200" i="155" s="1"/>
  <c r="H200" i="155" s="1"/>
  <c r="H199" i="155" s="1"/>
  <c r="H204" i="155" s="1"/>
  <c r="H205" i="155" s="1"/>
  <c r="G14" i="157"/>
  <c r="G15" i="157"/>
  <c r="J27" i="157"/>
  <c r="D43" i="154"/>
  <c r="D53" i="154" s="1"/>
  <c r="D55" i="154" s="1"/>
  <c r="D56" i="154" s="1"/>
  <c r="H24" i="155"/>
  <c r="H344" i="155"/>
  <c r="H103" i="156"/>
  <c r="H121" i="156" s="1"/>
  <c r="H129" i="156" s="1"/>
  <c r="H131" i="156" s="1"/>
  <c r="I15" i="157"/>
  <c r="F30" i="153"/>
  <c r="G16" i="157"/>
  <c r="E59" i="153" l="1"/>
  <c r="H59" i="153" s="1"/>
  <c r="H105" i="155"/>
  <c r="H104" i="155" s="1"/>
  <c r="H109" i="155" s="1"/>
  <c r="H110" i="155" s="1"/>
  <c r="H111" i="155" s="1"/>
  <c r="H9" i="153"/>
  <c r="H8" i="153" s="1"/>
  <c r="H35" i="153" s="1"/>
  <c r="H28" i="155"/>
  <c r="I43" i="157"/>
  <c r="I52" i="157" s="1"/>
  <c r="I54" i="157" s="1"/>
  <c r="H16" i="153"/>
  <c r="D16" i="157"/>
  <c r="D43" i="157" s="1"/>
  <c r="D52" i="157" s="1"/>
  <c r="D54" i="157" s="1"/>
  <c r="C15" i="157"/>
  <c r="C14" i="157"/>
  <c r="H368" i="155"/>
  <c r="H262" i="155"/>
  <c r="F39" i="153"/>
  <c r="H39" i="153" s="1"/>
  <c r="H37" i="153" s="1"/>
  <c r="H50" i="153" s="1"/>
  <c r="H254" i="156"/>
  <c r="H256" i="156" s="1"/>
  <c r="I256" i="156" s="1"/>
  <c r="E312" i="155" s="1"/>
  <c r="H312" i="155" s="1"/>
  <c r="H311" i="155" s="1"/>
  <c r="H316" i="155" s="1"/>
  <c r="H317" i="155" s="1"/>
  <c r="H318" i="155" s="1"/>
  <c r="C21" i="157"/>
  <c r="H14" i="156"/>
  <c r="H36" i="156" s="1"/>
  <c r="H43" i="156" s="1"/>
  <c r="H45" i="156" s="1"/>
  <c r="I45" i="156" s="1"/>
  <c r="F48" i="155" s="1"/>
  <c r="C47" i="157"/>
  <c r="J48" i="157"/>
  <c r="J47" i="157" s="1"/>
  <c r="J45" i="157"/>
  <c r="J44" i="157" s="1"/>
  <c r="G43" i="157"/>
  <c r="G52" i="157" s="1"/>
  <c r="G54" i="157" s="1"/>
  <c r="O109" i="152"/>
  <c r="J21" i="157" l="1"/>
  <c r="J16" i="157" s="1"/>
  <c r="J43" i="157" s="1"/>
  <c r="J52" i="157" s="1"/>
  <c r="J54" i="157" s="1"/>
  <c r="C16" i="157"/>
  <c r="C43" i="157"/>
  <c r="C52" i="157" s="1"/>
  <c r="C54" i="157" s="1"/>
  <c r="F60" i="153"/>
  <c r="H60" i="153" s="1"/>
  <c r="H58" i="153" s="1"/>
  <c r="H48" i="155"/>
  <c r="H47" i="155" s="1"/>
  <c r="H52" i="155" s="1"/>
  <c r="H53" i="155" s="1"/>
  <c r="H54" i="155" s="1"/>
  <c r="H61" i="153" l="1"/>
  <c r="H62" i="153" s="1"/>
  <c r="H63" i="153" s="1"/>
  <c r="H56" i="154"/>
  <c r="E31" i="146" l="1"/>
  <c r="E75" i="146"/>
  <c r="E41" i="146"/>
  <c r="E91" i="146"/>
  <c r="E59" i="146"/>
  <c r="F59" i="146" s="1"/>
  <c r="G59" i="146" s="1"/>
  <c r="H59" i="146" s="1"/>
  <c r="J52" i="115"/>
  <c r="I52" i="115"/>
  <c r="H52" i="115"/>
  <c r="G52" i="115"/>
  <c r="G50" i="115"/>
  <c r="K46" i="115"/>
  <c r="J46" i="115"/>
  <c r="I46" i="115"/>
  <c r="H46" i="115"/>
  <c r="G46" i="115"/>
  <c r="D50" i="115"/>
  <c r="D46" i="115"/>
  <c r="K41" i="115"/>
  <c r="J41" i="115"/>
  <c r="I41" i="115"/>
  <c r="H41" i="115"/>
  <c r="G41" i="115"/>
  <c r="E39" i="146" l="1"/>
  <c r="E44" i="146" s="1"/>
  <c r="E121" i="146"/>
  <c r="F41" i="146"/>
  <c r="F75" i="146"/>
  <c r="E73" i="146"/>
  <c r="E78" i="146" s="1"/>
  <c r="E108" i="146"/>
  <c r="E134" i="146"/>
  <c r="E132" i="146" s="1"/>
  <c r="E137" i="146" s="1"/>
  <c r="F91" i="146"/>
  <c r="E146" i="146"/>
  <c r="E144" i="146" s="1"/>
  <c r="E149" i="146" s="1"/>
  <c r="E89" i="146"/>
  <c r="E94" i="146" s="1"/>
  <c r="F31" i="146"/>
  <c r="E29" i="146"/>
  <c r="E28" i="146" s="1"/>
  <c r="D52" i="115"/>
  <c r="D11" i="115"/>
  <c r="K40" i="115"/>
  <c r="J40" i="115"/>
  <c r="I40" i="115"/>
  <c r="H40" i="115"/>
  <c r="G40" i="115"/>
  <c r="K39" i="115"/>
  <c r="J39" i="115"/>
  <c r="I39" i="115"/>
  <c r="H39" i="115"/>
  <c r="G39" i="115"/>
  <c r="K38" i="115"/>
  <c r="J38" i="115"/>
  <c r="I38" i="115"/>
  <c r="H38" i="115"/>
  <c r="G38" i="115"/>
  <c r="D40" i="115"/>
  <c r="D15" i="115" s="1"/>
  <c r="D39" i="115"/>
  <c r="D38" i="115"/>
  <c r="K33" i="115"/>
  <c r="K16" i="115" s="1"/>
  <c r="J33" i="115"/>
  <c r="J16" i="115" s="1"/>
  <c r="I33" i="115"/>
  <c r="I16" i="115" s="1"/>
  <c r="H33" i="115"/>
  <c r="H16" i="115" s="1"/>
  <c r="G33" i="115"/>
  <c r="G16" i="115" s="1"/>
  <c r="D33" i="115"/>
  <c r="D16" i="115" s="1"/>
  <c r="K32" i="115"/>
  <c r="J32" i="115"/>
  <c r="I32" i="115"/>
  <c r="H32" i="115"/>
  <c r="G32" i="115"/>
  <c r="F32" i="115" s="1"/>
  <c r="F15" i="115" s="1"/>
  <c r="D32" i="115"/>
  <c r="K31" i="115"/>
  <c r="J31" i="115"/>
  <c r="I31" i="115"/>
  <c r="H31" i="115"/>
  <c r="G31" i="115"/>
  <c r="F31" i="115" s="1"/>
  <c r="F14" i="115" s="1"/>
  <c r="D31" i="115"/>
  <c r="D14" i="115" s="1"/>
  <c r="K30" i="115"/>
  <c r="J30" i="115"/>
  <c r="I30" i="115"/>
  <c r="H30" i="115"/>
  <c r="G30" i="115"/>
  <c r="D30" i="115"/>
  <c r="G75" i="146" l="1"/>
  <c r="F73" i="146"/>
  <c r="F78" i="146" s="1"/>
  <c r="G31" i="146"/>
  <c r="F29" i="146"/>
  <c r="F28" i="146" s="1"/>
  <c r="F39" i="146"/>
  <c r="F44" i="146" s="1"/>
  <c r="F121" i="146"/>
  <c r="G41" i="146"/>
  <c r="F170" i="146"/>
  <c r="F168" i="146" s="1"/>
  <c r="F173" i="146" s="1"/>
  <c r="F146" i="146"/>
  <c r="F144" i="146" s="1"/>
  <c r="F149" i="146" s="1"/>
  <c r="F158" i="146"/>
  <c r="F156" i="146" s="1"/>
  <c r="F161" i="146" s="1"/>
  <c r="G91" i="146"/>
  <c r="F89" i="146"/>
  <c r="F94" i="146" s="1"/>
  <c r="F134" i="146"/>
  <c r="F132" i="146" s="1"/>
  <c r="F137" i="146" s="1"/>
  <c r="F108" i="146"/>
  <c r="J34" i="115"/>
  <c r="K34" i="115"/>
  <c r="F30" i="115"/>
  <c r="G34" i="115"/>
  <c r="I34" i="115"/>
  <c r="H34" i="115"/>
  <c r="I13" i="115"/>
  <c r="H13" i="115"/>
  <c r="J13" i="115"/>
  <c r="K13" i="115"/>
  <c r="G15" i="115"/>
  <c r="H14" i="115"/>
  <c r="H15" i="115"/>
  <c r="G14" i="115"/>
  <c r="J15" i="115"/>
  <c r="I15" i="115"/>
  <c r="K15" i="115"/>
  <c r="I14" i="115"/>
  <c r="J14" i="115"/>
  <c r="D13" i="115"/>
  <c r="G13" i="115"/>
  <c r="K14" i="115"/>
  <c r="D12" i="115"/>
  <c r="D20" i="110" s="1"/>
  <c r="D13" i="110" s="1"/>
  <c r="G183" i="146" l="1"/>
  <c r="G181" i="146" s="1"/>
  <c r="G186" i="146" s="1"/>
  <c r="G108" i="146"/>
  <c r="G134" i="146"/>
  <c r="G132" i="146" s="1"/>
  <c r="G137" i="146" s="1"/>
  <c r="G196" i="146"/>
  <c r="G194" i="146" s="1"/>
  <c r="G199" i="146" s="1"/>
  <c r="H91" i="146"/>
  <c r="G170" i="146"/>
  <c r="G168" i="146" s="1"/>
  <c r="G173" i="146" s="1"/>
  <c r="G89" i="146"/>
  <c r="G94" i="146" s="1"/>
  <c r="G146" i="146"/>
  <c r="G144" i="146" s="1"/>
  <c r="G149" i="146" s="1"/>
  <c r="G158" i="146"/>
  <c r="G156" i="146" s="1"/>
  <c r="G161" i="146" s="1"/>
  <c r="H31" i="146"/>
  <c r="H29" i="146" s="1"/>
  <c r="H28" i="146" s="1"/>
  <c r="G29" i="146"/>
  <c r="G28" i="146" s="1"/>
  <c r="G121" i="146"/>
  <c r="H41" i="146"/>
  <c r="G39" i="146"/>
  <c r="G44" i="146" s="1"/>
  <c r="G73" i="146"/>
  <c r="G78" i="146" s="1"/>
  <c r="H75" i="146"/>
  <c r="H73" i="146" s="1"/>
  <c r="H78" i="146" s="1"/>
  <c r="F13" i="115"/>
  <c r="F12" i="115" s="1"/>
  <c r="F34" i="115"/>
  <c r="G12" i="115"/>
  <c r="D17" i="115"/>
  <c r="C15" i="1"/>
  <c r="H39" i="146" l="1"/>
  <c r="H44" i="146" s="1"/>
  <c r="H121" i="146"/>
  <c r="H89" i="146"/>
  <c r="H94" i="146" s="1"/>
  <c r="H183" i="146"/>
  <c r="H181" i="146" s="1"/>
  <c r="H186" i="146" s="1"/>
  <c r="H108" i="146"/>
  <c r="H146" i="146"/>
  <c r="H144" i="146" s="1"/>
  <c r="H149" i="146" s="1"/>
  <c r="H158" i="146"/>
  <c r="H156" i="146" s="1"/>
  <c r="H161" i="146" s="1"/>
  <c r="H196" i="146"/>
  <c r="H194" i="146" s="1"/>
  <c r="H199" i="146" s="1"/>
  <c r="H170" i="146"/>
  <c r="H168" i="146" s="1"/>
  <c r="H173" i="146" s="1"/>
  <c r="H134" i="146"/>
  <c r="H132" i="146" s="1"/>
  <c r="H137" i="146" s="1"/>
  <c r="F17" i="115"/>
  <c r="G20" i="110"/>
  <c r="G13" i="110" l="1"/>
  <c r="F20" i="110"/>
  <c r="F13" i="110" s="1"/>
  <c r="I64" i="150"/>
  <c r="H64" i="150"/>
  <c r="G64" i="150"/>
  <c r="F64" i="150"/>
  <c r="F63" i="150" s="1"/>
  <c r="E64" i="150"/>
  <c r="E63" i="150" s="1"/>
  <c r="I63" i="150"/>
  <c r="H63" i="150"/>
  <c r="G63" i="150"/>
  <c r="I62" i="150"/>
  <c r="H62" i="150"/>
  <c r="G62" i="150"/>
  <c r="F62" i="150"/>
  <c r="E62" i="150"/>
  <c r="I61" i="150"/>
  <c r="H61" i="150"/>
  <c r="G61" i="150"/>
  <c r="F61" i="150"/>
  <c r="E61" i="150"/>
  <c r="I60" i="150"/>
  <c r="H60" i="150"/>
  <c r="G60" i="150"/>
  <c r="F60" i="150"/>
  <c r="E60" i="150"/>
  <c r="D64" i="150"/>
  <c r="D63" i="150" s="1"/>
  <c r="D62" i="150"/>
  <c r="D61" i="150"/>
  <c r="D60" i="150"/>
  <c r="D59" i="150" s="1"/>
  <c r="I84" i="150"/>
  <c r="H84" i="150"/>
  <c r="G84" i="150"/>
  <c r="F84" i="150"/>
  <c r="E84" i="150"/>
  <c r="D84" i="150"/>
  <c r="I80" i="150"/>
  <c r="H80" i="150"/>
  <c r="G80" i="150"/>
  <c r="F80" i="150"/>
  <c r="E80" i="150"/>
  <c r="D80" i="150"/>
  <c r="E69" i="150"/>
  <c r="D69" i="150"/>
  <c r="I21" i="150"/>
  <c r="H21" i="150"/>
  <c r="G21" i="150"/>
  <c r="F21" i="150"/>
  <c r="E21" i="150"/>
  <c r="I17" i="150"/>
  <c r="H17" i="150"/>
  <c r="J17" i="150" s="1"/>
  <c r="K17" i="150" s="1"/>
  <c r="G17" i="150"/>
  <c r="F17" i="150"/>
  <c r="E17" i="150"/>
  <c r="D21" i="150"/>
  <c r="D17" i="150"/>
  <c r="D23" i="150" s="1"/>
  <c r="G19" i="110"/>
  <c r="D19" i="110"/>
  <c r="D12" i="110" s="1"/>
  <c r="I99" i="149"/>
  <c r="I28" i="149" s="1"/>
  <c r="H99" i="149"/>
  <c r="G99" i="149"/>
  <c r="F99" i="149"/>
  <c r="F28" i="149" s="1"/>
  <c r="E99" i="149"/>
  <c r="E28" i="149" s="1"/>
  <c r="D99" i="149"/>
  <c r="D28" i="149" s="1"/>
  <c r="N98" i="149"/>
  <c r="M98" i="149"/>
  <c r="L98" i="149"/>
  <c r="K98" i="149"/>
  <c r="J98" i="149"/>
  <c r="I94" i="149"/>
  <c r="H94" i="149"/>
  <c r="G94" i="149"/>
  <c r="F94" i="149"/>
  <c r="E94" i="149"/>
  <c r="D94" i="149"/>
  <c r="D27" i="149" s="1"/>
  <c r="N93" i="149"/>
  <c r="M93" i="149"/>
  <c r="L93" i="149"/>
  <c r="K93" i="149"/>
  <c r="J93" i="149"/>
  <c r="H89" i="149"/>
  <c r="H26" i="149" s="1"/>
  <c r="G89" i="149"/>
  <c r="F89" i="149"/>
  <c r="E89" i="149"/>
  <c r="D89" i="149"/>
  <c r="D26" i="149" s="1"/>
  <c r="M88" i="149"/>
  <c r="L88" i="149"/>
  <c r="K88" i="149"/>
  <c r="J88" i="149"/>
  <c r="H84" i="149"/>
  <c r="H25" i="149" s="1"/>
  <c r="G84" i="149"/>
  <c r="G25" i="149" s="1"/>
  <c r="F84" i="149"/>
  <c r="F25" i="149" s="1"/>
  <c r="E84" i="149"/>
  <c r="E25" i="149" s="1"/>
  <c r="D84" i="149"/>
  <c r="D25" i="149" s="1"/>
  <c r="M83" i="149"/>
  <c r="L83" i="149"/>
  <c r="K83" i="149"/>
  <c r="J83" i="149"/>
  <c r="G79" i="149"/>
  <c r="F79" i="149"/>
  <c r="E79" i="149"/>
  <c r="E24" i="149" s="1"/>
  <c r="D79" i="149"/>
  <c r="D24" i="149" s="1"/>
  <c r="L78" i="149"/>
  <c r="K78" i="149"/>
  <c r="J78" i="149"/>
  <c r="G74" i="149"/>
  <c r="G23" i="149" s="1"/>
  <c r="F74" i="149"/>
  <c r="F23" i="149" s="1"/>
  <c r="E74" i="149"/>
  <c r="E23" i="149" s="1"/>
  <c r="D74" i="149"/>
  <c r="D23" i="149" s="1"/>
  <c r="L73" i="149"/>
  <c r="K73" i="149"/>
  <c r="J73" i="149"/>
  <c r="F68" i="149"/>
  <c r="E68" i="149"/>
  <c r="D68" i="149"/>
  <c r="D22" i="149" s="1"/>
  <c r="K67" i="149"/>
  <c r="J67" i="149"/>
  <c r="F63" i="149"/>
  <c r="E63" i="149"/>
  <c r="D63" i="149"/>
  <c r="D21" i="149" s="1"/>
  <c r="K62" i="149"/>
  <c r="J62" i="149"/>
  <c r="E58" i="149"/>
  <c r="D58" i="149"/>
  <c r="D20" i="149" s="1"/>
  <c r="J57" i="149"/>
  <c r="E52" i="149"/>
  <c r="D52" i="149"/>
  <c r="D19" i="149" s="1"/>
  <c r="J51" i="149"/>
  <c r="E47" i="149"/>
  <c r="D47" i="149"/>
  <c r="D18" i="149" s="1"/>
  <c r="J46" i="149"/>
  <c r="E42" i="149"/>
  <c r="D42" i="149"/>
  <c r="D16" i="149" s="1"/>
  <c r="J41" i="149"/>
  <c r="I35" i="149"/>
  <c r="I15" i="149" s="1"/>
  <c r="H35" i="149"/>
  <c r="H15" i="149" s="1"/>
  <c r="G35" i="149"/>
  <c r="G15" i="149" s="1"/>
  <c r="F35" i="149"/>
  <c r="F15" i="149" s="1"/>
  <c r="E35" i="149"/>
  <c r="E15" i="149" s="1"/>
  <c r="D35" i="149"/>
  <c r="D15" i="149" s="1"/>
  <c r="N34" i="149"/>
  <c r="M34" i="149"/>
  <c r="L34" i="149"/>
  <c r="K34" i="149"/>
  <c r="J34" i="149"/>
  <c r="G28" i="149"/>
  <c r="H240" i="147"/>
  <c r="G240" i="147"/>
  <c r="F240" i="147"/>
  <c r="E240" i="147"/>
  <c r="D240" i="147"/>
  <c r="D28" i="147" s="1"/>
  <c r="H222" i="147"/>
  <c r="H27" i="147" s="1"/>
  <c r="G222" i="147"/>
  <c r="F222" i="147"/>
  <c r="E222" i="147"/>
  <c r="E27" i="147" s="1"/>
  <c r="D222" i="147"/>
  <c r="D27" i="147" s="1"/>
  <c r="G205" i="147"/>
  <c r="G26" i="147" s="1"/>
  <c r="F205" i="147"/>
  <c r="E205" i="147"/>
  <c r="D205" i="147"/>
  <c r="D26" i="147" s="1"/>
  <c r="G187" i="147"/>
  <c r="G25" i="147" s="1"/>
  <c r="F187" i="147"/>
  <c r="F25" i="147" s="1"/>
  <c r="E187" i="147"/>
  <c r="E25" i="147" s="1"/>
  <c r="D187" i="147"/>
  <c r="D25" i="147" s="1"/>
  <c r="F168" i="147"/>
  <c r="F24" i="147" s="1"/>
  <c r="E168" i="147"/>
  <c r="E24" i="147" s="1"/>
  <c r="D168" i="147"/>
  <c r="D24" i="147" s="1"/>
  <c r="F150" i="147"/>
  <c r="F23" i="147" s="1"/>
  <c r="E150" i="147"/>
  <c r="D150" i="147"/>
  <c r="D23" i="147" s="1"/>
  <c r="E132" i="147"/>
  <c r="E22" i="147" s="1"/>
  <c r="D132" i="147"/>
  <c r="D22" i="147" s="1"/>
  <c r="E115" i="147"/>
  <c r="E21" i="147" s="1"/>
  <c r="D115" i="147"/>
  <c r="D21" i="147" s="1"/>
  <c r="E96" i="147"/>
  <c r="E20" i="147" s="1"/>
  <c r="D96" i="147"/>
  <c r="D20" i="147" s="1"/>
  <c r="E78" i="147"/>
  <c r="E19" i="147" s="1"/>
  <c r="D78" i="147"/>
  <c r="D19" i="147" s="1"/>
  <c r="D61" i="147"/>
  <c r="D18" i="147" s="1"/>
  <c r="E44" i="147"/>
  <c r="E16" i="147" s="1"/>
  <c r="I35" i="147"/>
  <c r="I15" i="147" s="1"/>
  <c r="H35" i="147"/>
  <c r="H15" i="147" s="1"/>
  <c r="G35" i="147"/>
  <c r="G15" i="147" s="1"/>
  <c r="F35" i="147"/>
  <c r="F15" i="147" s="1"/>
  <c r="E35" i="147"/>
  <c r="E15" i="147" s="1"/>
  <c r="D35" i="147"/>
  <c r="D15" i="147" s="1"/>
  <c r="F197" i="146"/>
  <c r="F201" i="146" s="1"/>
  <c r="F21" i="146" s="1"/>
  <c r="E197" i="146"/>
  <c r="E201" i="146" s="1"/>
  <c r="E21" i="146" s="1"/>
  <c r="D197" i="146"/>
  <c r="D201" i="146" s="1"/>
  <c r="C197" i="146"/>
  <c r="C201" i="146" s="1"/>
  <c r="C21" i="146" s="1"/>
  <c r="F196" i="146"/>
  <c r="E196" i="146"/>
  <c r="D196" i="146"/>
  <c r="C196" i="146"/>
  <c r="F184" i="146"/>
  <c r="F188" i="146" s="1"/>
  <c r="F20" i="146" s="1"/>
  <c r="E184" i="146"/>
  <c r="E188" i="146" s="1"/>
  <c r="E20" i="146" s="1"/>
  <c r="D184" i="146"/>
  <c r="D188" i="146" s="1"/>
  <c r="D20" i="146" s="1"/>
  <c r="C184" i="146"/>
  <c r="C188" i="146" s="1"/>
  <c r="C20" i="146" s="1"/>
  <c r="F183" i="146"/>
  <c r="E183" i="146"/>
  <c r="D183" i="146"/>
  <c r="C183" i="146"/>
  <c r="E171" i="146"/>
  <c r="E175" i="146" s="1"/>
  <c r="E19" i="146" s="1"/>
  <c r="D171" i="146"/>
  <c r="D175" i="146" s="1"/>
  <c r="D19" i="146" s="1"/>
  <c r="C171" i="146"/>
  <c r="C175" i="146" s="1"/>
  <c r="C19" i="146" s="1"/>
  <c r="E170" i="146"/>
  <c r="D170" i="146"/>
  <c r="C170" i="146"/>
  <c r="E163" i="146"/>
  <c r="E18" i="146" s="1"/>
  <c r="D163" i="146"/>
  <c r="D18" i="146" s="1"/>
  <c r="C163" i="146"/>
  <c r="C18" i="146" s="1"/>
  <c r="D147" i="146"/>
  <c r="D151" i="146" s="1"/>
  <c r="D17" i="146" s="1"/>
  <c r="C147" i="146"/>
  <c r="C151" i="146" s="1"/>
  <c r="C17" i="146" s="1"/>
  <c r="C139" i="146"/>
  <c r="C16" i="146" s="1"/>
  <c r="D134" i="146"/>
  <c r="C134" i="146"/>
  <c r="C122" i="146"/>
  <c r="C126" i="146" s="1"/>
  <c r="C15" i="146" s="1"/>
  <c r="C121" i="146"/>
  <c r="C109" i="146"/>
  <c r="C113" i="146" s="1"/>
  <c r="C14" i="146" s="1"/>
  <c r="C108" i="146"/>
  <c r="E15" i="1" l="1"/>
  <c r="F15" i="1"/>
  <c r="L15" i="1" s="1"/>
  <c r="G12" i="110"/>
  <c r="F19" i="110"/>
  <c r="F12" i="110" s="1"/>
  <c r="F59" i="150"/>
  <c r="F65" i="150"/>
  <c r="I75" i="150"/>
  <c r="E59" i="150"/>
  <c r="E65" i="150" s="1"/>
  <c r="G86" i="150"/>
  <c r="I23" i="150"/>
  <c r="G59" i="150"/>
  <c r="G65" i="150" s="1"/>
  <c r="H59" i="150"/>
  <c r="H65" i="150" s="1"/>
  <c r="E23" i="150"/>
  <c r="D86" i="150"/>
  <c r="I59" i="150"/>
  <c r="I65" i="150" s="1"/>
  <c r="E86" i="150"/>
  <c r="F86" i="150"/>
  <c r="G28" i="147"/>
  <c r="E26" i="147"/>
  <c r="F27" i="147"/>
  <c r="F26" i="147"/>
  <c r="H28" i="147"/>
  <c r="G27" i="147"/>
  <c r="E23" i="147"/>
  <c r="E28" i="147"/>
  <c r="F28" i="147"/>
  <c r="D21" i="146"/>
  <c r="D65" i="150"/>
  <c r="D75" i="150"/>
  <c r="H86" i="150"/>
  <c r="I86" i="150"/>
  <c r="E75" i="150"/>
  <c r="F75" i="150"/>
  <c r="G75" i="150"/>
  <c r="H75" i="150"/>
  <c r="F23" i="150"/>
  <c r="G23" i="150"/>
  <c r="H23" i="150"/>
  <c r="K79" i="149"/>
  <c r="L79" i="149"/>
  <c r="F24" i="149"/>
  <c r="G24" i="149"/>
  <c r="J58" i="149"/>
  <c r="E20" i="149"/>
  <c r="J63" i="149"/>
  <c r="K68" i="149"/>
  <c r="M89" i="149"/>
  <c r="J52" i="149"/>
  <c r="J68" i="149"/>
  <c r="J94" i="149"/>
  <c r="M99" i="149"/>
  <c r="K63" i="149"/>
  <c r="H28" i="149"/>
  <c r="E22" i="149"/>
  <c r="F22" i="149"/>
  <c r="J89" i="149"/>
  <c r="E19" i="149"/>
  <c r="K89" i="149"/>
  <c r="J47" i="149"/>
  <c r="L89" i="149"/>
  <c r="K94" i="149"/>
  <c r="L94" i="149"/>
  <c r="J79" i="149"/>
  <c r="M94" i="149"/>
  <c r="J99" i="149"/>
  <c r="N94" i="149"/>
  <c r="K99" i="149"/>
  <c r="L99" i="149"/>
  <c r="E21" i="149"/>
  <c r="F21" i="149"/>
  <c r="N99" i="149"/>
  <c r="J42" i="149"/>
  <c r="D29" i="149"/>
  <c r="E18" i="149"/>
  <c r="E27" i="149"/>
  <c r="F27" i="149"/>
  <c r="G27" i="149"/>
  <c r="H27" i="149"/>
  <c r="I27" i="149"/>
  <c r="J84" i="149"/>
  <c r="K84" i="149"/>
  <c r="J74" i="149"/>
  <c r="L84" i="149"/>
  <c r="K74" i="149"/>
  <c r="M84" i="149"/>
  <c r="L74" i="149"/>
  <c r="E16" i="149"/>
  <c r="E26" i="149"/>
  <c r="G26" i="149"/>
  <c r="F26" i="149"/>
  <c r="F14" i="1" l="1"/>
  <c r="E14" i="1"/>
  <c r="J65" i="150"/>
  <c r="E29" i="149"/>
  <c r="D39" i="109" l="1"/>
  <c r="D21" i="109" s="1"/>
  <c r="D38" i="109"/>
  <c r="D20" i="109" s="1"/>
  <c r="D37" i="109"/>
  <c r="D19" i="109" s="1"/>
  <c r="D36" i="109"/>
  <c r="D18" i="109" s="1"/>
  <c r="D35" i="109"/>
  <c r="D17" i="109" s="1"/>
  <c r="D34" i="109"/>
  <c r="D16" i="109" s="1"/>
  <c r="D33" i="109"/>
  <c r="D15" i="109" s="1"/>
  <c r="D32" i="109"/>
  <c r="D14" i="109" s="1"/>
  <c r="F10" i="109" l="1"/>
  <c r="H525" i="144"/>
  <c r="H489" i="144" s="1"/>
  <c r="H524" i="144"/>
  <c r="H523" i="144"/>
  <c r="H487" i="144" s="1"/>
  <c r="H522" i="144"/>
  <c r="H486" i="144" s="1"/>
  <c r="H521" i="144"/>
  <c r="H485" i="144" s="1"/>
  <c r="H510" i="144"/>
  <c r="G510" i="144"/>
  <c r="F510" i="144"/>
  <c r="E510" i="144"/>
  <c r="D510" i="144"/>
  <c r="I509" i="144"/>
  <c r="I508" i="144"/>
  <c r="I507" i="144"/>
  <c r="I506" i="144"/>
  <c r="I505" i="144"/>
  <c r="G489" i="144"/>
  <c r="F489" i="144"/>
  <c r="E489" i="144"/>
  <c r="D489" i="144"/>
  <c r="H488" i="144"/>
  <c r="G488" i="144"/>
  <c r="F488" i="144"/>
  <c r="E488" i="144"/>
  <c r="D488" i="144"/>
  <c r="G487" i="144"/>
  <c r="F487" i="144"/>
  <c r="E487" i="144"/>
  <c r="D487" i="144"/>
  <c r="G486" i="144"/>
  <c r="F486" i="144"/>
  <c r="E486" i="144"/>
  <c r="D486" i="144"/>
  <c r="G485" i="144"/>
  <c r="F485" i="144"/>
  <c r="F490" i="144" s="1"/>
  <c r="E485" i="144"/>
  <c r="D485" i="144"/>
  <c r="D490" i="144" l="1"/>
  <c r="E490" i="144"/>
  <c r="H490" i="144"/>
  <c r="K41" i="108" s="1"/>
  <c r="G490" i="144"/>
  <c r="J41" i="108" s="1"/>
  <c r="H479" i="144"/>
  <c r="H443" i="144" s="1"/>
  <c r="H478" i="144"/>
  <c r="H442" i="144" s="1"/>
  <c r="H477" i="144"/>
  <c r="H441" i="144" s="1"/>
  <c r="G440" i="144"/>
  <c r="H475" i="144"/>
  <c r="H439" i="144" s="1"/>
  <c r="H464" i="144"/>
  <c r="G464" i="144"/>
  <c r="F464" i="144"/>
  <c r="E464" i="144"/>
  <c r="D464" i="144"/>
  <c r="I463" i="144"/>
  <c r="I462" i="144"/>
  <c r="I461" i="144"/>
  <c r="I460" i="144"/>
  <c r="I459" i="144"/>
  <c r="G443" i="144"/>
  <c r="F443" i="144"/>
  <c r="E443" i="144"/>
  <c r="D443" i="144"/>
  <c r="G442" i="144"/>
  <c r="F442" i="144"/>
  <c r="E442" i="144"/>
  <c r="D442" i="144"/>
  <c r="G441" i="144"/>
  <c r="F441" i="144"/>
  <c r="E441" i="144"/>
  <c r="D441" i="144"/>
  <c r="F440" i="144"/>
  <c r="E440" i="144"/>
  <c r="D440" i="144"/>
  <c r="G439" i="144"/>
  <c r="F439" i="144"/>
  <c r="E439" i="144"/>
  <c r="D439" i="144"/>
  <c r="G433" i="144"/>
  <c r="H433" i="144" s="1"/>
  <c r="H397" i="144" s="1"/>
  <c r="G432" i="144"/>
  <c r="H432" i="144" s="1"/>
  <c r="H396" i="144" s="1"/>
  <c r="G431" i="144"/>
  <c r="G395" i="144" s="1"/>
  <c r="G430" i="144"/>
  <c r="G394" i="144" s="1"/>
  <c r="G429" i="144"/>
  <c r="H429" i="144" s="1"/>
  <c r="H393" i="144" s="1"/>
  <c r="H418" i="144"/>
  <c r="G418" i="144"/>
  <c r="F418" i="144"/>
  <c r="E418" i="144"/>
  <c r="D418" i="144"/>
  <c r="I417" i="144"/>
  <c r="I416" i="144"/>
  <c r="I415" i="144"/>
  <c r="I414" i="144"/>
  <c r="I413" i="144"/>
  <c r="F397" i="144"/>
  <c r="E397" i="144"/>
  <c r="D397" i="144"/>
  <c r="F396" i="144"/>
  <c r="E396" i="144"/>
  <c r="D396" i="144"/>
  <c r="F395" i="144"/>
  <c r="E395" i="144"/>
  <c r="D395" i="144"/>
  <c r="F394" i="144"/>
  <c r="E394" i="144"/>
  <c r="D394" i="144"/>
  <c r="G393" i="144"/>
  <c r="F393" i="144"/>
  <c r="E393" i="144"/>
  <c r="E398" i="144" s="1"/>
  <c r="D393" i="144"/>
  <c r="D398" i="144" s="1"/>
  <c r="G386" i="144"/>
  <c r="G385" i="144"/>
  <c r="G384" i="144"/>
  <c r="F347" i="144"/>
  <c r="F346" i="144"/>
  <c r="F371" i="144"/>
  <c r="E371" i="144"/>
  <c r="D371" i="144"/>
  <c r="I370" i="144"/>
  <c r="I369" i="144"/>
  <c r="I368" i="144"/>
  <c r="I367" i="144"/>
  <c r="I366" i="144"/>
  <c r="H371" i="144"/>
  <c r="F350" i="144"/>
  <c r="E350" i="144"/>
  <c r="D350" i="144"/>
  <c r="F349" i="144"/>
  <c r="E349" i="144"/>
  <c r="D349" i="144"/>
  <c r="F348" i="144"/>
  <c r="E348" i="144"/>
  <c r="D348" i="144"/>
  <c r="E347" i="144"/>
  <c r="D347" i="144"/>
  <c r="E346" i="144"/>
  <c r="D346" i="144"/>
  <c r="I321" i="144"/>
  <c r="F340" i="144"/>
  <c r="G340" i="144" s="1"/>
  <c r="F339" i="144"/>
  <c r="F303" i="144" s="1"/>
  <c r="F338" i="144"/>
  <c r="G338" i="144" s="1"/>
  <c r="F337" i="144"/>
  <c r="G337" i="144" s="1"/>
  <c r="F336" i="144"/>
  <c r="F300" i="144" s="1"/>
  <c r="F325" i="144"/>
  <c r="E325" i="144"/>
  <c r="D325" i="144"/>
  <c r="I324" i="144"/>
  <c r="I323" i="144"/>
  <c r="I322" i="144"/>
  <c r="I320" i="144"/>
  <c r="E304" i="144"/>
  <c r="D304" i="144"/>
  <c r="E303" i="144"/>
  <c r="D303" i="144"/>
  <c r="E302" i="144"/>
  <c r="D302" i="144"/>
  <c r="E301" i="144"/>
  <c r="D301" i="144"/>
  <c r="E300" i="144"/>
  <c r="D300" i="144"/>
  <c r="E255" i="144"/>
  <c r="D258" i="144"/>
  <c r="D257" i="144"/>
  <c r="D256" i="144"/>
  <c r="D255" i="144"/>
  <c r="F291" i="144"/>
  <c r="F255" i="144" s="1"/>
  <c r="F290" i="144"/>
  <c r="G290" i="144" s="1"/>
  <c r="H290" i="144" s="1"/>
  <c r="F292" i="144"/>
  <c r="G292" i="144" s="1"/>
  <c r="H292" i="144" s="1"/>
  <c r="F293" i="144"/>
  <c r="G293" i="144" s="1"/>
  <c r="H293" i="144" s="1"/>
  <c r="F294" i="144"/>
  <c r="G294" i="144" s="1"/>
  <c r="H294" i="144" s="1"/>
  <c r="E258" i="144"/>
  <c r="F279" i="144"/>
  <c r="E279" i="144"/>
  <c r="D279" i="144"/>
  <c r="I278" i="144"/>
  <c r="I277" i="144"/>
  <c r="I276" i="144"/>
  <c r="I274" i="144"/>
  <c r="D254" i="144"/>
  <c r="H233" i="144"/>
  <c r="H232" i="144"/>
  <c r="H231" i="144"/>
  <c r="H230" i="144"/>
  <c r="E248" i="144"/>
  <c r="F248" i="144" s="1"/>
  <c r="E247" i="144"/>
  <c r="F247" i="144" s="1"/>
  <c r="E246" i="144"/>
  <c r="E212" i="144" s="1"/>
  <c r="E245" i="144"/>
  <c r="F245" i="144" s="1"/>
  <c r="F234" i="144"/>
  <c r="E234" i="144"/>
  <c r="D234" i="144"/>
  <c r="I233" i="144"/>
  <c r="I232" i="144"/>
  <c r="I231" i="144"/>
  <c r="I230" i="144"/>
  <c r="D214" i="144"/>
  <c r="D213" i="144"/>
  <c r="D212" i="144"/>
  <c r="D211" i="144"/>
  <c r="D165" i="144"/>
  <c r="D166" i="144"/>
  <c r="D167" i="144"/>
  <c r="D168" i="144"/>
  <c r="D169" i="144"/>
  <c r="G396" i="144" l="1"/>
  <c r="G397" i="144"/>
  <c r="G398" i="144" s="1"/>
  <c r="J39" i="108" s="1"/>
  <c r="D444" i="144"/>
  <c r="F301" i="144"/>
  <c r="E444" i="144"/>
  <c r="G444" i="144"/>
  <c r="J40" i="108" s="1"/>
  <c r="F444" i="144"/>
  <c r="H476" i="144"/>
  <c r="H440" i="144" s="1"/>
  <c r="H444" i="144" s="1"/>
  <c r="K40" i="108" s="1"/>
  <c r="F398" i="144"/>
  <c r="I39" i="108" s="1"/>
  <c r="H430" i="144"/>
  <c r="H394" i="144" s="1"/>
  <c r="H431" i="144"/>
  <c r="H395" i="144" s="1"/>
  <c r="D305" i="144"/>
  <c r="F302" i="144"/>
  <c r="G291" i="144"/>
  <c r="F304" i="144"/>
  <c r="D351" i="144"/>
  <c r="E351" i="144"/>
  <c r="F351" i="144"/>
  <c r="I38" i="108" s="1"/>
  <c r="H384" i="144"/>
  <c r="H348" i="144" s="1"/>
  <c r="G348" i="144"/>
  <c r="H385" i="144"/>
  <c r="H349" i="144" s="1"/>
  <c r="G349" i="144"/>
  <c r="G350" i="144"/>
  <c r="H386" i="144"/>
  <c r="H350" i="144" s="1"/>
  <c r="G371" i="144"/>
  <c r="G382" i="144"/>
  <c r="G383" i="144"/>
  <c r="E305" i="144"/>
  <c r="H37" i="108" s="1"/>
  <c r="H337" i="144"/>
  <c r="H338" i="144"/>
  <c r="H340" i="144"/>
  <c r="G339" i="144"/>
  <c r="G336" i="144"/>
  <c r="H234" i="144"/>
  <c r="E256" i="144"/>
  <c r="E254" i="144"/>
  <c r="D259" i="144"/>
  <c r="F254" i="144"/>
  <c r="F256" i="144"/>
  <c r="F257" i="144"/>
  <c r="E257" i="144"/>
  <c r="E211" i="144"/>
  <c r="E213" i="144"/>
  <c r="E214" i="144"/>
  <c r="D215" i="144"/>
  <c r="G35" i="108" s="1"/>
  <c r="F35" i="108" s="1"/>
  <c r="F17" i="108" s="1"/>
  <c r="G247" i="144"/>
  <c r="F213" i="144"/>
  <c r="F211" i="144"/>
  <c r="G245" i="144"/>
  <c r="G248" i="144"/>
  <c r="F214" i="144"/>
  <c r="F246" i="144"/>
  <c r="G234" i="144"/>
  <c r="E205" i="144"/>
  <c r="F205" i="144" s="1"/>
  <c r="E204" i="144"/>
  <c r="F204" i="144" s="1"/>
  <c r="E203" i="144"/>
  <c r="F203" i="144" s="1"/>
  <c r="E202" i="144"/>
  <c r="F202" i="144" s="1"/>
  <c r="D170" i="144"/>
  <c r="G34" i="108" s="1"/>
  <c r="F34" i="108" s="1"/>
  <c r="F16" i="108" s="1"/>
  <c r="E190" i="144"/>
  <c r="D190" i="144"/>
  <c r="E124" i="144"/>
  <c r="E123" i="144"/>
  <c r="E122" i="144"/>
  <c r="E121" i="144"/>
  <c r="D121" i="144"/>
  <c r="D122" i="144"/>
  <c r="D123" i="144"/>
  <c r="D124" i="144"/>
  <c r="F156" i="144"/>
  <c r="G156" i="144" s="1"/>
  <c r="F157" i="144"/>
  <c r="F122" i="144" s="1"/>
  <c r="E155" i="144"/>
  <c r="F155" i="144" s="1"/>
  <c r="F120" i="144" s="1"/>
  <c r="J136" i="144"/>
  <c r="J137" i="144"/>
  <c r="J138" i="144"/>
  <c r="J139" i="144"/>
  <c r="G136" i="144"/>
  <c r="H136" i="144" s="1"/>
  <c r="J135" i="144"/>
  <c r="F159" i="144"/>
  <c r="F124" i="144" s="1"/>
  <c r="F158" i="144"/>
  <c r="G158" i="144" s="1"/>
  <c r="E140" i="144"/>
  <c r="D140" i="144"/>
  <c r="G139" i="144"/>
  <c r="H139" i="144" s="1"/>
  <c r="G304" i="144" s="1"/>
  <c r="G138" i="144"/>
  <c r="H138" i="144" s="1"/>
  <c r="G137" i="144"/>
  <c r="H137" i="144" s="1"/>
  <c r="G135" i="144"/>
  <c r="D120" i="144"/>
  <c r="F305" i="144" l="1"/>
  <c r="I37" i="108" s="1"/>
  <c r="E215" i="144"/>
  <c r="H35" i="108" s="1"/>
  <c r="H398" i="144"/>
  <c r="K39" i="108" s="1"/>
  <c r="G275" i="144"/>
  <c r="H275" i="144" s="1"/>
  <c r="G302" i="144"/>
  <c r="H302" i="144"/>
  <c r="H291" i="144"/>
  <c r="H255" i="144" s="1"/>
  <c r="G255" i="144"/>
  <c r="G347" i="144"/>
  <c r="H383" i="144"/>
  <c r="H347" i="144" s="1"/>
  <c r="G346" i="144"/>
  <c r="G351" i="144" s="1"/>
  <c r="J38" i="108" s="1"/>
  <c r="H382" i="144"/>
  <c r="H346" i="144" s="1"/>
  <c r="H304" i="144"/>
  <c r="H336" i="144"/>
  <c r="G303" i="144"/>
  <c r="H339" i="144"/>
  <c r="H303" i="144" s="1"/>
  <c r="I137" i="144"/>
  <c r="G276" i="144"/>
  <c r="H276" i="144" s="1"/>
  <c r="H256" i="144" s="1"/>
  <c r="I138" i="144"/>
  <c r="G277" i="144"/>
  <c r="H277" i="144" s="1"/>
  <c r="I139" i="144"/>
  <c r="G278" i="144"/>
  <c r="H278" i="144" s="1"/>
  <c r="E259" i="144"/>
  <c r="H36" i="108" s="1"/>
  <c r="F258" i="144"/>
  <c r="F259" i="144" s="1"/>
  <c r="I36" i="108" s="1"/>
  <c r="H257" i="144"/>
  <c r="G257" i="144"/>
  <c r="F212" i="144"/>
  <c r="F215" i="144" s="1"/>
  <c r="I35" i="108" s="1"/>
  <c r="G246" i="144"/>
  <c r="H248" i="144"/>
  <c r="H214" i="144" s="1"/>
  <c r="G214" i="144"/>
  <c r="G211" i="144"/>
  <c r="H245" i="144"/>
  <c r="H211" i="144" s="1"/>
  <c r="H247" i="144"/>
  <c r="H213" i="144" s="1"/>
  <c r="G213" i="144"/>
  <c r="E167" i="144"/>
  <c r="E120" i="144"/>
  <c r="E125" i="144" s="1"/>
  <c r="G33" i="108" s="1"/>
  <c r="F33" i="108" s="1"/>
  <c r="F15" i="108" s="1"/>
  <c r="F121" i="144"/>
  <c r="F123" i="144"/>
  <c r="F168" i="144"/>
  <c r="E166" i="144"/>
  <c r="H156" i="144"/>
  <c r="G121" i="144"/>
  <c r="F190" i="144"/>
  <c r="G123" i="144"/>
  <c r="E168" i="144"/>
  <c r="G202" i="144"/>
  <c r="F166" i="144"/>
  <c r="G203" i="144"/>
  <c r="F167" i="144"/>
  <c r="G205" i="144"/>
  <c r="F169" i="144"/>
  <c r="G204" i="144"/>
  <c r="E169" i="144"/>
  <c r="E201" i="144"/>
  <c r="E165" i="144" s="1"/>
  <c r="I136" i="144"/>
  <c r="D125" i="144"/>
  <c r="D33" i="108" s="1"/>
  <c r="H135" i="144"/>
  <c r="G140" i="144"/>
  <c r="H158" i="144"/>
  <c r="H123" i="144" s="1"/>
  <c r="G159" i="144"/>
  <c r="G124" i="144" s="1"/>
  <c r="F140" i="144"/>
  <c r="G155" i="144"/>
  <c r="G120" i="144" s="1"/>
  <c r="G157" i="144"/>
  <c r="G122" i="144" s="1"/>
  <c r="G256" i="144" l="1"/>
  <c r="H301" i="144"/>
  <c r="G301" i="144"/>
  <c r="G274" i="144"/>
  <c r="G254" i="144" s="1"/>
  <c r="H351" i="144"/>
  <c r="K38" i="108" s="1"/>
  <c r="H274" i="144"/>
  <c r="H279" i="144" s="1"/>
  <c r="G279" i="144"/>
  <c r="H258" i="144"/>
  <c r="G258" i="144"/>
  <c r="G212" i="144"/>
  <c r="H246" i="144"/>
  <c r="H212" i="144" s="1"/>
  <c r="I156" i="144"/>
  <c r="I121" i="144" s="1"/>
  <c r="H121" i="144"/>
  <c r="G190" i="144"/>
  <c r="H190" i="144"/>
  <c r="H203" i="144"/>
  <c r="H167" i="144" s="1"/>
  <c r="G167" i="144"/>
  <c r="H202" i="144"/>
  <c r="H166" i="144" s="1"/>
  <c r="G166" i="144"/>
  <c r="E170" i="144"/>
  <c r="H34" i="108" s="1"/>
  <c r="F201" i="144"/>
  <c r="F165" i="144" s="1"/>
  <c r="H204" i="144"/>
  <c r="H168" i="144" s="1"/>
  <c r="G168" i="144"/>
  <c r="H205" i="144"/>
  <c r="H169" i="144" s="1"/>
  <c r="G169" i="144"/>
  <c r="F125" i="144"/>
  <c r="H33" i="108" s="1"/>
  <c r="H157" i="144"/>
  <c r="H122" i="144" s="1"/>
  <c r="H155" i="144"/>
  <c r="H120" i="144" s="1"/>
  <c r="H159" i="144"/>
  <c r="H124" i="144" s="1"/>
  <c r="I158" i="144"/>
  <c r="I123" i="144" s="1"/>
  <c r="I135" i="144"/>
  <c r="I140" i="144" s="1"/>
  <c r="H140" i="144"/>
  <c r="G259" i="144" l="1"/>
  <c r="J36" i="108" s="1"/>
  <c r="G325" i="144"/>
  <c r="G300" i="144"/>
  <c r="G305" i="144" s="1"/>
  <c r="J37" i="108" s="1"/>
  <c r="H254" i="144"/>
  <c r="H259" i="144" s="1"/>
  <c r="K36" i="108" s="1"/>
  <c r="H215" i="144"/>
  <c r="K35" i="108" s="1"/>
  <c r="G215" i="144"/>
  <c r="J35" i="108" s="1"/>
  <c r="F170" i="144"/>
  <c r="I34" i="108" s="1"/>
  <c r="G201" i="144"/>
  <c r="G165" i="144" s="1"/>
  <c r="G125" i="144"/>
  <c r="I33" i="108" s="1"/>
  <c r="I159" i="144"/>
  <c r="I124" i="144" s="1"/>
  <c r="I155" i="144"/>
  <c r="I120" i="144" s="1"/>
  <c r="I157" i="144"/>
  <c r="I122" i="144" s="1"/>
  <c r="H300" i="144" l="1"/>
  <c r="H305" i="144" s="1"/>
  <c r="K37" i="108" s="1"/>
  <c r="H325" i="144"/>
  <c r="H201" i="144"/>
  <c r="G170" i="144"/>
  <c r="J34" i="108" s="1"/>
  <c r="H125" i="144"/>
  <c r="J33" i="108" s="1"/>
  <c r="H165" i="144" l="1"/>
  <c r="H170" i="144" s="1"/>
  <c r="K34" i="108" s="1"/>
  <c r="I125" i="144"/>
  <c r="K33" i="108" s="1"/>
  <c r="F113" i="144" l="1"/>
  <c r="F112" i="144"/>
  <c r="G112" i="144" s="1"/>
  <c r="H112" i="144" s="1"/>
  <c r="F111" i="144"/>
  <c r="G111" i="144" s="1"/>
  <c r="F110" i="144"/>
  <c r="E98" i="144"/>
  <c r="D98" i="144"/>
  <c r="F97" i="144"/>
  <c r="G97" i="144" s="1"/>
  <c r="H97" i="144" s="1"/>
  <c r="I97" i="144" s="1"/>
  <c r="F96" i="144"/>
  <c r="F95" i="144"/>
  <c r="F94" i="144"/>
  <c r="G94" i="144" s="1"/>
  <c r="E85" i="144"/>
  <c r="D85" i="144"/>
  <c r="E84" i="144"/>
  <c r="D84" i="144"/>
  <c r="E83" i="144"/>
  <c r="D83" i="144"/>
  <c r="E82" i="144"/>
  <c r="D82" i="144"/>
  <c r="F83" i="144" l="1"/>
  <c r="F84" i="144"/>
  <c r="F82" i="144"/>
  <c r="D86" i="144"/>
  <c r="D32" i="108" s="1"/>
  <c r="D14" i="108" s="1"/>
  <c r="E86" i="144"/>
  <c r="G32" i="108" s="1"/>
  <c r="F32" i="108" s="1"/>
  <c r="F14" i="108" s="1"/>
  <c r="F85" i="144"/>
  <c r="H111" i="144"/>
  <c r="I112" i="144"/>
  <c r="H94" i="144"/>
  <c r="F98" i="144"/>
  <c r="G113" i="144"/>
  <c r="G95" i="144"/>
  <c r="H95" i="144" s="1"/>
  <c r="I95" i="144" s="1"/>
  <c r="G110" i="144"/>
  <c r="G96" i="144"/>
  <c r="K23" i="108"/>
  <c r="J23" i="108"/>
  <c r="I23" i="108"/>
  <c r="H23" i="108"/>
  <c r="G23" i="108"/>
  <c r="D23" i="108"/>
  <c r="K22" i="108"/>
  <c r="J22" i="108"/>
  <c r="I22" i="108"/>
  <c r="H22" i="108"/>
  <c r="G22" i="108"/>
  <c r="D22" i="108"/>
  <c r="K21" i="108"/>
  <c r="J21" i="108"/>
  <c r="I21" i="108"/>
  <c r="H21" i="108"/>
  <c r="G21" i="108"/>
  <c r="D21" i="108"/>
  <c r="K20" i="108"/>
  <c r="J20" i="108"/>
  <c r="I20" i="108"/>
  <c r="H20" i="108"/>
  <c r="G20" i="108"/>
  <c r="D20" i="108"/>
  <c r="K19" i="108"/>
  <c r="J19" i="108"/>
  <c r="I19" i="108"/>
  <c r="H19" i="108"/>
  <c r="G19" i="108"/>
  <c r="D19" i="108"/>
  <c r="K18" i="108"/>
  <c r="J18" i="108"/>
  <c r="I18" i="108"/>
  <c r="H18" i="108"/>
  <c r="G18" i="108"/>
  <c r="D18" i="108"/>
  <c r="K17" i="108"/>
  <c r="J17" i="108"/>
  <c r="I17" i="108"/>
  <c r="H17" i="108"/>
  <c r="G17" i="108"/>
  <c r="D17" i="108"/>
  <c r="K16" i="108"/>
  <c r="J16" i="108"/>
  <c r="I16" i="108"/>
  <c r="H16" i="108"/>
  <c r="G16" i="108"/>
  <c r="D16" i="108"/>
  <c r="K15" i="108"/>
  <c r="J15" i="108"/>
  <c r="I15" i="108"/>
  <c r="H15" i="108"/>
  <c r="G15" i="108"/>
  <c r="D15" i="108"/>
  <c r="K12" i="108"/>
  <c r="J12" i="108"/>
  <c r="I12" i="108"/>
  <c r="H12" i="108"/>
  <c r="G12" i="108"/>
  <c r="D12" i="108"/>
  <c r="D8" i="108"/>
  <c r="G8" i="108"/>
  <c r="H8" i="108"/>
  <c r="I8" i="108"/>
  <c r="J8" i="108"/>
  <c r="K8" i="108"/>
  <c r="E42" i="144"/>
  <c r="D42" i="144"/>
  <c r="F72" i="144"/>
  <c r="G72" i="144" s="1"/>
  <c r="H72" i="144" s="1"/>
  <c r="I72" i="144" s="1"/>
  <c r="F71" i="144"/>
  <c r="G71" i="144" s="1"/>
  <c r="H71" i="144" s="1"/>
  <c r="I71" i="144" s="1"/>
  <c r="F55" i="144"/>
  <c r="G55" i="144" s="1"/>
  <c r="H55" i="144" s="1"/>
  <c r="I55" i="144" s="1"/>
  <c r="E59" i="144"/>
  <c r="D59" i="144"/>
  <c r="F58" i="144"/>
  <c r="G58" i="144" s="1"/>
  <c r="H58" i="144" s="1"/>
  <c r="I58" i="144" s="1"/>
  <c r="F57" i="144"/>
  <c r="G57" i="144" s="1"/>
  <c r="H57" i="144" s="1"/>
  <c r="I57" i="144" s="1"/>
  <c r="F56" i="144"/>
  <c r="G56" i="144" s="1"/>
  <c r="H56" i="144" s="1"/>
  <c r="I56" i="144" s="1"/>
  <c r="F54" i="144"/>
  <c r="G54" i="144" s="1"/>
  <c r="E44" i="144"/>
  <c r="E43" i="144"/>
  <c r="E41" i="144"/>
  <c r="E45" i="144"/>
  <c r="D45" i="144"/>
  <c r="D44" i="144"/>
  <c r="D43" i="144"/>
  <c r="D41" i="144"/>
  <c r="E80" i="143"/>
  <c r="G79" i="143"/>
  <c r="E79" i="143"/>
  <c r="B79" i="143"/>
  <c r="G77" i="143"/>
  <c r="E77" i="143"/>
  <c r="E76" i="143"/>
  <c r="E75" i="143"/>
  <c r="E74" i="143"/>
  <c r="E73" i="143"/>
  <c r="E72" i="143"/>
  <c r="K71" i="143"/>
  <c r="J71" i="143"/>
  <c r="I71" i="143"/>
  <c r="H71" i="143"/>
  <c r="G71" i="143"/>
  <c r="F71" i="143"/>
  <c r="E71" i="143"/>
  <c r="B71" i="143"/>
  <c r="G70" i="143"/>
  <c r="E70" i="143"/>
  <c r="E69" i="143"/>
  <c r="E68" i="143"/>
  <c r="E67" i="143"/>
  <c r="E66" i="143"/>
  <c r="E65" i="143"/>
  <c r="E64" i="143"/>
  <c r="K63" i="143"/>
  <c r="J63" i="143"/>
  <c r="I63" i="143"/>
  <c r="H63" i="143"/>
  <c r="G63" i="143"/>
  <c r="F63" i="143"/>
  <c r="E63" i="143"/>
  <c r="B63" i="143"/>
  <c r="E61" i="143"/>
  <c r="E59" i="143"/>
  <c r="E58" i="143"/>
  <c r="M58" i="143" s="1"/>
  <c r="E57" i="143"/>
  <c r="E56" i="143"/>
  <c r="M56" i="143" s="1"/>
  <c r="E55" i="143"/>
  <c r="E54" i="143"/>
  <c r="D43" i="147"/>
  <c r="D53" i="147" s="1"/>
  <c r="F40" i="143"/>
  <c r="D42" i="147"/>
  <c r="F36" i="143"/>
  <c r="C95" i="146"/>
  <c r="C79" i="146"/>
  <c r="C63" i="146"/>
  <c r="F30" i="143"/>
  <c r="C45" i="146" s="1"/>
  <c r="C62" i="146"/>
  <c r="C44" i="146"/>
  <c r="C92" i="146"/>
  <c r="C76" i="146"/>
  <c r="C60" i="146"/>
  <c r="C42" i="146"/>
  <c r="C77" i="146"/>
  <c r="C61" i="146"/>
  <c r="C43" i="146"/>
  <c r="C89" i="146"/>
  <c r="C73" i="146"/>
  <c r="C57" i="146"/>
  <c r="C59" i="146" s="1"/>
  <c r="C39" i="146"/>
  <c r="C28" i="146"/>
  <c r="C23" i="143"/>
  <c r="B23" i="143"/>
  <c r="F16" i="143"/>
  <c r="F10" i="143" s="1"/>
  <c r="B16" i="143"/>
  <c r="B11" i="143"/>
  <c r="B10" i="143" s="1"/>
  <c r="B21" i="143" s="1"/>
  <c r="K6" i="143"/>
  <c r="J6" i="143"/>
  <c r="I6" i="143"/>
  <c r="H8" i="143"/>
  <c r="H6" i="143" s="1"/>
  <c r="G6" i="143"/>
  <c r="F6" i="143"/>
  <c r="B6" i="143"/>
  <c r="G147" i="146" l="1"/>
  <c r="H175" i="147"/>
  <c r="H177" i="147" s="1"/>
  <c r="H166" i="147" s="1"/>
  <c r="H167" i="147"/>
  <c r="H171" i="147"/>
  <c r="H173" i="147" s="1"/>
  <c r="I165" i="147" s="1"/>
  <c r="H15" i="145"/>
  <c r="J35" i="109" s="1"/>
  <c r="J17" i="109" s="1"/>
  <c r="H197" i="146"/>
  <c r="I247" i="147"/>
  <c r="I249" i="147" s="1"/>
  <c r="I238" i="147" s="1"/>
  <c r="I240" i="147" s="1"/>
  <c r="I28" i="147" s="1"/>
  <c r="I239" i="147"/>
  <c r="I243" i="147"/>
  <c r="I245" i="147" s="1"/>
  <c r="I19" i="145"/>
  <c r="K39" i="109" s="1"/>
  <c r="K21" i="109" s="1"/>
  <c r="N121" i="146"/>
  <c r="N122" i="146" s="1"/>
  <c r="F122" i="146"/>
  <c r="F120" i="146"/>
  <c r="F119" i="146" s="1"/>
  <c r="F124" i="146" s="1"/>
  <c r="G139" i="147"/>
  <c r="G141" i="147" s="1"/>
  <c r="G130" i="147" s="1"/>
  <c r="G131" i="147"/>
  <c r="G135" i="147"/>
  <c r="G137" i="147" s="1"/>
  <c r="H129" i="147" s="1"/>
  <c r="G13" i="145"/>
  <c r="I33" i="109" s="1"/>
  <c r="I15" i="109" s="1"/>
  <c r="H135" i="146"/>
  <c r="I156" i="147"/>
  <c r="I158" i="147" s="1"/>
  <c r="I148" i="147" s="1"/>
  <c r="I149" i="147"/>
  <c r="I152" i="147"/>
  <c r="I154" i="147" s="1"/>
  <c r="I14" i="145"/>
  <c r="K34" i="109" s="1"/>
  <c r="K16" i="109" s="1"/>
  <c r="H184" i="146"/>
  <c r="I229" i="147"/>
  <c r="I231" i="147" s="1"/>
  <c r="I220" i="147" s="1"/>
  <c r="I222" i="147" s="1"/>
  <c r="I27" i="147" s="1"/>
  <c r="I221" i="147"/>
  <c r="I225" i="147"/>
  <c r="I227" i="147" s="1"/>
  <c r="I18" i="145"/>
  <c r="K38" i="109" s="1"/>
  <c r="K20" i="109" s="1"/>
  <c r="F135" i="146"/>
  <c r="G156" i="147"/>
  <c r="G158" i="147" s="1"/>
  <c r="G148" i="147" s="1"/>
  <c r="G149" i="147"/>
  <c r="G152" i="147"/>
  <c r="G154" i="147" s="1"/>
  <c r="H147" i="147" s="1"/>
  <c r="H150" i="147" s="1"/>
  <c r="H23" i="147" s="1"/>
  <c r="G14" i="145"/>
  <c r="I34" i="109" s="1"/>
  <c r="I16" i="109" s="1"/>
  <c r="N110" i="146"/>
  <c r="N111" i="146" s="1"/>
  <c r="F122" i="147"/>
  <c r="F124" i="147" s="1"/>
  <c r="F113" i="147" s="1"/>
  <c r="F114" i="147"/>
  <c r="F118" i="147"/>
  <c r="F120" i="147" s="1"/>
  <c r="G112" i="147" s="1"/>
  <c r="F12" i="145"/>
  <c r="H32" i="109" s="1"/>
  <c r="H14" i="109" s="1"/>
  <c r="O121" i="146"/>
  <c r="O122" i="146" s="1"/>
  <c r="G122" i="146"/>
  <c r="G120" i="146"/>
  <c r="G119" i="146" s="1"/>
  <c r="G124" i="146" s="1"/>
  <c r="H139" i="147"/>
  <c r="H141" i="147" s="1"/>
  <c r="H130" i="147" s="1"/>
  <c r="H131" i="147"/>
  <c r="H135" i="147"/>
  <c r="H137" i="147" s="1"/>
  <c r="I129" i="147" s="1"/>
  <c r="H13" i="145"/>
  <c r="J33" i="109" s="1"/>
  <c r="J15" i="109" s="1"/>
  <c r="G171" i="146"/>
  <c r="H212" i="147"/>
  <c r="H214" i="147" s="1"/>
  <c r="H203" i="147" s="1"/>
  <c r="H205" i="147" s="1"/>
  <c r="H26" i="147" s="1"/>
  <c r="H208" i="147"/>
  <c r="H210" i="147" s="1"/>
  <c r="I202" i="147" s="1"/>
  <c r="I205" i="147" s="1"/>
  <c r="I26" i="147" s="1"/>
  <c r="H204" i="147"/>
  <c r="H17" i="145"/>
  <c r="J37" i="109" s="1"/>
  <c r="J19" i="109" s="1"/>
  <c r="P92" i="146"/>
  <c r="P93" i="146" s="1"/>
  <c r="G92" i="146"/>
  <c r="H103" i="147"/>
  <c r="H105" i="147" s="1"/>
  <c r="H94" i="147" s="1"/>
  <c r="H99" i="147"/>
  <c r="H101" i="147" s="1"/>
  <c r="I93" i="147" s="1"/>
  <c r="H95" i="147"/>
  <c r="H11" i="145"/>
  <c r="J31" i="109" s="1"/>
  <c r="J13" i="109" s="1"/>
  <c r="O110" i="146"/>
  <c r="O111" i="146" s="1"/>
  <c r="G122" i="147"/>
  <c r="G124" i="147" s="1"/>
  <c r="G113" i="147" s="1"/>
  <c r="G114" i="147"/>
  <c r="G118" i="147"/>
  <c r="G120" i="147" s="1"/>
  <c r="H112" i="147" s="1"/>
  <c r="G12" i="145"/>
  <c r="I32" i="109" s="1"/>
  <c r="I14" i="109" s="1"/>
  <c r="P121" i="146"/>
  <c r="P122" i="146" s="1"/>
  <c r="H122" i="146"/>
  <c r="H120" i="146"/>
  <c r="H119" i="146" s="1"/>
  <c r="H124" i="146" s="1"/>
  <c r="I139" i="147"/>
  <c r="I141" i="147" s="1"/>
  <c r="I130" i="147" s="1"/>
  <c r="I131" i="147"/>
  <c r="I135" i="147"/>
  <c r="I137" i="147" s="1"/>
  <c r="I13" i="145"/>
  <c r="K33" i="109" s="1"/>
  <c r="K15" i="109" s="1"/>
  <c r="H171" i="146"/>
  <c r="I212" i="147"/>
  <c r="I214" i="147" s="1"/>
  <c r="I203" i="147" s="1"/>
  <c r="I208" i="147"/>
  <c r="I210" i="147" s="1"/>
  <c r="I204" i="147"/>
  <c r="I17" i="145"/>
  <c r="K37" i="109" s="1"/>
  <c r="K19" i="109" s="1"/>
  <c r="G135" i="146"/>
  <c r="H156" i="147"/>
  <c r="H158" i="147" s="1"/>
  <c r="H148" i="147" s="1"/>
  <c r="H149" i="147"/>
  <c r="H152" i="147"/>
  <c r="H154" i="147" s="1"/>
  <c r="I147" i="147" s="1"/>
  <c r="I150" i="147" s="1"/>
  <c r="I23" i="147" s="1"/>
  <c r="H14" i="145"/>
  <c r="J34" i="109" s="1"/>
  <c r="J16" i="109" s="1"/>
  <c r="E92" i="146"/>
  <c r="N92" i="146"/>
  <c r="N93" i="146" s="1"/>
  <c r="F103" i="147"/>
  <c r="F105" i="147" s="1"/>
  <c r="F94" i="147" s="1"/>
  <c r="F96" i="147" s="1"/>
  <c r="F20" i="147" s="1"/>
  <c r="F99" i="147"/>
  <c r="F101" i="147" s="1"/>
  <c r="G93" i="147" s="1"/>
  <c r="F95" i="147"/>
  <c r="F11" i="145"/>
  <c r="H31" i="109" s="1"/>
  <c r="H13" i="109" s="1"/>
  <c r="P110" i="146"/>
  <c r="P111" i="146" s="1"/>
  <c r="H122" i="147"/>
  <c r="H124" i="147" s="1"/>
  <c r="H113" i="147" s="1"/>
  <c r="H114" i="147"/>
  <c r="H118" i="147"/>
  <c r="H120" i="147" s="1"/>
  <c r="I112" i="147" s="1"/>
  <c r="H12" i="145"/>
  <c r="J32" i="109" s="1"/>
  <c r="J14" i="109" s="1"/>
  <c r="G159" i="146"/>
  <c r="H194" i="147"/>
  <c r="H196" i="147" s="1"/>
  <c r="H185" i="147" s="1"/>
  <c r="H190" i="147"/>
  <c r="H192" i="147" s="1"/>
  <c r="I184" i="147" s="1"/>
  <c r="H186" i="147"/>
  <c r="H16" i="145"/>
  <c r="J36" i="109" s="1"/>
  <c r="J18" i="109" s="1"/>
  <c r="H92" i="146"/>
  <c r="Q92" i="146"/>
  <c r="Q93" i="146" s="1"/>
  <c r="I103" i="147"/>
  <c r="I105" i="147" s="1"/>
  <c r="I94" i="147" s="1"/>
  <c r="I95" i="147"/>
  <c r="I99" i="147"/>
  <c r="I101" i="147" s="1"/>
  <c r="I11" i="145"/>
  <c r="K31" i="109" s="1"/>
  <c r="K13" i="109" s="1"/>
  <c r="H147" i="146"/>
  <c r="I175" i="147"/>
  <c r="I177" i="147" s="1"/>
  <c r="I166" i="147" s="1"/>
  <c r="I167" i="147"/>
  <c r="I171" i="147"/>
  <c r="I173" i="147" s="1"/>
  <c r="I15" i="145"/>
  <c r="K35" i="109" s="1"/>
  <c r="K17" i="109" s="1"/>
  <c r="M121" i="146"/>
  <c r="M122" i="146" s="1"/>
  <c r="E122" i="146"/>
  <c r="E120" i="146"/>
  <c r="E119" i="146" s="1"/>
  <c r="E124" i="146" s="1"/>
  <c r="F139" i="147"/>
  <c r="F141" i="147" s="1"/>
  <c r="F130" i="147" s="1"/>
  <c r="F135" i="147"/>
  <c r="F137" i="147" s="1"/>
  <c r="G129" i="147" s="1"/>
  <c r="F131" i="147"/>
  <c r="F13" i="145"/>
  <c r="H33" i="109" s="1"/>
  <c r="H15" i="109" s="1"/>
  <c r="O92" i="146"/>
  <c r="O93" i="146" s="1"/>
  <c r="F92" i="146"/>
  <c r="G103" i="147"/>
  <c r="G105" i="147" s="1"/>
  <c r="G94" i="147" s="1"/>
  <c r="G99" i="147"/>
  <c r="G101" i="147" s="1"/>
  <c r="H93" i="147" s="1"/>
  <c r="G95" i="147"/>
  <c r="G11" i="145"/>
  <c r="I31" i="109" s="1"/>
  <c r="I13" i="109" s="1"/>
  <c r="Q110" i="146"/>
  <c r="Q111" i="146" s="1"/>
  <c r="I122" i="147"/>
  <c r="I124" i="147" s="1"/>
  <c r="I113" i="147" s="1"/>
  <c r="I118" i="147"/>
  <c r="I120" i="147" s="1"/>
  <c r="I114" i="147"/>
  <c r="I12" i="145"/>
  <c r="K32" i="109" s="1"/>
  <c r="K14" i="109" s="1"/>
  <c r="F147" i="146"/>
  <c r="G175" i="147"/>
  <c r="G177" i="147" s="1"/>
  <c r="G166" i="147" s="1"/>
  <c r="G171" i="147"/>
  <c r="G173" i="147" s="1"/>
  <c r="H165" i="147" s="1"/>
  <c r="H168" i="147" s="1"/>
  <c r="H24" i="147" s="1"/>
  <c r="G167" i="147"/>
  <c r="G15" i="145"/>
  <c r="I35" i="109" s="1"/>
  <c r="I17" i="109" s="1"/>
  <c r="H159" i="146"/>
  <c r="I194" i="147"/>
  <c r="I196" i="147" s="1"/>
  <c r="I185" i="147" s="1"/>
  <c r="I190" i="147"/>
  <c r="I192" i="147" s="1"/>
  <c r="I186" i="147"/>
  <c r="I16" i="145"/>
  <c r="K36" i="109" s="1"/>
  <c r="K18" i="109" s="1"/>
  <c r="E49" i="143"/>
  <c r="M49" i="143" s="1"/>
  <c r="E46" i="143"/>
  <c r="M46" i="143" s="1"/>
  <c r="E26" i="143"/>
  <c r="M26" i="143" s="1"/>
  <c r="M55" i="143"/>
  <c r="M61" i="143"/>
  <c r="C66" i="146"/>
  <c r="C82" i="146"/>
  <c r="D77" i="146" s="1"/>
  <c r="D82" i="146" s="1"/>
  <c r="E77" i="146" s="1"/>
  <c r="E82" i="146" s="1"/>
  <c r="F77" i="146" s="1"/>
  <c r="F82" i="146" s="1"/>
  <c r="G77" i="146" s="1"/>
  <c r="G82" i="146" s="1"/>
  <c r="H77" i="146" s="1"/>
  <c r="H82" i="146" s="1"/>
  <c r="D44" i="147"/>
  <c r="D16" i="147" s="1"/>
  <c r="D29" i="147" s="1"/>
  <c r="M57" i="143"/>
  <c r="M54" i="143"/>
  <c r="C81" i="146"/>
  <c r="E29" i="143"/>
  <c r="E38" i="143"/>
  <c r="M38" i="143" s="1"/>
  <c r="E35" i="143"/>
  <c r="M35" i="143" s="1"/>
  <c r="E41" i="143"/>
  <c r="E25" i="143"/>
  <c r="M25" i="143" s="1"/>
  <c r="C83" i="146"/>
  <c r="D79" i="146" s="1"/>
  <c r="D83" i="146" s="1"/>
  <c r="E79" i="146" s="1"/>
  <c r="E83" i="146" s="1"/>
  <c r="F79" i="146" s="1"/>
  <c r="F83" i="146" s="1"/>
  <c r="G79" i="146" s="1"/>
  <c r="G83" i="146" s="1"/>
  <c r="H79" i="146" s="1"/>
  <c r="H83" i="146" s="1"/>
  <c r="E47" i="143"/>
  <c r="M47" i="143" s="1"/>
  <c r="E44" i="143"/>
  <c r="M44" i="143" s="1"/>
  <c r="C72" i="146"/>
  <c r="C75" i="146"/>
  <c r="C80" i="146"/>
  <c r="C12" i="146" s="1"/>
  <c r="C34" i="146"/>
  <c r="C8" i="146" s="1"/>
  <c r="C29" i="146"/>
  <c r="C31" i="146" s="1"/>
  <c r="C38" i="146"/>
  <c r="C41" i="146"/>
  <c r="E33" i="143"/>
  <c r="M33" i="143" s="1"/>
  <c r="C88" i="146"/>
  <c r="C98" i="146" s="1"/>
  <c r="D95" i="146" s="1"/>
  <c r="D98" i="146" s="1"/>
  <c r="C96" i="146"/>
  <c r="C13" i="146" s="1"/>
  <c r="C91" i="146"/>
  <c r="D18" i="110"/>
  <c r="D11" i="110" s="1"/>
  <c r="D30" i="147"/>
  <c r="E51" i="143"/>
  <c r="M51" i="143" s="1"/>
  <c r="C48" i="146"/>
  <c r="D43" i="146" s="1"/>
  <c r="D48" i="146" s="1"/>
  <c r="F31" i="109"/>
  <c r="F13" i="109" s="1"/>
  <c r="F34" i="109"/>
  <c r="F16" i="109" s="1"/>
  <c r="F37" i="109"/>
  <c r="F19" i="109" s="1"/>
  <c r="F32" i="109"/>
  <c r="F14" i="109" s="1"/>
  <c r="F35" i="109"/>
  <c r="F17" i="109" s="1"/>
  <c r="F38" i="109"/>
  <c r="F20" i="109" s="1"/>
  <c r="F33" i="109"/>
  <c r="F15" i="109" s="1"/>
  <c r="F36" i="109"/>
  <c r="F18" i="109" s="1"/>
  <c r="F39" i="109"/>
  <c r="F21" i="109" s="1"/>
  <c r="G14" i="108"/>
  <c r="E53" i="143"/>
  <c r="E42" i="143"/>
  <c r="M42" i="143" s="1"/>
  <c r="E39" i="143"/>
  <c r="E27" i="143"/>
  <c r="E34" i="143"/>
  <c r="M34" i="143" s="1"/>
  <c r="E31" i="143"/>
  <c r="M31" i="143" s="1"/>
  <c r="E30" i="143"/>
  <c r="M30" i="143" s="1"/>
  <c r="E19" i="143"/>
  <c r="M41" i="143"/>
  <c r="E36" i="143"/>
  <c r="M36" i="143" s="1"/>
  <c r="E50" i="143"/>
  <c r="M50" i="143" s="1"/>
  <c r="M59" i="143"/>
  <c r="E48" i="143"/>
  <c r="M48" i="143" s="1"/>
  <c r="E40" i="143"/>
  <c r="M40" i="143" s="1"/>
  <c r="E24" i="143"/>
  <c r="M24" i="143" s="1"/>
  <c r="I16" i="143"/>
  <c r="J16" i="143"/>
  <c r="K16" i="143"/>
  <c r="K10" i="143" s="1"/>
  <c r="L21" i="143"/>
  <c r="E8" i="143"/>
  <c r="E6" i="143" s="1"/>
  <c r="E28" i="143"/>
  <c r="M28" i="143" s="1"/>
  <c r="M29" i="143"/>
  <c r="M53" i="143"/>
  <c r="M39" i="143"/>
  <c r="F23" i="143"/>
  <c r="G16" i="143"/>
  <c r="E45" i="143"/>
  <c r="M45" i="143" s="1"/>
  <c r="E43" i="143"/>
  <c r="M43" i="143" s="1"/>
  <c r="E52" i="143"/>
  <c r="M52" i="143" s="1"/>
  <c r="F21" i="143"/>
  <c r="E37" i="143"/>
  <c r="M37" i="143" s="1"/>
  <c r="E18" i="143"/>
  <c r="M18" i="143" s="1"/>
  <c r="E32" i="143"/>
  <c r="M32" i="143" s="1"/>
  <c r="E60" i="143"/>
  <c r="M60" i="143" s="1"/>
  <c r="I42" i="144"/>
  <c r="F42" i="144"/>
  <c r="G42" i="144"/>
  <c r="H42" i="144"/>
  <c r="F86" i="144"/>
  <c r="H32" i="108" s="1"/>
  <c r="H14" i="108" s="1"/>
  <c r="H96" i="144"/>
  <c r="H98" i="144" s="1"/>
  <c r="G84" i="144"/>
  <c r="H110" i="144"/>
  <c r="G82" i="144"/>
  <c r="G85" i="144"/>
  <c r="H113" i="144"/>
  <c r="G98" i="144"/>
  <c r="I94" i="144"/>
  <c r="G83" i="144"/>
  <c r="I111" i="144"/>
  <c r="I83" i="144" s="1"/>
  <c r="H83" i="144"/>
  <c r="F73" i="144"/>
  <c r="F43" i="144" s="1"/>
  <c r="F75" i="144"/>
  <c r="G75" i="144" s="1"/>
  <c r="F41" i="144"/>
  <c r="D46" i="144"/>
  <c r="D31" i="108" s="1"/>
  <c r="D13" i="108" s="1"/>
  <c r="G41" i="144"/>
  <c r="H54" i="144"/>
  <c r="G59" i="144"/>
  <c r="E46" i="144"/>
  <c r="G31" i="108" s="1"/>
  <c r="F74" i="144"/>
  <c r="F59" i="144"/>
  <c r="E17" i="143"/>
  <c r="H16" i="143"/>
  <c r="D8" i="145" s="1"/>
  <c r="D28" i="109" s="1"/>
  <c r="D10" i="109" s="1"/>
  <c r="G23" i="143"/>
  <c r="H23" i="143"/>
  <c r="I23" i="143"/>
  <c r="J23" i="143"/>
  <c r="K23" i="143"/>
  <c r="B62" i="143"/>
  <c r="B78" i="143" s="1"/>
  <c r="B81" i="143" s="1"/>
  <c r="L23" i="143"/>
  <c r="I115" i="147" l="1"/>
  <c r="I21" i="147" s="1"/>
  <c r="H132" i="147"/>
  <c r="H22" i="147" s="1"/>
  <c r="G132" i="147"/>
  <c r="G22" i="147" s="1"/>
  <c r="I96" i="147"/>
  <c r="I20" i="147" s="1"/>
  <c r="G150" i="147"/>
  <c r="G23" i="147" s="1"/>
  <c r="F132" i="147"/>
  <c r="F22" i="147" s="1"/>
  <c r="G115" i="147"/>
  <c r="G21" i="147" s="1"/>
  <c r="I168" i="147"/>
  <c r="I24" i="147" s="1"/>
  <c r="H96" i="147"/>
  <c r="H20" i="147" s="1"/>
  <c r="I187" i="147"/>
  <c r="I25" i="147" s="1"/>
  <c r="H115" i="147"/>
  <c r="H21" i="147" s="1"/>
  <c r="I132" i="147"/>
  <c r="I22" i="147" s="1"/>
  <c r="G168" i="147"/>
  <c r="G24" i="147" s="1"/>
  <c r="H187" i="147"/>
  <c r="H25" i="147" s="1"/>
  <c r="F115" i="147"/>
  <c r="F21" i="147" s="1"/>
  <c r="N75" i="146"/>
  <c r="N76" i="146" s="1"/>
  <c r="E76" i="146"/>
  <c r="F85" i="147"/>
  <c r="F87" i="147" s="1"/>
  <c r="F76" i="147" s="1"/>
  <c r="F78" i="147" s="1"/>
  <c r="F19" i="147" s="1"/>
  <c r="F77" i="147"/>
  <c r="F81" i="147"/>
  <c r="F83" i="147" s="1"/>
  <c r="G75" i="147" s="1"/>
  <c r="F10" i="145"/>
  <c r="H30" i="109" s="1"/>
  <c r="H12" i="109" s="1"/>
  <c r="G96" i="147"/>
  <c r="G20" i="147" s="1"/>
  <c r="M27" i="143"/>
  <c r="O24" i="143"/>
  <c r="E95" i="146"/>
  <c r="E98" i="146" s="1"/>
  <c r="D112" i="146"/>
  <c r="D125" i="146"/>
  <c r="D88" i="146"/>
  <c r="D72" i="146"/>
  <c r="L62" i="143"/>
  <c r="M6" i="143"/>
  <c r="D105" i="146"/>
  <c r="D80" i="146"/>
  <c r="D12" i="146" s="1"/>
  <c r="G10" i="143"/>
  <c r="D23" i="145" s="1"/>
  <c r="D7" i="145"/>
  <c r="D93" i="146"/>
  <c r="D97" i="146" s="1"/>
  <c r="E43" i="146"/>
  <c r="E48" i="146" s="1"/>
  <c r="D11" i="145"/>
  <c r="D31" i="109" s="1"/>
  <c r="D13" i="109" s="1"/>
  <c r="D27" i="145"/>
  <c r="J10" i="143"/>
  <c r="D26" i="145" s="1"/>
  <c r="D10" i="145"/>
  <c r="D30" i="109" s="1"/>
  <c r="D12" i="109" s="1"/>
  <c r="I10" i="143"/>
  <c r="D25" i="145" s="1"/>
  <c r="D9" i="145"/>
  <c r="D29" i="109" s="1"/>
  <c r="D11" i="109" s="1"/>
  <c r="F30" i="109"/>
  <c r="F12" i="109" s="1"/>
  <c r="D27" i="108"/>
  <c r="F29" i="108"/>
  <c r="F31" i="108"/>
  <c r="F13" i="108" s="1"/>
  <c r="G13" i="108"/>
  <c r="G27" i="108"/>
  <c r="E23" i="143"/>
  <c r="F62" i="143"/>
  <c r="F78" i="143" s="1"/>
  <c r="F81" i="143" s="1"/>
  <c r="F87" i="143" s="1"/>
  <c r="F89" i="143" s="1"/>
  <c r="P26" i="143"/>
  <c r="P28" i="143" s="1"/>
  <c r="I21" i="143"/>
  <c r="I62" i="143" s="1"/>
  <c r="I78" i="143" s="1"/>
  <c r="I81" i="143" s="1"/>
  <c r="I87" i="143" s="1"/>
  <c r="I89" i="143" s="1"/>
  <c r="K21" i="143"/>
  <c r="K62" i="143" s="1"/>
  <c r="K78" i="143" s="1"/>
  <c r="K81" i="143" s="1"/>
  <c r="K87" i="143" s="1"/>
  <c r="K89" i="143" s="1"/>
  <c r="J21" i="143"/>
  <c r="J62" i="143" s="1"/>
  <c r="J78" i="143" s="1"/>
  <c r="J81" i="143" s="1"/>
  <c r="J87" i="143" s="1"/>
  <c r="J89" i="143" s="1"/>
  <c r="G21" i="143"/>
  <c r="G62" i="143" s="1"/>
  <c r="G78" i="143" s="1"/>
  <c r="G81" i="143" s="1"/>
  <c r="G87" i="143" s="1"/>
  <c r="G89" i="143" s="1"/>
  <c r="H85" i="144"/>
  <c r="I113" i="144"/>
  <c r="I85" i="144" s="1"/>
  <c r="G86" i="144"/>
  <c r="I32" i="108" s="1"/>
  <c r="I14" i="108" s="1"/>
  <c r="I110" i="144"/>
  <c r="I82" i="144" s="1"/>
  <c r="H82" i="144"/>
  <c r="I96" i="144"/>
  <c r="I84" i="144" s="1"/>
  <c r="H84" i="144"/>
  <c r="G73" i="144"/>
  <c r="G43" i="144" s="1"/>
  <c r="F45" i="144"/>
  <c r="F44" i="144"/>
  <c r="G74" i="144"/>
  <c r="G45" i="144"/>
  <c r="H75" i="144"/>
  <c r="I54" i="144"/>
  <c r="H41" i="144"/>
  <c r="H59" i="144"/>
  <c r="H10" i="143"/>
  <c r="D24" i="145" s="1"/>
  <c r="H21" i="143"/>
  <c r="E16" i="143"/>
  <c r="F76" i="146" l="1"/>
  <c r="O75" i="146"/>
  <c r="O76" i="146" s="1"/>
  <c r="G81" i="147"/>
  <c r="G83" i="147" s="1"/>
  <c r="H75" i="147" s="1"/>
  <c r="G85" i="147"/>
  <c r="G87" i="147" s="1"/>
  <c r="G76" i="147" s="1"/>
  <c r="G77" i="147"/>
  <c r="G10" i="145"/>
  <c r="I30" i="109" s="1"/>
  <c r="I12" i="109" s="1"/>
  <c r="G78" i="147"/>
  <c r="G19" i="147" s="1"/>
  <c r="E150" i="146"/>
  <c r="E138" i="146"/>
  <c r="F95" i="146"/>
  <c r="F98" i="146" s="1"/>
  <c r="E112" i="146"/>
  <c r="E125" i="146"/>
  <c r="D118" i="146"/>
  <c r="E67" i="147"/>
  <c r="E69" i="147" s="1"/>
  <c r="E59" i="147" s="1"/>
  <c r="E63" i="147"/>
  <c r="E65" i="147" s="1"/>
  <c r="F58" i="147" s="1"/>
  <c r="E60" i="147"/>
  <c r="D58" i="146"/>
  <c r="E9" i="145"/>
  <c r="G29" i="109" s="1"/>
  <c r="G11" i="109" s="1"/>
  <c r="D113" i="146"/>
  <c r="D14" i="146" s="1"/>
  <c r="M23" i="143"/>
  <c r="E93" i="146"/>
  <c r="E97" i="146" s="1"/>
  <c r="F43" i="146"/>
  <c r="F48" i="146" s="1"/>
  <c r="D123" i="146"/>
  <c r="D96" i="146"/>
  <c r="D13" i="146" s="1"/>
  <c r="D27" i="109"/>
  <c r="D25" i="109" s="1"/>
  <c r="D20" i="145"/>
  <c r="F46" i="144"/>
  <c r="H31" i="108" s="1"/>
  <c r="H13" i="108" s="1"/>
  <c r="E60" i="146" s="1"/>
  <c r="F11" i="108"/>
  <c r="F9" i="108" s="1"/>
  <c r="E7" i="1" s="1"/>
  <c r="F27" i="108"/>
  <c r="H73" i="144"/>
  <c r="H43" i="144" s="1"/>
  <c r="H86" i="144"/>
  <c r="J32" i="108" s="1"/>
  <c r="J14" i="108" s="1"/>
  <c r="I86" i="144"/>
  <c r="K32" i="108" s="1"/>
  <c r="K14" i="108" s="1"/>
  <c r="I98" i="144"/>
  <c r="I59" i="144"/>
  <c r="I41" i="144"/>
  <c r="H45" i="144"/>
  <c r="I75" i="144"/>
  <c r="I45" i="144" s="1"/>
  <c r="G44" i="144"/>
  <c r="G46" i="144" s="1"/>
  <c r="I31" i="108" s="1"/>
  <c r="I13" i="108" s="1"/>
  <c r="F60" i="146" s="1"/>
  <c r="H74" i="144"/>
  <c r="H62" i="143"/>
  <c r="H78" i="143" s="1"/>
  <c r="H81" i="143" s="1"/>
  <c r="H87" i="143" s="1"/>
  <c r="H89" i="143" s="1"/>
  <c r="E21" i="143"/>
  <c r="E10" i="143"/>
  <c r="L16" i="143"/>
  <c r="G76" i="146" l="1"/>
  <c r="P75" i="146"/>
  <c r="P76" i="146" s="1"/>
  <c r="H85" i="147"/>
  <c r="H87" i="147" s="1"/>
  <c r="H76" i="147" s="1"/>
  <c r="H77" i="147"/>
  <c r="H81" i="147"/>
  <c r="H83" i="147" s="1"/>
  <c r="I75" i="147" s="1"/>
  <c r="I78" i="147" s="1"/>
  <c r="I19" i="147" s="1"/>
  <c r="H10" i="145"/>
  <c r="J30" i="109" s="1"/>
  <c r="J12" i="109" s="1"/>
  <c r="H78" i="147"/>
  <c r="H19" i="147" s="1"/>
  <c r="H76" i="146"/>
  <c r="Q75" i="146"/>
  <c r="Q76" i="146" s="1"/>
  <c r="I85" i="147"/>
  <c r="I87" i="147" s="1"/>
  <c r="I76" i="147" s="1"/>
  <c r="I81" i="147"/>
  <c r="I83" i="147" s="1"/>
  <c r="I77" i="147"/>
  <c r="I10" i="145"/>
  <c r="K30" i="109" s="1"/>
  <c r="K12" i="109" s="1"/>
  <c r="F162" i="146"/>
  <c r="F150" i="146"/>
  <c r="F174" i="146"/>
  <c r="F138" i="146"/>
  <c r="G95" i="146"/>
  <c r="G98" i="146" s="1"/>
  <c r="F112" i="146"/>
  <c r="F125" i="146"/>
  <c r="D126" i="146"/>
  <c r="D15" i="146" s="1"/>
  <c r="E109" i="146"/>
  <c r="E105" i="146" s="1"/>
  <c r="F29" i="109"/>
  <c r="F11" i="109" s="1"/>
  <c r="F63" i="147"/>
  <c r="F65" i="147" s="1"/>
  <c r="G58" i="147" s="1"/>
  <c r="F67" i="147"/>
  <c r="F69" i="147" s="1"/>
  <c r="F59" i="147" s="1"/>
  <c r="F60" i="147"/>
  <c r="F9" i="145"/>
  <c r="H29" i="109" s="1"/>
  <c r="H11" i="109" s="1"/>
  <c r="D57" i="146"/>
  <c r="E58" i="146"/>
  <c r="G67" i="147"/>
  <c r="G69" i="147" s="1"/>
  <c r="G59" i="147" s="1"/>
  <c r="G63" i="147"/>
  <c r="G65" i="147" s="1"/>
  <c r="H58" i="147" s="1"/>
  <c r="G60" i="147"/>
  <c r="G9" i="145"/>
  <c r="I29" i="109" s="1"/>
  <c r="I11" i="109" s="1"/>
  <c r="E61" i="147"/>
  <c r="E18" i="147" s="1"/>
  <c r="E29" i="147" s="1"/>
  <c r="E88" i="146"/>
  <c r="G43" i="146"/>
  <c r="G48" i="146" s="1"/>
  <c r="F93" i="146"/>
  <c r="F97" i="146" s="1"/>
  <c r="E96" i="146"/>
  <c r="E13" i="146" s="1"/>
  <c r="E136" i="146"/>
  <c r="E123" i="146"/>
  <c r="I73" i="144"/>
  <c r="I43" i="144" s="1"/>
  <c r="I74" i="144"/>
  <c r="I44" i="144" s="1"/>
  <c r="H44" i="144"/>
  <c r="H46" i="144" s="1"/>
  <c r="J31" i="108" s="1"/>
  <c r="J13" i="108" s="1"/>
  <c r="G60" i="146" s="1"/>
  <c r="E62" i="143"/>
  <c r="M21" i="143"/>
  <c r="G162" i="146" l="1"/>
  <c r="G200" i="146"/>
  <c r="G150" i="146"/>
  <c r="G187" i="146"/>
  <c r="G174" i="146"/>
  <c r="G138" i="146"/>
  <c r="H95" i="146"/>
  <c r="H98" i="146" s="1"/>
  <c r="G112" i="146"/>
  <c r="G125" i="146"/>
  <c r="E113" i="146"/>
  <c r="E14" i="146" s="1"/>
  <c r="F61" i="147"/>
  <c r="F18" i="147" s="1"/>
  <c r="E57" i="146"/>
  <c r="F58" i="146"/>
  <c r="H67" i="147"/>
  <c r="H69" i="147" s="1"/>
  <c r="H59" i="147" s="1"/>
  <c r="H60" i="147"/>
  <c r="H63" i="147"/>
  <c r="H65" i="147" s="1"/>
  <c r="I58" i="147" s="1"/>
  <c r="H9" i="145"/>
  <c r="J29" i="109" s="1"/>
  <c r="J11" i="109" s="1"/>
  <c r="G18" i="110"/>
  <c r="D62" i="146"/>
  <c r="D61" i="146"/>
  <c r="D66" i="146" s="1"/>
  <c r="D65" i="146"/>
  <c r="G61" i="147"/>
  <c r="G18" i="147" s="1"/>
  <c r="E131" i="146"/>
  <c r="E139" i="146"/>
  <c r="E16" i="146" s="1"/>
  <c r="E118" i="146"/>
  <c r="E126" i="146"/>
  <c r="E15" i="146" s="1"/>
  <c r="F136" i="146"/>
  <c r="F123" i="146"/>
  <c r="F109" i="146"/>
  <c r="F88" i="146"/>
  <c r="F96" i="146"/>
  <c r="F13" i="146" s="1"/>
  <c r="H43" i="146"/>
  <c r="H48" i="146" s="1"/>
  <c r="H93" i="146" s="1"/>
  <c r="H97" i="146" s="1"/>
  <c r="G93" i="146"/>
  <c r="G97" i="146" s="1"/>
  <c r="I11" i="108"/>
  <c r="I27" i="108"/>
  <c r="H11" i="108"/>
  <c r="H27" i="108"/>
  <c r="I46" i="144"/>
  <c r="K31" i="108" s="1"/>
  <c r="K13" i="108" s="1"/>
  <c r="H60" i="146" s="1"/>
  <c r="E78" i="143"/>
  <c r="E81" i="143" s="1"/>
  <c r="E87" i="143" s="1"/>
  <c r="E89" i="143" s="1"/>
  <c r="M62" i="143"/>
  <c r="R41" i="146" l="1"/>
  <c r="R42" i="146" s="1"/>
  <c r="F42" i="146"/>
  <c r="G50" i="147"/>
  <c r="G52" i="147" s="1"/>
  <c r="G42" i="147" s="1"/>
  <c r="G46" i="147"/>
  <c r="G48" i="147" s="1"/>
  <c r="H41" i="147" s="1"/>
  <c r="G7" i="145"/>
  <c r="Q41" i="146"/>
  <c r="Q42" i="146" s="1"/>
  <c r="E42" i="146"/>
  <c r="F46" i="147"/>
  <c r="F48" i="147" s="1"/>
  <c r="G41" i="147" s="1"/>
  <c r="G44" i="147" s="1"/>
  <c r="G16" i="147" s="1"/>
  <c r="G29" i="147" s="1"/>
  <c r="I18" i="110" s="1"/>
  <c r="I11" i="110" s="1"/>
  <c r="F50" i="147"/>
  <c r="F52" i="147" s="1"/>
  <c r="F42" i="147" s="1"/>
  <c r="F44" i="147" s="1"/>
  <c r="F16" i="147" s="1"/>
  <c r="F29" i="147" s="1"/>
  <c r="H18" i="110" s="1"/>
  <c r="H11" i="110" s="1"/>
  <c r="H200" i="146"/>
  <c r="H174" i="146"/>
  <c r="H138" i="146"/>
  <c r="H162" i="146"/>
  <c r="H150" i="146"/>
  <c r="H187" i="146"/>
  <c r="H112" i="146"/>
  <c r="H125" i="146"/>
  <c r="E65" i="146"/>
  <c r="E61" i="146"/>
  <c r="E66" i="146" s="1"/>
  <c r="H61" i="147"/>
  <c r="H18" i="147" s="1"/>
  <c r="D56" i="146"/>
  <c r="I67" i="147"/>
  <c r="I69" i="147" s="1"/>
  <c r="I59" i="147" s="1"/>
  <c r="I63" i="147"/>
  <c r="I65" i="147" s="1"/>
  <c r="I60" i="147"/>
  <c r="I9" i="145"/>
  <c r="K29" i="109" s="1"/>
  <c r="K11" i="109" s="1"/>
  <c r="F18" i="110"/>
  <c r="F11" i="110" s="1"/>
  <c r="G11" i="110"/>
  <c r="G58" i="146"/>
  <c r="F57" i="146"/>
  <c r="E62" i="146"/>
  <c r="H123" i="146"/>
  <c r="H136" i="146"/>
  <c r="G123" i="146"/>
  <c r="G136" i="146"/>
  <c r="F105" i="146"/>
  <c r="F113" i="146"/>
  <c r="F14" i="146" s="1"/>
  <c r="F7" i="145"/>
  <c r="H9" i="108"/>
  <c r="I9" i="108"/>
  <c r="F13" i="1" l="1"/>
  <c r="E13" i="1"/>
  <c r="G13" i="1"/>
  <c r="M13" i="1" s="1"/>
  <c r="H13" i="1"/>
  <c r="E56" i="146"/>
  <c r="I61" i="147"/>
  <c r="I18" i="147" s="1"/>
  <c r="H58" i="146"/>
  <c r="H57" i="146" s="1"/>
  <c r="G57" i="146"/>
  <c r="F62" i="146"/>
  <c r="H7" i="1"/>
  <c r="G7" i="1"/>
  <c r="F30" i="147"/>
  <c r="F61" i="146"/>
  <c r="F66" i="146" s="1"/>
  <c r="G30" i="147"/>
  <c r="F65" i="146"/>
  <c r="F131" i="146"/>
  <c r="F139" i="146"/>
  <c r="F16" i="146" s="1"/>
  <c r="F118" i="146"/>
  <c r="F126" i="146"/>
  <c r="F15" i="146" s="1"/>
  <c r="F155" i="146"/>
  <c r="F163" i="146"/>
  <c r="F18" i="146" s="1"/>
  <c r="G109" i="146"/>
  <c r="G88" i="146"/>
  <c r="G96" i="146"/>
  <c r="G13" i="146" s="1"/>
  <c r="F167" i="146"/>
  <c r="F175" i="146"/>
  <c r="F19" i="146" s="1"/>
  <c r="I27" i="109"/>
  <c r="I9" i="109" s="1"/>
  <c r="G20" i="145"/>
  <c r="G21" i="145" s="1"/>
  <c r="H27" i="109"/>
  <c r="H9" i="109" s="1"/>
  <c r="F20" i="145"/>
  <c r="F21" i="145" s="1"/>
  <c r="J11" i="108"/>
  <c r="J27" i="108"/>
  <c r="K11" i="108"/>
  <c r="K27" i="108"/>
  <c r="G42" i="115"/>
  <c r="G25" i="115"/>
  <c r="G65" i="146" l="1"/>
  <c r="H65" i="146" s="1"/>
  <c r="G61" i="146"/>
  <c r="G66" i="146" s="1"/>
  <c r="H61" i="146" s="1"/>
  <c r="H66" i="146" s="1"/>
  <c r="N13" i="1"/>
  <c r="S41" i="146"/>
  <c r="S42" i="146" s="1"/>
  <c r="G42" i="146"/>
  <c r="H50" i="147"/>
  <c r="H52" i="147" s="1"/>
  <c r="H42" i="147" s="1"/>
  <c r="H44" i="147" s="1"/>
  <c r="H16" i="147" s="1"/>
  <c r="H29" i="147" s="1"/>
  <c r="J18" i="110" s="1"/>
  <c r="J11" i="110" s="1"/>
  <c r="H46" i="147"/>
  <c r="H48" i="147" s="1"/>
  <c r="I41" i="147" s="1"/>
  <c r="I44" i="147" s="1"/>
  <c r="I16" i="147" s="1"/>
  <c r="I29" i="147" s="1"/>
  <c r="K18" i="110" s="1"/>
  <c r="K11" i="110" s="1"/>
  <c r="T41" i="146"/>
  <c r="T42" i="146" s="1"/>
  <c r="H42" i="146"/>
  <c r="I50" i="147"/>
  <c r="I52" i="147" s="1"/>
  <c r="I42" i="147" s="1"/>
  <c r="I46" i="147"/>
  <c r="I48" i="147" s="1"/>
  <c r="N7" i="1"/>
  <c r="F56" i="146"/>
  <c r="G62" i="146"/>
  <c r="G56" i="146"/>
  <c r="H62" i="146"/>
  <c r="H56" i="146"/>
  <c r="G105" i="146"/>
  <c r="G113" i="146"/>
  <c r="G14" i="146" s="1"/>
  <c r="H7" i="109"/>
  <c r="H25" i="109"/>
  <c r="I7" i="109"/>
  <c r="I25" i="109"/>
  <c r="I7" i="145"/>
  <c r="K9" i="108"/>
  <c r="H7" i="145"/>
  <c r="J9" i="108"/>
  <c r="J13" i="1" l="1"/>
  <c r="I13" i="1"/>
  <c r="O13" i="1" s="1"/>
  <c r="I7" i="1"/>
  <c r="H30" i="147"/>
  <c r="J7" i="1"/>
  <c r="I30" i="147"/>
  <c r="H8" i="1"/>
  <c r="G8" i="1"/>
  <c r="G118" i="146"/>
  <c r="G126" i="146"/>
  <c r="G15" i="146" s="1"/>
  <c r="G155" i="146"/>
  <c r="G163" i="146"/>
  <c r="G18" i="146" s="1"/>
  <c r="H109" i="146"/>
  <c r="H88" i="146"/>
  <c r="H96" i="146"/>
  <c r="H13" i="146" s="1"/>
  <c r="G131" i="146"/>
  <c r="G139" i="146"/>
  <c r="G16" i="146" s="1"/>
  <c r="G167" i="146"/>
  <c r="G175" i="146"/>
  <c r="G19" i="146" s="1"/>
  <c r="G193" i="146"/>
  <c r="G201" i="146"/>
  <c r="G21" i="146" s="1"/>
  <c r="G180" i="146"/>
  <c r="G188" i="146"/>
  <c r="G20" i="146" s="1"/>
  <c r="J27" i="109"/>
  <c r="J9" i="109" s="1"/>
  <c r="H20" i="145"/>
  <c r="H21" i="145" s="1"/>
  <c r="K27" i="109"/>
  <c r="K9" i="109" s="1"/>
  <c r="I20" i="145"/>
  <c r="I21" i="145" s="1"/>
  <c r="P1" i="115"/>
  <c r="A1" i="115" a="1"/>
  <c r="A1" i="115" s="1"/>
  <c r="P13" i="1" l="1"/>
  <c r="G9" i="1"/>
  <c r="G10" i="1" s="1"/>
  <c r="N8" i="1"/>
  <c r="H9" i="1"/>
  <c r="H10" i="1" s="1"/>
  <c r="P7" i="1"/>
  <c r="O7" i="1"/>
  <c r="H105" i="146"/>
  <c r="H113" i="146"/>
  <c r="H14" i="146" s="1"/>
  <c r="K7" i="109"/>
  <c r="K25" i="109"/>
  <c r="J7" i="109"/>
  <c r="J25" i="109"/>
  <c r="I8" i="1" l="1"/>
  <c r="J8" i="1"/>
  <c r="H155" i="146"/>
  <c r="H163" i="146"/>
  <c r="H18" i="146" s="1"/>
  <c r="H167" i="146"/>
  <c r="H175" i="146"/>
  <c r="H19" i="146" s="1"/>
  <c r="H193" i="146"/>
  <c r="H201" i="146"/>
  <c r="H21" i="146" s="1"/>
  <c r="H131" i="146"/>
  <c r="H139" i="146"/>
  <c r="H16" i="146" s="1"/>
  <c r="H180" i="146"/>
  <c r="H188" i="146"/>
  <c r="H20" i="146" s="1"/>
  <c r="H118" i="146"/>
  <c r="H126" i="146"/>
  <c r="H15" i="146" s="1"/>
  <c r="N1" i="110"/>
  <c r="A1" i="110" a="1"/>
  <c r="A1" i="110" s="1"/>
  <c r="P8" i="1" l="1"/>
  <c r="J9" i="1"/>
  <c r="J10" i="1" s="1"/>
  <c r="O8" i="1"/>
  <c r="I9" i="1"/>
  <c r="I10" i="1" s="1"/>
  <c r="D9" i="109"/>
  <c r="D7" i="109" s="1"/>
  <c r="G22" i="115"/>
  <c r="G23" i="115" l="1"/>
  <c r="G21" i="115"/>
  <c r="L1" i="109" l="1"/>
  <c r="A1" i="109" a="1"/>
  <c r="A1" i="109" s="1"/>
  <c r="K98" i="108"/>
  <c r="J98" i="108"/>
  <c r="I98" i="108"/>
  <c r="C13" i="1" l="1"/>
  <c r="L13" i="1" s="1"/>
  <c r="C14" i="1"/>
  <c r="L14" i="1" s="1"/>
  <c r="K96" i="108"/>
  <c r="J96" i="108"/>
  <c r="I96" i="108"/>
  <c r="G11" i="108" l="1"/>
  <c r="G96" i="108"/>
  <c r="D11" i="108"/>
  <c r="D9" i="108" s="1"/>
  <c r="E7" i="145" l="1"/>
  <c r="G9" i="108"/>
  <c r="I97" i="108"/>
  <c r="J97" i="108"/>
  <c r="J102" i="108" s="1"/>
  <c r="K102" i="108" s="1"/>
  <c r="G11" i="115"/>
  <c r="G17" i="115" s="1"/>
  <c r="G97" i="108"/>
  <c r="G98" i="108" s="1"/>
  <c r="H98" i="108" s="1"/>
  <c r="H96" i="108"/>
  <c r="H42" i="115"/>
  <c r="F7" i="1" l="1"/>
  <c r="E30" i="147"/>
  <c r="G27" i="109"/>
  <c r="G9" i="109" s="1"/>
  <c r="G7" i="109" s="1"/>
  <c r="E20" i="145"/>
  <c r="E21" i="145" s="1"/>
  <c r="D21" i="145"/>
  <c r="C7" i="1"/>
  <c r="I42" i="115"/>
  <c r="H97" i="108"/>
  <c r="H102" i="108" s="1"/>
  <c r="I102" i="108"/>
  <c r="F8" i="1" l="1"/>
  <c r="M8" i="1" s="1"/>
  <c r="M7" i="1"/>
  <c r="G25" i="109"/>
  <c r="F27" i="109"/>
  <c r="H12" i="115"/>
  <c r="J42" i="115"/>
  <c r="F9" i="1" l="1"/>
  <c r="F10" i="1" s="1"/>
  <c r="F25" i="109"/>
  <c r="F9" i="109"/>
  <c r="F7" i="109" s="1"/>
  <c r="E8" i="1" s="1"/>
  <c r="E9" i="1" s="1"/>
  <c r="E10" i="1" s="1"/>
  <c r="C8" i="1"/>
  <c r="H20" i="110"/>
  <c r="H13" i="110" s="1"/>
  <c r="I12" i="115"/>
  <c r="K42" i="115"/>
  <c r="G15" i="1" l="1"/>
  <c r="M15" i="1" s="1"/>
  <c r="L8" i="1"/>
  <c r="C9" i="1"/>
  <c r="C10" i="1" s="1"/>
  <c r="I20" i="110"/>
  <c r="I13" i="110" s="1"/>
  <c r="J12" i="115"/>
  <c r="H15" i="1" l="1"/>
  <c r="N15" i="1" s="1"/>
  <c r="J20" i="110"/>
  <c r="J13" i="110" s="1"/>
  <c r="K12" i="115"/>
  <c r="I15" i="1" l="1"/>
  <c r="O15" i="1" s="1"/>
  <c r="K20" i="110"/>
  <c r="K13" i="110" s="1"/>
  <c r="J15" i="1" l="1"/>
  <c r="P15" i="1" s="1"/>
  <c r="A1" i="108" a="1"/>
  <c r="A1" i="108" s="1"/>
  <c r="G75" i="8" l="1"/>
  <c r="G73" i="8" s="1"/>
  <c r="D75" i="8"/>
  <c r="D73" i="8" s="1"/>
  <c r="H73" i="8"/>
  <c r="F73" i="8"/>
  <c r="E73" i="8"/>
  <c r="H66" i="8"/>
  <c r="H71" i="8" s="1"/>
  <c r="G66" i="8"/>
  <c r="G71" i="8" s="1"/>
  <c r="F66" i="8"/>
  <c r="F71" i="8" s="1"/>
  <c r="E66" i="8"/>
  <c r="E71" i="8" s="1"/>
  <c r="D66" i="8"/>
  <c r="D71" i="8" s="1"/>
  <c r="H61" i="8"/>
  <c r="G61" i="8"/>
  <c r="F61" i="8"/>
  <c r="E61" i="8"/>
  <c r="H53" i="8"/>
  <c r="H67" i="8" s="1"/>
  <c r="G53" i="8"/>
  <c r="G67" i="8" s="1"/>
  <c r="F53" i="8"/>
  <c r="F67" i="8" s="1"/>
  <c r="E53" i="8"/>
  <c r="E67" i="8" s="1"/>
  <c r="D53" i="8"/>
  <c r="D67" i="8" s="1"/>
  <c r="H50" i="8"/>
  <c r="G50" i="8"/>
  <c r="F50" i="8"/>
  <c r="E50" i="8"/>
  <c r="D50" i="8"/>
  <c r="C49" i="8"/>
  <c r="C51" i="8" s="1"/>
  <c r="C54" i="8" s="1"/>
  <c r="C56" i="8" s="1"/>
  <c r="H44" i="8"/>
  <c r="G44" i="8"/>
  <c r="F44" i="8"/>
  <c r="E44" i="8"/>
  <c r="D44" i="8"/>
  <c r="H43" i="8"/>
  <c r="G43" i="8"/>
  <c r="F43" i="8"/>
  <c r="E43" i="8"/>
  <c r="D43" i="8"/>
  <c r="H42" i="8"/>
  <c r="G42" i="8"/>
  <c r="F42" i="8"/>
  <c r="E42" i="8"/>
  <c r="D42" i="8"/>
  <c r="H39" i="8"/>
  <c r="G39" i="8"/>
  <c r="F39" i="8"/>
  <c r="E39" i="8"/>
  <c r="C32" i="8"/>
  <c r="C31" i="8"/>
  <c r="D31" i="8" s="1"/>
  <c r="E31" i="8" s="1"/>
  <c r="F31" i="8" s="1"/>
  <c r="G31" i="8" s="1"/>
  <c r="H31" i="8" s="1"/>
  <c r="C30" i="8"/>
  <c r="C26" i="8"/>
  <c r="C25" i="8"/>
  <c r="C24" i="8"/>
  <c r="C21" i="8"/>
  <c r="C20" i="8"/>
  <c r="C15" i="8"/>
  <c r="C16" i="8" s="1"/>
  <c r="D16" i="8" s="1"/>
  <c r="E16" i="8" s="1"/>
  <c r="F16" i="8" s="1"/>
  <c r="G16" i="8" s="1"/>
  <c r="H16" i="8" s="1"/>
  <c r="C12" i="8"/>
  <c r="C11" i="8"/>
  <c r="C10" i="8"/>
  <c r="D77" i="8" s="1"/>
  <c r="H6" i="8"/>
  <c r="G6" i="8"/>
  <c r="F6" i="8"/>
  <c r="E6" i="8"/>
  <c r="A1" i="8"/>
  <c r="I116" i="3"/>
  <c r="I115" i="3"/>
  <c r="I114" i="3"/>
  <c r="I113" i="3"/>
  <c r="I112" i="3"/>
  <c r="I111" i="3"/>
  <c r="I110" i="3"/>
  <c r="I109" i="3"/>
  <c r="I108" i="3"/>
  <c r="I102" i="3"/>
  <c r="I101" i="3"/>
  <c r="I100" i="3"/>
  <c r="I99" i="3"/>
  <c r="I98" i="3"/>
  <c r="D78" i="3"/>
  <c r="D77" i="3"/>
  <c r="D76" i="3"/>
  <c r="F75" i="3"/>
  <c r="D75" i="3"/>
  <c r="D74" i="3"/>
  <c r="D73" i="3"/>
  <c r="D72" i="3"/>
  <c r="D71" i="3"/>
  <c r="I67" i="3"/>
  <c r="G66" i="3"/>
  <c r="D66" i="3"/>
  <c r="F65" i="3"/>
  <c r="D65" i="3"/>
  <c r="G64" i="3"/>
  <c r="D64" i="3"/>
  <c r="G63" i="3"/>
  <c r="F63" i="3"/>
  <c r="D63" i="3"/>
  <c r="F62" i="3"/>
  <c r="D62" i="3"/>
  <c r="G61" i="3"/>
  <c r="F61" i="3"/>
  <c r="D61" i="3"/>
  <c r="H60" i="3"/>
  <c r="D60" i="3"/>
  <c r="F59" i="3"/>
  <c r="D59" i="3"/>
  <c r="G58" i="3"/>
  <c r="D58" i="3"/>
  <c r="F57" i="3"/>
  <c r="D57" i="3"/>
  <c r="H56" i="3"/>
  <c r="D56" i="3"/>
  <c r="G55" i="3"/>
  <c r="D55" i="3"/>
  <c r="F54" i="3"/>
  <c r="D54" i="3"/>
  <c r="G53" i="3"/>
  <c r="D53" i="3"/>
  <c r="H52" i="3"/>
  <c r="D52" i="3"/>
  <c r="F51" i="3"/>
  <c r="D51" i="3"/>
  <c r="G50" i="3"/>
  <c r="D50" i="3"/>
  <c r="F49" i="3"/>
  <c r="D49" i="3"/>
  <c r="F48" i="3"/>
  <c r="D48" i="3"/>
  <c r="G47" i="3"/>
  <c r="F47" i="3"/>
  <c r="D47" i="3"/>
  <c r="G46" i="3"/>
  <c r="D46" i="3"/>
  <c r="F45" i="3"/>
  <c r="D45" i="3"/>
  <c r="F44" i="3"/>
  <c r="D44" i="3"/>
  <c r="G43" i="3"/>
  <c r="D43" i="3"/>
  <c r="G42" i="3"/>
  <c r="D42" i="3"/>
  <c r="G41" i="3"/>
  <c r="D41" i="3"/>
  <c r="G40" i="3"/>
  <c r="D40" i="3"/>
  <c r="G39" i="3"/>
  <c r="D39" i="3"/>
  <c r="G38" i="3"/>
  <c r="D38" i="3"/>
  <c r="D37" i="3"/>
  <c r="E28" i="3"/>
  <c r="E26" i="3"/>
  <c r="E25" i="3"/>
  <c r="E24" i="3"/>
  <c r="E23" i="3"/>
  <c r="I15" i="3"/>
  <c r="F15" i="3"/>
  <c r="I14" i="3"/>
  <c r="F14" i="3"/>
  <c r="I13" i="3"/>
  <c r="F13" i="3"/>
  <c r="I12" i="3"/>
  <c r="F12" i="3"/>
  <c r="I11" i="3"/>
  <c r="F11" i="3"/>
  <c r="F10" i="3"/>
  <c r="F9" i="3"/>
  <c r="F8" i="3"/>
  <c r="F37" i="3" s="1"/>
  <c r="F7" i="3"/>
  <c r="F6" i="3"/>
  <c r="F5" i="3"/>
  <c r="F4" i="3"/>
  <c r="A1" i="3"/>
  <c r="E17" i="4"/>
  <c r="E15" i="4"/>
  <c r="J14" i="4"/>
  <c r="I14" i="4"/>
  <c r="H14" i="4"/>
  <c r="G14" i="4"/>
  <c r="F14" i="4"/>
  <c r="L8" i="4"/>
  <c r="J6" i="4"/>
  <c r="H4" i="3" s="1"/>
  <c r="E6" i="4"/>
  <c r="G4" i="3" s="1"/>
  <c r="L3" i="4"/>
  <c r="I3" i="3" s="1"/>
  <c r="A1" i="4"/>
  <c r="L1" i="108"/>
  <c r="G77" i="3"/>
  <c r="I77" i="3" s="1"/>
  <c r="I128" i="3" s="1"/>
  <c r="G76" i="3"/>
  <c r="I76" i="3" s="1"/>
  <c r="I127" i="3" s="1"/>
  <c r="G74" i="3"/>
  <c r="I74" i="3" s="1"/>
  <c r="I125" i="3" s="1"/>
  <c r="G73" i="3"/>
  <c r="I73" i="3" s="1"/>
  <c r="I124" i="3" s="1"/>
  <c r="G72" i="3"/>
  <c r="I72" i="3" s="1"/>
  <c r="I123" i="3" s="1"/>
  <c r="F66" i="3"/>
  <c r="G65" i="3"/>
  <c r="F64" i="3"/>
  <c r="G62" i="3"/>
  <c r="G59" i="3"/>
  <c r="F58" i="3"/>
  <c r="G57" i="3"/>
  <c r="F55" i="3"/>
  <c r="G54" i="3"/>
  <c r="F53" i="3"/>
  <c r="G51" i="3"/>
  <c r="F50" i="3"/>
  <c r="G49" i="3"/>
  <c r="G48" i="3"/>
  <c r="F46" i="3"/>
  <c r="G45" i="3"/>
  <c r="G44" i="3"/>
  <c r="F43" i="3"/>
  <c r="F41" i="3"/>
  <c r="F40" i="3"/>
  <c r="F39" i="3"/>
  <c r="G37" i="3"/>
  <c r="G28" i="3"/>
  <c r="G26" i="3"/>
  <c r="G25" i="3"/>
  <c r="G24" i="3"/>
  <c r="G23" i="3"/>
  <c r="J28" i="4"/>
  <c r="A1" i="1" a="1"/>
  <c r="A1" i="1" s="1"/>
  <c r="H15" i="4" l="1"/>
  <c r="F17" i="4"/>
  <c r="F41" i="8"/>
  <c r="D41" i="8"/>
  <c r="H41" i="8"/>
  <c r="G41" i="8"/>
  <c r="E41" i="8"/>
  <c r="D25" i="8"/>
  <c r="E25" i="8" s="1"/>
  <c r="F25" i="8" s="1"/>
  <c r="G25" i="8" s="1"/>
  <c r="H25" i="8" s="1"/>
  <c r="M3" i="4"/>
  <c r="J19" i="3" s="1"/>
  <c r="F26" i="3"/>
  <c r="F28" i="3"/>
  <c r="G34" i="3"/>
  <c r="I117" i="3"/>
  <c r="I118" i="3" s="1"/>
  <c r="I103" i="3"/>
  <c r="I104" i="3" s="1"/>
  <c r="F34" i="4"/>
  <c r="G34" i="4" s="1"/>
  <c r="H34" i="4" s="1"/>
  <c r="I34" i="4" s="1"/>
  <c r="J34" i="4" s="1"/>
  <c r="L6" i="4"/>
  <c r="I4" i="3" s="1"/>
  <c r="I19" i="3"/>
  <c r="I18" i="3" s="1"/>
  <c r="G78" i="3"/>
  <c r="I78" i="3" s="1"/>
  <c r="I129" i="3" s="1"/>
  <c r="G71" i="3"/>
  <c r="I71" i="3" s="1"/>
  <c r="I122" i="3" s="1"/>
  <c r="L9" i="4"/>
  <c r="I6" i="3" s="1"/>
  <c r="F73" i="3"/>
  <c r="G28" i="4"/>
  <c r="H28" i="4"/>
  <c r="I28" i="4"/>
  <c r="F42" i="3"/>
  <c r="F36" i="4"/>
  <c r="G36" i="4" s="1"/>
  <c r="H36" i="4" s="1"/>
  <c r="I36" i="4" s="1"/>
  <c r="J36" i="4" s="1"/>
  <c r="C33" i="8"/>
  <c r="C22" i="8"/>
  <c r="D22" i="8" s="1"/>
  <c r="E22" i="8" s="1"/>
  <c r="F22" i="8" s="1"/>
  <c r="G22" i="8" s="1"/>
  <c r="H22" i="8" s="1"/>
  <c r="D26" i="8"/>
  <c r="E26" i="8" s="1"/>
  <c r="F21" i="8" s="1"/>
  <c r="F78" i="3"/>
  <c r="F74" i="3"/>
  <c r="E29" i="3"/>
  <c r="I5" i="3"/>
  <c r="I17" i="3"/>
  <c r="C13" i="8"/>
  <c r="D13" i="8" s="1"/>
  <c r="E13" i="8" s="1"/>
  <c r="F13" i="8" s="1"/>
  <c r="G13" i="8" s="1"/>
  <c r="H13" i="8" s="1"/>
  <c r="C14" i="8"/>
  <c r="D11" i="8"/>
  <c r="D52" i="8" s="1"/>
  <c r="D24" i="8"/>
  <c r="C27" i="8"/>
  <c r="D27" i="8" s="1"/>
  <c r="E27" i="8" s="1"/>
  <c r="F27" i="8" s="1"/>
  <c r="G27" i="8" s="1"/>
  <c r="H27" i="8" s="1"/>
  <c r="D30" i="8"/>
  <c r="H78" i="149" l="1"/>
  <c r="H73" i="149"/>
  <c r="G67" i="149"/>
  <c r="G62" i="149"/>
  <c r="J15" i="4"/>
  <c r="F15" i="4"/>
  <c r="G15" i="4"/>
  <c r="I17" i="4"/>
  <c r="I15" i="4"/>
  <c r="H17" i="4"/>
  <c r="M9" i="4"/>
  <c r="J6" i="3" s="1"/>
  <c r="M10" i="4"/>
  <c r="J7" i="3" s="1"/>
  <c r="M6" i="4"/>
  <c r="J3" i="3"/>
  <c r="N3" i="4"/>
  <c r="O3" i="4" s="1"/>
  <c r="L10" i="4"/>
  <c r="I7" i="3" s="1"/>
  <c r="G75" i="3"/>
  <c r="I75" i="3" s="1"/>
  <c r="I126" i="3" s="1"/>
  <c r="I130" i="3" s="1"/>
  <c r="F77" i="3"/>
  <c r="C19" i="8"/>
  <c r="F72" i="3"/>
  <c r="F76" i="3"/>
  <c r="F38" i="3"/>
  <c r="F19" i="4"/>
  <c r="F71" i="3"/>
  <c r="E24" i="8"/>
  <c r="D23" i="8"/>
  <c r="J18" i="3"/>
  <c r="C23" i="8"/>
  <c r="C9" i="8"/>
  <c r="C17" i="8" s="1"/>
  <c r="E11" i="8"/>
  <c r="E52" i="8" s="1"/>
  <c r="E30" i="8"/>
  <c r="F41" i="149" l="1"/>
  <c r="F46" i="149"/>
  <c r="F51" i="149"/>
  <c r="F57" i="149"/>
  <c r="H62" i="149"/>
  <c r="G63" i="149"/>
  <c r="L62" i="149"/>
  <c r="H67" i="149"/>
  <c r="L67" i="149"/>
  <c r="G68" i="149"/>
  <c r="M73" i="149"/>
  <c r="H74" i="149"/>
  <c r="H79" i="149"/>
  <c r="M78" i="149"/>
  <c r="G17" i="4"/>
  <c r="N10" i="4"/>
  <c r="K7" i="3" s="1"/>
  <c r="K19" i="3"/>
  <c r="K18" i="3" s="1"/>
  <c r="K3" i="3"/>
  <c r="M34" i="4"/>
  <c r="J12" i="3" s="1"/>
  <c r="R8" i="1"/>
  <c r="M36" i="4"/>
  <c r="J13" i="3" s="1"/>
  <c r="M15" i="4"/>
  <c r="L15" i="4" s="1"/>
  <c r="J4" i="3"/>
  <c r="M28" i="4"/>
  <c r="M29" i="4" s="1"/>
  <c r="I78" i="149"/>
  <c r="M17" i="4"/>
  <c r="M18" i="4" s="1"/>
  <c r="N6" i="4"/>
  <c r="N9" i="4"/>
  <c r="M7" i="4"/>
  <c r="S14" i="1"/>
  <c r="R13" i="1"/>
  <c r="R14" i="1"/>
  <c r="L7" i="1"/>
  <c r="I79" i="3"/>
  <c r="C28" i="8"/>
  <c r="C34" i="8" s="1"/>
  <c r="C35" i="8" s="1"/>
  <c r="I19" i="4"/>
  <c r="H19" i="4"/>
  <c r="G19" i="4"/>
  <c r="M19" i="4" s="1"/>
  <c r="J15" i="3" s="1"/>
  <c r="F11" i="8"/>
  <c r="F52" i="8" s="1"/>
  <c r="J85" i="3"/>
  <c r="J47" i="3" s="1"/>
  <c r="J90" i="3"/>
  <c r="J86" i="3"/>
  <c r="J63" i="3" s="1"/>
  <c r="J89" i="3"/>
  <c r="L19" i="3"/>
  <c r="L3" i="3"/>
  <c r="P3" i="4"/>
  <c r="O9" i="4"/>
  <c r="O6" i="4"/>
  <c r="L4" i="3" s="1"/>
  <c r="O10" i="4"/>
  <c r="L7" i="3" s="1"/>
  <c r="E23" i="8"/>
  <c r="F24" i="8"/>
  <c r="F30" i="8"/>
  <c r="I73" i="149" l="1"/>
  <c r="N78" i="149"/>
  <c r="I79" i="149"/>
  <c r="H24" i="149"/>
  <c r="M79" i="149"/>
  <c r="G21" i="149"/>
  <c r="L63" i="149"/>
  <c r="H23" i="149"/>
  <c r="M74" i="149"/>
  <c r="I62" i="149"/>
  <c r="H63" i="149"/>
  <c r="M62" i="149"/>
  <c r="G57" i="149"/>
  <c r="K57" i="149"/>
  <c r="F58" i="149"/>
  <c r="I67" i="149"/>
  <c r="M67" i="149"/>
  <c r="H68" i="149"/>
  <c r="G51" i="149"/>
  <c r="F52" i="149"/>
  <c r="K51" i="149"/>
  <c r="N73" i="149"/>
  <c r="I74" i="149"/>
  <c r="G22" i="149"/>
  <c r="L68" i="149"/>
  <c r="G46" i="149"/>
  <c r="F47" i="149"/>
  <c r="K46" i="149"/>
  <c r="I83" i="149"/>
  <c r="I88" i="149"/>
  <c r="G41" i="149"/>
  <c r="K41" i="149"/>
  <c r="F42" i="149"/>
  <c r="J17" i="4"/>
  <c r="N7" i="4"/>
  <c r="N8" i="4" s="1"/>
  <c r="N15" i="4"/>
  <c r="M8" i="4"/>
  <c r="J17" i="3" s="1"/>
  <c r="K4" i="3"/>
  <c r="N19" i="4"/>
  <c r="K15" i="3" s="1"/>
  <c r="M16" i="4"/>
  <c r="L16" i="4" s="1"/>
  <c r="I8" i="3" s="1"/>
  <c r="N36" i="4"/>
  <c r="K13" i="3" s="1"/>
  <c r="N17" i="4"/>
  <c r="K6" i="3"/>
  <c r="K89" i="3" s="1"/>
  <c r="N28" i="4"/>
  <c r="N34" i="4"/>
  <c r="K12" i="3" s="1"/>
  <c r="L28" i="4"/>
  <c r="L17" i="4"/>
  <c r="F25" i="3"/>
  <c r="F23" i="3"/>
  <c r="F24" i="3"/>
  <c r="L18" i="3"/>
  <c r="G30" i="8"/>
  <c r="L29" i="4"/>
  <c r="I10" i="3" s="1"/>
  <c r="J10" i="3"/>
  <c r="N29" i="4"/>
  <c r="K10" i="3" s="1"/>
  <c r="G11" i="8"/>
  <c r="G52" i="8" s="1"/>
  <c r="F23" i="8"/>
  <c r="G24" i="8"/>
  <c r="O28" i="4"/>
  <c r="L6" i="3"/>
  <c r="O34" i="4"/>
  <c r="L12" i="3" s="1"/>
  <c r="O36" i="4"/>
  <c r="L13" i="3" s="1"/>
  <c r="O19" i="4"/>
  <c r="L15" i="3" s="1"/>
  <c r="O17" i="4"/>
  <c r="O15" i="4"/>
  <c r="M19" i="3"/>
  <c r="M18" i="3" s="1"/>
  <c r="M3" i="3"/>
  <c r="Q3" i="4"/>
  <c r="P9" i="4"/>
  <c r="P6" i="4"/>
  <c r="M4" i="3" s="1"/>
  <c r="P10" i="4"/>
  <c r="M7" i="3" s="1"/>
  <c r="J9" i="3"/>
  <c r="L18" i="4"/>
  <c r="I9" i="3" s="1"/>
  <c r="H21" i="149" l="1"/>
  <c r="M63" i="149"/>
  <c r="F16" i="149"/>
  <c r="K42" i="149"/>
  <c r="I68" i="149"/>
  <c r="N67" i="149"/>
  <c r="H51" i="149"/>
  <c r="G52" i="149"/>
  <c r="L51" i="149"/>
  <c r="I24" i="149"/>
  <c r="N79" i="149"/>
  <c r="H41" i="149"/>
  <c r="L41" i="149"/>
  <c r="G42" i="149"/>
  <c r="I23" i="149"/>
  <c r="N74" i="149"/>
  <c r="F20" i="149"/>
  <c r="K58" i="149"/>
  <c r="I89" i="149"/>
  <c r="N88" i="149"/>
  <c r="I84" i="149"/>
  <c r="N83" i="149"/>
  <c r="H57" i="149"/>
  <c r="G58" i="149"/>
  <c r="L57" i="149"/>
  <c r="K47" i="149"/>
  <c r="F18" i="149"/>
  <c r="F19" i="149"/>
  <c r="K52" i="149"/>
  <c r="H46" i="149"/>
  <c r="G47" i="149"/>
  <c r="L46" i="149"/>
  <c r="H22" i="149"/>
  <c r="M68" i="149"/>
  <c r="N62" i="149"/>
  <c r="I63" i="149"/>
  <c r="H50" i="115"/>
  <c r="H11" i="115"/>
  <c r="J5" i="3"/>
  <c r="O7" i="4"/>
  <c r="P7" i="4" s="1"/>
  <c r="K90" i="3"/>
  <c r="K86" i="3"/>
  <c r="K63" i="3" s="1"/>
  <c r="K85" i="3"/>
  <c r="K47" i="3" s="1"/>
  <c r="N18" i="4"/>
  <c r="K9" i="3" s="1"/>
  <c r="K51" i="3" s="1"/>
  <c r="J8" i="3"/>
  <c r="S8" i="1"/>
  <c r="S13" i="1"/>
  <c r="O29" i="4"/>
  <c r="L10" i="3" s="1"/>
  <c r="L28" i="3" s="1"/>
  <c r="N16" i="4"/>
  <c r="K8" i="3" s="1"/>
  <c r="P28" i="4"/>
  <c r="M6" i="3"/>
  <c r="P34" i="4"/>
  <c r="M12" i="3" s="1"/>
  <c r="P36" i="4"/>
  <c r="M13" i="3" s="1"/>
  <c r="P19" i="4"/>
  <c r="M15" i="3" s="1"/>
  <c r="P17" i="4"/>
  <c r="P15" i="4"/>
  <c r="K17" i="3"/>
  <c r="N23" i="4"/>
  <c r="M23" i="4" s="1"/>
  <c r="L23" i="4" s="1"/>
  <c r="K5" i="3"/>
  <c r="N22" i="4"/>
  <c r="M22" i="4" s="1"/>
  <c r="L22" i="4" s="1"/>
  <c r="N24" i="4"/>
  <c r="M24" i="4" s="1"/>
  <c r="L24" i="4" s="1"/>
  <c r="N21" i="4"/>
  <c r="M21" i="4" s="1"/>
  <c r="L21" i="4" s="1"/>
  <c r="N19" i="3"/>
  <c r="N18" i="3" s="1"/>
  <c r="N3" i="3"/>
  <c r="R3" i="4"/>
  <c r="Q9" i="4"/>
  <c r="Q6" i="4"/>
  <c r="N4" i="3" s="1"/>
  <c r="Q10" i="4"/>
  <c r="N7" i="3" s="1"/>
  <c r="H11" i="8"/>
  <c r="H52" i="8" s="1"/>
  <c r="H30" i="8"/>
  <c r="J57" i="3"/>
  <c r="J54" i="3"/>
  <c r="J62" i="3"/>
  <c r="J65" i="3"/>
  <c r="J51" i="3"/>
  <c r="J44" i="3"/>
  <c r="J45" i="3"/>
  <c r="J48" i="3"/>
  <c r="H48" i="3" s="1"/>
  <c r="J49" i="3"/>
  <c r="L90" i="3"/>
  <c r="L86" i="3"/>
  <c r="L63" i="3" s="1"/>
  <c r="L89" i="3"/>
  <c r="L85" i="3"/>
  <c r="L47" i="3" s="1"/>
  <c r="K26" i="3"/>
  <c r="K25" i="3"/>
  <c r="K24" i="3"/>
  <c r="K23" i="3"/>
  <c r="K28" i="3"/>
  <c r="G23" i="8"/>
  <c r="H24" i="8"/>
  <c r="H23" i="8" s="1"/>
  <c r="J23" i="3"/>
  <c r="J24" i="3"/>
  <c r="J25" i="3"/>
  <c r="J26" i="3"/>
  <c r="J28" i="3"/>
  <c r="F29" i="149" l="1"/>
  <c r="H19" i="110" s="1"/>
  <c r="H12" i="110" s="1"/>
  <c r="G19" i="149"/>
  <c r="L52" i="149"/>
  <c r="I51" i="149"/>
  <c r="M51" i="149"/>
  <c r="H52" i="149"/>
  <c r="I46" i="149"/>
  <c r="H47" i="149"/>
  <c r="M46" i="149"/>
  <c r="G16" i="149"/>
  <c r="L42" i="149"/>
  <c r="I22" i="149"/>
  <c r="N68" i="149"/>
  <c r="G20" i="149"/>
  <c r="L58" i="149"/>
  <c r="I25" i="149"/>
  <c r="N84" i="149"/>
  <c r="I21" i="149"/>
  <c r="N63" i="149"/>
  <c r="I41" i="149"/>
  <c r="H42" i="149"/>
  <c r="M41" i="149"/>
  <c r="I57" i="149"/>
  <c r="H58" i="149"/>
  <c r="M57" i="149"/>
  <c r="I26" i="149"/>
  <c r="N89" i="149"/>
  <c r="G14" i="1"/>
  <c r="M14" i="1" s="1"/>
  <c r="L47" i="149"/>
  <c r="G18" i="149"/>
  <c r="O8" i="4"/>
  <c r="L5" i="3" s="1"/>
  <c r="K48" i="3"/>
  <c r="K45" i="3"/>
  <c r="K44" i="3"/>
  <c r="K65" i="3"/>
  <c r="I50" i="115"/>
  <c r="I11" i="115"/>
  <c r="K54" i="3"/>
  <c r="K57" i="3"/>
  <c r="K62" i="3"/>
  <c r="K49" i="3"/>
  <c r="L25" i="3"/>
  <c r="L24" i="3"/>
  <c r="P29" i="4"/>
  <c r="M10" i="3" s="1"/>
  <c r="M26" i="3" s="1"/>
  <c r="L26" i="3"/>
  <c r="L23" i="3"/>
  <c r="L29" i="3" s="1"/>
  <c r="Q28" i="4"/>
  <c r="N6" i="3"/>
  <c r="Q34" i="4"/>
  <c r="N12" i="3" s="1"/>
  <c r="Q36" i="4"/>
  <c r="N13" i="3" s="1"/>
  <c r="Q19" i="4"/>
  <c r="N15" i="3" s="1"/>
  <c r="Q17" i="4"/>
  <c r="Q15" i="4"/>
  <c r="H23" i="3"/>
  <c r="H29" i="3" s="1"/>
  <c r="J29" i="3"/>
  <c r="O19" i="3"/>
  <c r="O3" i="3"/>
  <c r="S3" i="4"/>
  <c r="R9" i="4"/>
  <c r="R6" i="4"/>
  <c r="O4" i="3" s="1"/>
  <c r="R10" i="4"/>
  <c r="O7" i="3" s="1"/>
  <c r="H24" i="3"/>
  <c r="H28" i="3"/>
  <c r="H26" i="3"/>
  <c r="H25" i="3"/>
  <c r="K29" i="3"/>
  <c r="M89" i="3"/>
  <c r="M85" i="3"/>
  <c r="M47" i="3" s="1"/>
  <c r="M90" i="3"/>
  <c r="M86" i="3"/>
  <c r="M63" i="3" s="1"/>
  <c r="P8" i="4"/>
  <c r="Q7" i="4"/>
  <c r="L17" i="3" l="1"/>
  <c r="O16" i="4"/>
  <c r="L8" i="3" s="1"/>
  <c r="G29" i="149"/>
  <c r="I19" i="110" s="1"/>
  <c r="I12" i="110" s="1"/>
  <c r="H18" i="149"/>
  <c r="M47" i="149"/>
  <c r="N46" i="149"/>
  <c r="I47" i="149"/>
  <c r="H16" i="149"/>
  <c r="H29" i="149" s="1"/>
  <c r="J19" i="110" s="1"/>
  <c r="J12" i="110" s="1"/>
  <c r="M42" i="149"/>
  <c r="I42" i="149"/>
  <c r="N41" i="149"/>
  <c r="H19" i="149"/>
  <c r="M52" i="149"/>
  <c r="H20" i="149"/>
  <c r="M58" i="149"/>
  <c r="N51" i="149"/>
  <c r="I52" i="149"/>
  <c r="N57" i="149"/>
  <c r="I58" i="149"/>
  <c r="H14" i="1"/>
  <c r="N14" i="1" s="1"/>
  <c r="O18" i="4"/>
  <c r="L9" i="3" s="1"/>
  <c r="L48" i="3" s="1"/>
  <c r="O23" i="4"/>
  <c r="O21" i="4"/>
  <c r="O22" i="4"/>
  <c r="O24" i="4"/>
  <c r="K50" i="115"/>
  <c r="J50" i="115"/>
  <c r="K52" i="115"/>
  <c r="K11" i="115" s="1"/>
  <c r="J11" i="115"/>
  <c r="Q29" i="4"/>
  <c r="N10" i="3" s="1"/>
  <c r="N25" i="3" s="1"/>
  <c r="M28" i="3"/>
  <c r="M25" i="3"/>
  <c r="M23" i="3"/>
  <c r="M29" i="3" s="1"/>
  <c r="M77" i="3" s="1"/>
  <c r="K128" i="3" s="1"/>
  <c r="M24" i="3"/>
  <c r="O18" i="3"/>
  <c r="R7" i="4"/>
  <c r="Q8" i="4"/>
  <c r="L77" i="3"/>
  <c r="L72" i="3"/>
  <c r="L78" i="3"/>
  <c r="L71" i="3"/>
  <c r="L61" i="3"/>
  <c r="K114" i="3" s="1"/>
  <c r="L34" i="3"/>
  <c r="O35" i="4"/>
  <c r="L14" i="3" s="1"/>
  <c r="M17" i="3"/>
  <c r="M5" i="3"/>
  <c r="P24" i="4"/>
  <c r="P21" i="4"/>
  <c r="P23" i="4"/>
  <c r="P22" i="4"/>
  <c r="J78" i="3"/>
  <c r="J77" i="3"/>
  <c r="J72" i="3"/>
  <c r="J66" i="3"/>
  <c r="J71" i="3"/>
  <c r="J58" i="3"/>
  <c r="J55" i="3"/>
  <c r="J53" i="3"/>
  <c r="J64" i="3"/>
  <c r="J61" i="3"/>
  <c r="J43" i="3"/>
  <c r="J42" i="3"/>
  <c r="J39" i="3"/>
  <c r="J38" i="3"/>
  <c r="J34" i="3"/>
  <c r="M35" i="4"/>
  <c r="J14" i="3" s="1"/>
  <c r="J59" i="3" s="1"/>
  <c r="N86" i="3"/>
  <c r="N63" i="3" s="1"/>
  <c r="N89" i="3"/>
  <c r="N85" i="3"/>
  <c r="N47" i="3" s="1"/>
  <c r="N90" i="3"/>
  <c r="K78" i="3"/>
  <c r="J129" i="3" s="1"/>
  <c r="K77" i="3"/>
  <c r="J128" i="3" s="1"/>
  <c r="K72" i="3"/>
  <c r="J123" i="3" s="1"/>
  <c r="K66" i="3"/>
  <c r="K71" i="3"/>
  <c r="K55" i="3"/>
  <c r="K53" i="3"/>
  <c r="K64" i="3"/>
  <c r="K61" i="3"/>
  <c r="K42" i="3"/>
  <c r="K39" i="3"/>
  <c r="K38" i="3"/>
  <c r="K34" i="3"/>
  <c r="N35" i="4"/>
  <c r="K14" i="3" s="1"/>
  <c r="O6" i="3"/>
  <c r="R34" i="4"/>
  <c r="O12" i="3" s="1"/>
  <c r="R36" i="4"/>
  <c r="O13" i="3" s="1"/>
  <c r="R28" i="4"/>
  <c r="R17" i="4"/>
  <c r="R15" i="4"/>
  <c r="R19" i="4"/>
  <c r="O15" i="3" s="1"/>
  <c r="P16" i="4"/>
  <c r="M8" i="3" s="1"/>
  <c r="P19" i="3"/>
  <c r="P3" i="3"/>
  <c r="S9" i="4"/>
  <c r="S6" i="4"/>
  <c r="P4" i="3" s="1"/>
  <c r="S10" i="4"/>
  <c r="P7" i="3" s="1"/>
  <c r="T3" i="4"/>
  <c r="P18" i="4"/>
  <c r="M9" i="3" s="1"/>
  <c r="L38" i="3" l="1"/>
  <c r="K99" i="3" s="1"/>
  <c r="L45" i="3"/>
  <c r="N47" i="149"/>
  <c r="I18" i="149"/>
  <c r="L54" i="3"/>
  <c r="I19" i="149"/>
  <c r="N52" i="149"/>
  <c r="I14" i="1"/>
  <c r="O14" i="1" s="1"/>
  <c r="I20" i="149"/>
  <c r="N58" i="149"/>
  <c r="I16" i="149"/>
  <c r="N42" i="149"/>
  <c r="L39" i="3"/>
  <c r="K100" i="3" s="1"/>
  <c r="L42" i="3"/>
  <c r="K108" i="3" s="1"/>
  <c r="K117" i="3" s="1"/>
  <c r="L65" i="3"/>
  <c r="L57" i="3"/>
  <c r="L53" i="3"/>
  <c r="K112" i="3" s="1"/>
  <c r="L49" i="3"/>
  <c r="L55" i="3"/>
  <c r="K113" i="3" s="1"/>
  <c r="L51" i="3"/>
  <c r="L64" i="3"/>
  <c r="K115" i="3" s="1"/>
  <c r="L44" i="3"/>
  <c r="L66" i="3"/>
  <c r="K116" i="3" s="1"/>
  <c r="L62" i="3"/>
  <c r="P35" i="4"/>
  <c r="M14" i="3" s="1"/>
  <c r="R29" i="4"/>
  <c r="O10" i="3" s="1"/>
  <c r="N26" i="3"/>
  <c r="N28" i="3"/>
  <c r="N23" i="3"/>
  <c r="N29" i="3" s="1"/>
  <c r="N24" i="3"/>
  <c r="M71" i="3"/>
  <c r="K122" i="3" s="1"/>
  <c r="M72" i="3"/>
  <c r="K123" i="3" s="1"/>
  <c r="M34" i="3"/>
  <c r="M73" i="3" s="1"/>
  <c r="K124" i="3" s="1"/>
  <c r="M61" i="3"/>
  <c r="M78" i="3"/>
  <c r="K129" i="3" s="1"/>
  <c r="T14" i="1"/>
  <c r="T13" i="1"/>
  <c r="T8" i="1"/>
  <c r="K59" i="3"/>
  <c r="L59" i="3" s="1"/>
  <c r="M59" i="3" s="1"/>
  <c r="J112" i="3"/>
  <c r="H53" i="3"/>
  <c r="Q19" i="3"/>
  <c r="Q18" i="3" s="1"/>
  <c r="Q3" i="3"/>
  <c r="T10" i="4"/>
  <c r="Q7" i="3" s="1"/>
  <c r="U3" i="4"/>
  <c r="T9" i="4"/>
  <c r="T6" i="4"/>
  <c r="Q4" i="3" s="1"/>
  <c r="K75" i="3"/>
  <c r="J126" i="3" s="1"/>
  <c r="K74" i="3"/>
  <c r="J125" i="3" s="1"/>
  <c r="K73" i="3"/>
  <c r="J124" i="3" s="1"/>
  <c r="J122" i="3"/>
  <c r="J75" i="3"/>
  <c r="J74" i="3"/>
  <c r="J73" i="3"/>
  <c r="H34" i="3"/>
  <c r="J113" i="3"/>
  <c r="H55" i="3"/>
  <c r="N17" i="3"/>
  <c r="Q24" i="4"/>
  <c r="N5" i="3"/>
  <c r="Q21" i="4"/>
  <c r="Q23" i="4"/>
  <c r="Q22" i="4"/>
  <c r="M54" i="3"/>
  <c r="M65" i="3"/>
  <c r="M51" i="3"/>
  <c r="M57" i="3"/>
  <c r="M62" i="3"/>
  <c r="M44" i="3"/>
  <c r="M45" i="3"/>
  <c r="M48" i="3"/>
  <c r="M49" i="3"/>
  <c r="M66" i="3"/>
  <c r="M38" i="3"/>
  <c r="M64" i="3"/>
  <c r="M55" i="3"/>
  <c r="M53" i="3"/>
  <c r="M42" i="3"/>
  <c r="M39" i="3"/>
  <c r="J99" i="3"/>
  <c r="H38" i="3"/>
  <c r="H58" i="3"/>
  <c r="K58" i="3"/>
  <c r="L58" i="3" s="1"/>
  <c r="M58" i="3" s="1"/>
  <c r="S7" i="4"/>
  <c r="R8" i="4"/>
  <c r="J100" i="3"/>
  <c r="H39" i="3"/>
  <c r="O89" i="3"/>
  <c r="O85" i="3"/>
  <c r="O47" i="3" s="1"/>
  <c r="O90" i="3"/>
  <c r="O86" i="3"/>
  <c r="O63" i="3" s="1"/>
  <c r="J108" i="3"/>
  <c r="J117" i="3" s="1"/>
  <c r="H42" i="3"/>
  <c r="J116" i="3"/>
  <c r="H66" i="3"/>
  <c r="L74" i="3"/>
  <c r="L73" i="3"/>
  <c r="L75" i="3"/>
  <c r="L79" i="3" s="1"/>
  <c r="S36" i="4"/>
  <c r="P13" i="3" s="1"/>
  <c r="S28" i="4"/>
  <c r="P6" i="3"/>
  <c r="S34" i="4"/>
  <c r="P12" i="3" s="1"/>
  <c r="S17" i="4"/>
  <c r="S15" i="4"/>
  <c r="S19" i="4"/>
  <c r="P15" i="3" s="1"/>
  <c r="J109" i="3"/>
  <c r="H43" i="3"/>
  <c r="K43" i="3"/>
  <c r="L43" i="3" s="1"/>
  <c r="K109" i="3" s="1"/>
  <c r="P18" i="3"/>
  <c r="J114" i="3"/>
  <c r="H61" i="3"/>
  <c r="Q16" i="4"/>
  <c r="N8" i="3" s="1"/>
  <c r="F33" i="4"/>
  <c r="J115" i="3"/>
  <c r="H64" i="3"/>
  <c r="Q18" i="4"/>
  <c r="N9" i="3" s="1"/>
  <c r="I29" i="149" l="1"/>
  <c r="K19" i="110" s="1"/>
  <c r="K12" i="110" s="1"/>
  <c r="J14" i="1" s="1"/>
  <c r="P14" i="1" s="1"/>
  <c r="S29" i="4"/>
  <c r="P10" i="3" s="1"/>
  <c r="P26" i="3" s="1"/>
  <c r="M75" i="3"/>
  <c r="K126" i="3" s="1"/>
  <c r="K130" i="3" s="1"/>
  <c r="M74" i="3"/>
  <c r="K125" i="3" s="1"/>
  <c r="R16" i="4"/>
  <c r="O8" i="3" s="1"/>
  <c r="K79" i="3"/>
  <c r="L80" i="3" s="1"/>
  <c r="N59" i="3"/>
  <c r="J79" i="3"/>
  <c r="J80" i="3" s="1"/>
  <c r="P89" i="3"/>
  <c r="P85" i="3"/>
  <c r="P47" i="3" s="1"/>
  <c r="P90" i="3"/>
  <c r="P86" i="3"/>
  <c r="P63" i="3" s="1"/>
  <c r="O17" i="3"/>
  <c r="R24" i="4"/>
  <c r="R22" i="4"/>
  <c r="O5" i="3"/>
  <c r="R21" i="4"/>
  <c r="R23" i="4"/>
  <c r="R18" i="4"/>
  <c r="O9" i="3" s="1"/>
  <c r="N58" i="3"/>
  <c r="T7" i="4"/>
  <c r="S8" i="4"/>
  <c r="J130" i="3"/>
  <c r="N54" i="3"/>
  <c r="N48" i="3"/>
  <c r="N45" i="3"/>
  <c r="N65" i="3"/>
  <c r="N44" i="3"/>
  <c r="N51" i="3"/>
  <c r="N62" i="3"/>
  <c r="N57" i="3"/>
  <c r="N49" i="3"/>
  <c r="T36" i="4"/>
  <c r="Q13" i="3" s="1"/>
  <c r="T28" i="4"/>
  <c r="Q6" i="3"/>
  <c r="T34" i="4"/>
  <c r="Q12" i="3" s="1"/>
  <c r="T17" i="4"/>
  <c r="T15" i="4"/>
  <c r="T19" i="4"/>
  <c r="Q15" i="3" s="1"/>
  <c r="R19" i="3"/>
  <c r="R18" i="3" s="1"/>
  <c r="R3" i="3"/>
  <c r="U10" i="4"/>
  <c r="R7" i="3" s="1"/>
  <c r="V3" i="4"/>
  <c r="U9" i="4"/>
  <c r="U6" i="4"/>
  <c r="R4" i="3" s="1"/>
  <c r="N78" i="3"/>
  <c r="N77" i="3"/>
  <c r="N72" i="3"/>
  <c r="N66" i="3"/>
  <c r="L116" i="3" s="1"/>
  <c r="N64" i="3"/>
  <c r="L115" i="3" s="1"/>
  <c r="N71" i="3"/>
  <c r="N61" i="3"/>
  <c r="L114" i="3" s="1"/>
  <c r="N55" i="3"/>
  <c r="L113" i="3" s="1"/>
  <c r="N53" i="3"/>
  <c r="L112" i="3" s="1"/>
  <c r="N42" i="3"/>
  <c r="L108" i="3" s="1"/>
  <c r="L117" i="3" s="1"/>
  <c r="N39" i="3"/>
  <c r="L100" i="3" s="1"/>
  <c r="N38" i="3"/>
  <c r="L99" i="3" s="1"/>
  <c r="N34" i="3"/>
  <c r="Q35" i="4"/>
  <c r="N14" i="3" s="1"/>
  <c r="M43" i="3"/>
  <c r="N43" i="3" s="1"/>
  <c r="L109" i="3" s="1"/>
  <c r="O24" i="3"/>
  <c r="O23" i="3"/>
  <c r="O28" i="3"/>
  <c r="O26" i="3"/>
  <c r="O25" i="3"/>
  <c r="T29" i="4" l="1"/>
  <c r="Q10" i="3" s="1"/>
  <c r="Q25" i="3" s="1"/>
  <c r="P23" i="3"/>
  <c r="P29" i="3" s="1"/>
  <c r="P25" i="3"/>
  <c r="P28" i="3"/>
  <c r="P24" i="3"/>
  <c r="M79" i="3"/>
  <c r="M80" i="3" s="1"/>
  <c r="S16" i="4"/>
  <c r="P8" i="3" s="1"/>
  <c r="K80" i="3"/>
  <c r="Q90" i="3"/>
  <c r="Q86" i="3"/>
  <c r="Q63" i="3" s="1"/>
  <c r="Q89" i="3"/>
  <c r="Q85" i="3"/>
  <c r="Q47" i="3" s="1"/>
  <c r="N75" i="3"/>
  <c r="N74" i="3"/>
  <c r="N73" i="3"/>
  <c r="K131" i="3"/>
  <c r="J131" i="3"/>
  <c r="O54" i="3"/>
  <c r="O62" i="3"/>
  <c r="O65" i="3"/>
  <c r="O49" i="3"/>
  <c r="O57" i="3"/>
  <c r="O48" i="3"/>
  <c r="O45" i="3"/>
  <c r="O44" i="3"/>
  <c r="O51" i="3"/>
  <c r="U36" i="4"/>
  <c r="R13" i="3" s="1"/>
  <c r="R6" i="3"/>
  <c r="U34" i="4"/>
  <c r="R12" i="3" s="1"/>
  <c r="U17" i="4"/>
  <c r="U15" i="4"/>
  <c r="U28" i="4"/>
  <c r="U19" i="4"/>
  <c r="R15" i="3" s="1"/>
  <c r="P5" i="3"/>
  <c r="P17" i="3"/>
  <c r="S24" i="4"/>
  <c r="S21" i="4"/>
  <c r="S23" i="4"/>
  <c r="S22" i="4"/>
  <c r="S18" i="4"/>
  <c r="P9" i="3" s="1"/>
  <c r="O29" i="3"/>
  <c r="S19" i="3"/>
  <c r="S18" i="3" s="1"/>
  <c r="S3" i="3"/>
  <c r="V10" i="4"/>
  <c r="S7" i="3" s="1"/>
  <c r="W3" i="4"/>
  <c r="V9" i="4"/>
  <c r="V6" i="4"/>
  <c r="S4" i="3" s="1"/>
  <c r="U7" i="4"/>
  <c r="T8" i="4"/>
  <c r="Q26" i="3" l="1"/>
  <c r="Q28" i="3"/>
  <c r="Q24" i="3"/>
  <c r="Q23" i="3"/>
  <c r="Q29" i="3" s="1"/>
  <c r="Q77" i="3" s="1"/>
  <c r="M128" i="3" s="1"/>
  <c r="U29" i="4"/>
  <c r="R10" i="3" s="1"/>
  <c r="R26" i="3" s="1"/>
  <c r="Q72" i="3"/>
  <c r="M123" i="3" s="1"/>
  <c r="T18" i="4"/>
  <c r="Q9" i="3" s="1"/>
  <c r="Q54" i="3" s="1"/>
  <c r="T16" i="4"/>
  <c r="Q8" i="3" s="1"/>
  <c r="Q17" i="3"/>
  <c r="Q5" i="3"/>
  <c r="T21" i="4"/>
  <c r="T24" i="4"/>
  <c r="T23" i="4"/>
  <c r="T22" i="4"/>
  <c r="N79" i="3"/>
  <c r="N80" i="3" s="1"/>
  <c r="V7" i="4"/>
  <c r="U8" i="4"/>
  <c r="P78" i="3"/>
  <c r="P77" i="3"/>
  <c r="P72" i="3"/>
  <c r="P66" i="3"/>
  <c r="M116" i="3" s="1"/>
  <c r="P71" i="3"/>
  <c r="P61" i="3"/>
  <c r="M114" i="3" s="1"/>
  <c r="P64" i="3"/>
  <c r="M115" i="3" s="1"/>
  <c r="P55" i="3"/>
  <c r="M113" i="3" s="1"/>
  <c r="P53" i="3"/>
  <c r="M112" i="3" s="1"/>
  <c r="P42" i="3"/>
  <c r="M108" i="3" s="1"/>
  <c r="M117" i="3" s="1"/>
  <c r="P39" i="3"/>
  <c r="M100" i="3" s="1"/>
  <c r="P38" i="3"/>
  <c r="M99" i="3" s="1"/>
  <c r="P34" i="3"/>
  <c r="S35" i="4"/>
  <c r="P14" i="3" s="1"/>
  <c r="V28" i="4"/>
  <c r="S6" i="3"/>
  <c r="V36" i="4"/>
  <c r="S13" i="3" s="1"/>
  <c r="V17" i="4"/>
  <c r="V15" i="4"/>
  <c r="V19" i="4"/>
  <c r="S15" i="3" s="1"/>
  <c r="V34" i="4"/>
  <c r="S12" i="3" s="1"/>
  <c r="O78" i="3"/>
  <c r="L129" i="3" s="1"/>
  <c r="O77" i="3"/>
  <c r="L128" i="3" s="1"/>
  <c r="O71" i="3"/>
  <c r="O72" i="3"/>
  <c r="L123" i="3" s="1"/>
  <c r="O66" i="3"/>
  <c r="O64" i="3"/>
  <c r="O61" i="3"/>
  <c r="O55" i="3"/>
  <c r="O53" i="3"/>
  <c r="O42" i="3"/>
  <c r="O39" i="3"/>
  <c r="O38" i="3"/>
  <c r="O34" i="3"/>
  <c r="R35" i="4"/>
  <c r="O14" i="3" s="1"/>
  <c r="T19" i="3"/>
  <c r="T18" i="3" s="1"/>
  <c r="T3" i="3"/>
  <c r="X3" i="4"/>
  <c r="W9" i="4"/>
  <c r="W6" i="4"/>
  <c r="T4" i="3" s="1"/>
  <c r="W10" i="4"/>
  <c r="T7" i="3" s="1"/>
  <c r="P44" i="3"/>
  <c r="P51" i="3"/>
  <c r="P65" i="3"/>
  <c r="P57" i="3"/>
  <c r="P62" i="3"/>
  <c r="P48" i="3"/>
  <c r="P49" i="3"/>
  <c r="P54" i="3"/>
  <c r="P45" i="3"/>
  <c r="R89" i="3"/>
  <c r="R85" i="3"/>
  <c r="R47" i="3" s="1"/>
  <c r="R90" i="3"/>
  <c r="R86" i="3"/>
  <c r="R63" i="3" s="1"/>
  <c r="R28" i="3" l="1"/>
  <c r="Q78" i="3"/>
  <c r="M129" i="3" s="1"/>
  <c r="Q61" i="3"/>
  <c r="T35" i="4"/>
  <c r="Q14" i="3" s="1"/>
  <c r="R25" i="3"/>
  <c r="Q34" i="3"/>
  <c r="Q73" i="3" s="1"/>
  <c r="M124" i="3" s="1"/>
  <c r="R24" i="3"/>
  <c r="V29" i="4"/>
  <c r="S10" i="3" s="1"/>
  <c r="R23" i="3"/>
  <c r="R29" i="3" s="1"/>
  <c r="Q71" i="3"/>
  <c r="M122" i="3" s="1"/>
  <c r="U13" i="1"/>
  <c r="Q65" i="3"/>
  <c r="Q64" i="3"/>
  <c r="Q38" i="3"/>
  <c r="Q57" i="3"/>
  <c r="Q39" i="3"/>
  <c r="Q51" i="3"/>
  <c r="Q55" i="3"/>
  <c r="Q44" i="3"/>
  <c r="Q66" i="3"/>
  <c r="Q45" i="3"/>
  <c r="Q42" i="3"/>
  <c r="Q48" i="3"/>
  <c r="Q49" i="3"/>
  <c r="Q62" i="3"/>
  <c r="Q53" i="3"/>
  <c r="S85" i="3"/>
  <c r="S47" i="3" s="1"/>
  <c r="S90" i="3"/>
  <c r="S86" i="3"/>
  <c r="S63" i="3" s="1"/>
  <c r="S89" i="3"/>
  <c r="P75" i="3"/>
  <c r="P79" i="3" s="1"/>
  <c r="P74" i="3"/>
  <c r="P73" i="3"/>
  <c r="O58" i="3"/>
  <c r="P58" i="3" s="1"/>
  <c r="Q58" i="3" s="1"/>
  <c r="O59" i="3"/>
  <c r="O43" i="3"/>
  <c r="P43" i="3" s="1"/>
  <c r="O75" i="3"/>
  <c r="L126" i="3" s="1"/>
  <c r="O74" i="3"/>
  <c r="L125" i="3" s="1"/>
  <c r="O73" i="3"/>
  <c r="L124" i="3" s="1"/>
  <c r="R17" i="3"/>
  <c r="U23" i="4"/>
  <c r="R5" i="3"/>
  <c r="U24" i="4"/>
  <c r="U22" i="4"/>
  <c r="U21" i="4"/>
  <c r="U16" i="4"/>
  <c r="R8" i="3" s="1"/>
  <c r="V8" i="4"/>
  <c r="W7" i="4"/>
  <c r="U18" i="4"/>
  <c r="R9" i="3" s="1"/>
  <c r="W28" i="4"/>
  <c r="W29" i="4" s="1"/>
  <c r="T10" i="3" s="1"/>
  <c r="T6" i="3"/>
  <c r="W34" i="4"/>
  <c r="T12" i="3" s="1"/>
  <c r="W36" i="4"/>
  <c r="T13" i="3" s="1"/>
  <c r="W19" i="4"/>
  <c r="T15" i="3" s="1"/>
  <c r="W17" i="4"/>
  <c r="W15" i="4"/>
  <c r="L122" i="3"/>
  <c r="U19" i="3"/>
  <c r="U18" i="3" s="1"/>
  <c r="U3" i="3"/>
  <c r="Y3" i="4"/>
  <c r="X9" i="4"/>
  <c r="X6" i="4"/>
  <c r="U4" i="3" s="1"/>
  <c r="X10" i="4"/>
  <c r="U7" i="3" s="1"/>
  <c r="G33" i="4"/>
  <c r="Q74" i="3" l="1"/>
  <c r="M125" i="3" s="1"/>
  <c r="Q75" i="3"/>
  <c r="M33" i="4"/>
  <c r="J11" i="3" s="1"/>
  <c r="J37" i="3" s="1"/>
  <c r="N33" i="4"/>
  <c r="K11" i="3" s="1"/>
  <c r="K37" i="3" s="1"/>
  <c r="V16" i="4"/>
  <c r="S8" i="3" s="1"/>
  <c r="O79" i="3"/>
  <c r="O80" i="3" s="1"/>
  <c r="R58" i="3"/>
  <c r="V18" i="4"/>
  <c r="S9" i="3" s="1"/>
  <c r="S48" i="3" s="1"/>
  <c r="P59" i="3"/>
  <c r="Q59" i="3" s="1"/>
  <c r="R59" i="3" s="1"/>
  <c r="R78" i="3"/>
  <c r="R77" i="3"/>
  <c r="R72" i="3"/>
  <c r="R66" i="3"/>
  <c r="N116" i="3" s="1"/>
  <c r="R71" i="3"/>
  <c r="R64" i="3"/>
  <c r="N115" i="3" s="1"/>
  <c r="R55" i="3"/>
  <c r="N113" i="3" s="1"/>
  <c r="R53" i="3"/>
  <c r="N112" i="3" s="1"/>
  <c r="R61" i="3"/>
  <c r="N114" i="3" s="1"/>
  <c r="R42" i="3"/>
  <c r="N108" i="3" s="1"/>
  <c r="N117" i="3" s="1"/>
  <c r="R39" i="3"/>
  <c r="N100" i="3" s="1"/>
  <c r="R38" i="3"/>
  <c r="N99" i="3" s="1"/>
  <c r="R34" i="3"/>
  <c r="U35" i="4"/>
  <c r="R14" i="3" s="1"/>
  <c r="T90" i="3"/>
  <c r="T86" i="3"/>
  <c r="T63" i="3" s="1"/>
  <c r="T89" i="3"/>
  <c r="T85" i="3"/>
  <c r="T47" i="3" s="1"/>
  <c r="R57" i="3"/>
  <c r="R54" i="3"/>
  <c r="R62" i="3"/>
  <c r="R51" i="3"/>
  <c r="R65" i="3"/>
  <c r="R44" i="3"/>
  <c r="R45" i="3"/>
  <c r="R48" i="3"/>
  <c r="R49" i="3"/>
  <c r="X28" i="4"/>
  <c r="U6" i="3"/>
  <c r="X34" i="4"/>
  <c r="U12" i="3" s="1"/>
  <c r="X36" i="4"/>
  <c r="U13" i="3" s="1"/>
  <c r="X19" i="4"/>
  <c r="U15" i="3" s="1"/>
  <c r="X17" i="4"/>
  <c r="X15" i="4"/>
  <c r="V19" i="3"/>
  <c r="V18" i="3" s="1"/>
  <c r="V3" i="3"/>
  <c r="Z3" i="4"/>
  <c r="Y9" i="4"/>
  <c r="Y6" i="4"/>
  <c r="V4" i="3" s="1"/>
  <c r="Y10" i="4"/>
  <c r="V7" i="3" s="1"/>
  <c r="X29" i="4"/>
  <c r="U10" i="3" s="1"/>
  <c r="W8" i="4"/>
  <c r="X7" i="4"/>
  <c r="L130" i="3"/>
  <c r="T23" i="3"/>
  <c r="T29" i="3" s="1"/>
  <c r="T24" i="3"/>
  <c r="T25" i="3"/>
  <c r="T26" i="3"/>
  <c r="T28" i="3"/>
  <c r="S17" i="3"/>
  <c r="V23" i="4"/>
  <c r="S5" i="3"/>
  <c r="V22" i="4"/>
  <c r="V21" i="4"/>
  <c r="V24" i="4"/>
  <c r="M109" i="3"/>
  <c r="Q43" i="3"/>
  <c r="R43" i="3" s="1"/>
  <c r="S28" i="3"/>
  <c r="S26" i="3"/>
  <c r="S25" i="3"/>
  <c r="S24" i="3"/>
  <c r="S23" i="3"/>
  <c r="S29" i="3" s="1"/>
  <c r="M126" i="3" l="1"/>
  <c r="M130" i="3" s="1"/>
  <c r="Q79" i="3"/>
  <c r="Q80" i="3" s="1"/>
  <c r="K40" i="3"/>
  <c r="K67" i="3"/>
  <c r="K76" i="3" s="1"/>
  <c r="J127" i="3" s="1"/>
  <c r="K50" i="3"/>
  <c r="K41" i="3"/>
  <c r="K46" i="3"/>
  <c r="J50" i="3"/>
  <c r="J111" i="3" s="1"/>
  <c r="J46" i="3"/>
  <c r="J110" i="3" s="1"/>
  <c r="J41" i="3"/>
  <c r="J102" i="3" s="1"/>
  <c r="J40" i="3"/>
  <c r="J101" i="3" s="1"/>
  <c r="J67" i="3"/>
  <c r="J76" i="3" s="1"/>
  <c r="J98" i="3"/>
  <c r="J103" i="3" s="1"/>
  <c r="S62" i="3"/>
  <c r="W18" i="4"/>
  <c r="T9" i="3" s="1"/>
  <c r="T55" i="3" s="1"/>
  <c r="W16" i="4"/>
  <c r="T8" i="3" s="1"/>
  <c r="S49" i="3"/>
  <c r="S45" i="3"/>
  <c r="S44" i="3"/>
  <c r="S57" i="3"/>
  <c r="S54" i="3"/>
  <c r="P80" i="3"/>
  <c r="S65" i="3"/>
  <c r="S51" i="3"/>
  <c r="N109" i="3"/>
  <c r="U28" i="3"/>
  <c r="U26" i="3"/>
  <c r="U25" i="3"/>
  <c r="U23" i="3"/>
  <c r="U29" i="3" s="1"/>
  <c r="U24" i="3"/>
  <c r="T77" i="3"/>
  <c r="T78" i="3"/>
  <c r="T72" i="3"/>
  <c r="T71" i="3"/>
  <c r="T61" i="3"/>
  <c r="T34" i="3"/>
  <c r="W35" i="4"/>
  <c r="T14" i="3" s="1"/>
  <c r="S78" i="3"/>
  <c r="N129" i="3" s="1"/>
  <c r="S77" i="3"/>
  <c r="N128" i="3" s="1"/>
  <c r="S72" i="3"/>
  <c r="N123" i="3" s="1"/>
  <c r="S66" i="3"/>
  <c r="S71" i="3"/>
  <c r="S55" i="3"/>
  <c r="S53" i="3"/>
  <c r="S61" i="3"/>
  <c r="S64" i="3"/>
  <c r="S42" i="3"/>
  <c r="S39" i="3"/>
  <c r="S38" i="3"/>
  <c r="S34" i="3"/>
  <c r="V35" i="4"/>
  <c r="S14" i="3" s="1"/>
  <c r="S43" i="3" s="1"/>
  <c r="Y28" i="4"/>
  <c r="V6" i="3"/>
  <c r="Y34" i="4"/>
  <c r="V12" i="3" s="1"/>
  <c r="Y36" i="4"/>
  <c r="V13" i="3" s="1"/>
  <c r="Y19" i="4"/>
  <c r="V15" i="3" s="1"/>
  <c r="Y17" i="4"/>
  <c r="Y15" i="4"/>
  <c r="Y29" i="4"/>
  <c r="V10" i="3" s="1"/>
  <c r="W19" i="3"/>
  <c r="W18" i="3" s="1"/>
  <c r="W3" i="3"/>
  <c r="AA3" i="4"/>
  <c r="Z9" i="4"/>
  <c r="Z6" i="4"/>
  <c r="W4" i="3" s="1"/>
  <c r="Z10" i="4"/>
  <c r="W7" i="3" s="1"/>
  <c r="X8" i="4"/>
  <c r="Y7" i="4"/>
  <c r="U89" i="3"/>
  <c r="U85" i="3"/>
  <c r="U47" i="3" s="1"/>
  <c r="U90" i="3"/>
  <c r="U86" i="3"/>
  <c r="U63" i="3" s="1"/>
  <c r="M131" i="3"/>
  <c r="L131" i="3"/>
  <c r="T17" i="3"/>
  <c r="T5" i="3"/>
  <c r="W24" i="4"/>
  <c r="W23" i="4"/>
  <c r="W22" i="4"/>
  <c r="W21" i="4"/>
  <c r="R75" i="3"/>
  <c r="R79" i="3" s="1"/>
  <c r="R80" i="3" s="1"/>
  <c r="R74" i="3"/>
  <c r="R73" i="3"/>
  <c r="T51" i="3" l="1"/>
  <c r="X16" i="4"/>
  <c r="U8" i="3" s="1"/>
  <c r="T44" i="3"/>
  <c r="T45" i="3"/>
  <c r="T66" i="3"/>
  <c r="T54" i="3"/>
  <c r="T49" i="3"/>
  <c r="T65" i="3"/>
  <c r="T57" i="3"/>
  <c r="T62" i="3"/>
  <c r="T38" i="3"/>
  <c r="T48" i="3"/>
  <c r="T39" i="3"/>
  <c r="T42" i="3"/>
  <c r="T64" i="3"/>
  <c r="T53" i="3"/>
  <c r="T43" i="3"/>
  <c r="U17" i="3"/>
  <c r="U5" i="3"/>
  <c r="X24" i="4"/>
  <c r="X22" i="4"/>
  <c r="X21" i="4"/>
  <c r="X23" i="4"/>
  <c r="X18" i="4"/>
  <c r="U9" i="3" s="1"/>
  <c r="U55" i="3" s="1"/>
  <c r="S75" i="3"/>
  <c r="N126" i="3" s="1"/>
  <c r="S74" i="3"/>
  <c r="N125" i="3" s="1"/>
  <c r="S73" i="3"/>
  <c r="N124" i="3" s="1"/>
  <c r="N122" i="3"/>
  <c r="X19" i="3"/>
  <c r="X18" i="3" s="1"/>
  <c r="X3" i="3"/>
  <c r="AA9" i="4"/>
  <c r="AA6" i="4"/>
  <c r="X4" i="3" s="1"/>
  <c r="AA10" i="4"/>
  <c r="X7" i="3" s="1"/>
  <c r="AB3" i="4"/>
  <c r="Z7" i="4"/>
  <c r="Y8" i="4"/>
  <c r="W6" i="3"/>
  <c r="Z34" i="4"/>
  <c r="W12" i="3" s="1"/>
  <c r="Z36" i="4"/>
  <c r="W13" i="3" s="1"/>
  <c r="Z28" i="4"/>
  <c r="Z29" i="4" s="1"/>
  <c r="Z17" i="4"/>
  <c r="Z15" i="4"/>
  <c r="Z19" i="4"/>
  <c r="W15" i="3" s="1"/>
  <c r="V28" i="3"/>
  <c r="V26" i="3"/>
  <c r="V25" i="3"/>
  <c r="V24" i="3"/>
  <c r="V23" i="3"/>
  <c r="V29" i="3" s="1"/>
  <c r="V90" i="3"/>
  <c r="V86" i="3"/>
  <c r="V63" i="3" s="1"/>
  <c r="V89" i="3"/>
  <c r="V85" i="3"/>
  <c r="V47" i="3" s="1"/>
  <c r="U78" i="3"/>
  <c r="U72" i="3"/>
  <c r="U71" i="3"/>
  <c r="U77" i="3"/>
  <c r="U61" i="3"/>
  <c r="U34" i="3"/>
  <c r="X35" i="4"/>
  <c r="U14" i="3" s="1"/>
  <c r="T74" i="3"/>
  <c r="T73" i="3"/>
  <c r="T75" i="3"/>
  <c r="T79" i="3" s="1"/>
  <c r="S59" i="3"/>
  <c r="S58" i="3"/>
  <c r="T58" i="3" s="1"/>
  <c r="U43" i="3" l="1"/>
  <c r="U58" i="3"/>
  <c r="S79" i="3"/>
  <c r="S80" i="3" s="1"/>
  <c r="U39" i="3"/>
  <c r="U66" i="3"/>
  <c r="U42" i="3"/>
  <c r="U38" i="3"/>
  <c r="U64" i="3"/>
  <c r="U53" i="3"/>
  <c r="W10" i="3"/>
  <c r="V17" i="3"/>
  <c r="Y24" i="4"/>
  <c r="V5" i="3"/>
  <c r="Y21" i="4"/>
  <c r="Y23" i="4"/>
  <c r="Y22" i="4"/>
  <c r="W86" i="3"/>
  <c r="W63" i="3" s="1"/>
  <c r="W89" i="3"/>
  <c r="W85" i="3"/>
  <c r="W47" i="3" s="1"/>
  <c r="W90" i="3"/>
  <c r="AA7" i="4"/>
  <c r="Z8" i="4"/>
  <c r="U54" i="3"/>
  <c r="U51" i="3"/>
  <c r="U65" i="3"/>
  <c r="U57" i="3"/>
  <c r="U62" i="3"/>
  <c r="U44" i="3"/>
  <c r="U45" i="3"/>
  <c r="U48" i="3"/>
  <c r="U49" i="3"/>
  <c r="Y19" i="3"/>
  <c r="Y18" i="3" s="1"/>
  <c r="Y3" i="3"/>
  <c r="AB10" i="4"/>
  <c r="Y7" i="3" s="1"/>
  <c r="AC3" i="4"/>
  <c r="AB9" i="4"/>
  <c r="AB6" i="4"/>
  <c r="Y4" i="3" s="1"/>
  <c r="U73" i="3"/>
  <c r="U75" i="3"/>
  <c r="U79" i="3" s="1"/>
  <c r="U80" i="3" s="1"/>
  <c r="U74" i="3"/>
  <c r="V78" i="3"/>
  <c r="V77" i="3"/>
  <c r="V72" i="3"/>
  <c r="V71" i="3"/>
  <c r="V61" i="3"/>
  <c r="V34" i="3"/>
  <c r="Y35" i="4"/>
  <c r="V14" i="3" s="1"/>
  <c r="Y16" i="4"/>
  <c r="V8" i="3" s="1"/>
  <c r="T59" i="3"/>
  <c r="U59" i="3" s="1"/>
  <c r="AA36" i="4"/>
  <c r="X13" i="3" s="1"/>
  <c r="AA28" i="4"/>
  <c r="AA29" i="4" s="1"/>
  <c r="X10" i="3" s="1"/>
  <c r="X6" i="3"/>
  <c r="AA34" i="4"/>
  <c r="X12" i="3" s="1"/>
  <c r="AA17" i="4"/>
  <c r="AA15" i="4"/>
  <c r="AA19" i="4"/>
  <c r="X15" i="3" s="1"/>
  <c r="N130" i="3"/>
  <c r="N131" i="3" s="1"/>
  <c r="Y18" i="4"/>
  <c r="V9" i="3" s="1"/>
  <c r="V55" i="3" s="1"/>
  <c r="AB29" i="4" l="1"/>
  <c r="Y10" i="3" s="1"/>
  <c r="Y24" i="3" s="1"/>
  <c r="V43" i="3"/>
  <c r="T80" i="3"/>
  <c r="V58" i="3"/>
  <c r="V39" i="3"/>
  <c r="V53" i="3"/>
  <c r="V42" i="3"/>
  <c r="X89" i="3"/>
  <c r="X85" i="3"/>
  <c r="X47" i="3" s="1"/>
  <c r="X90" i="3"/>
  <c r="X86" i="3"/>
  <c r="X63" i="3" s="1"/>
  <c r="W17" i="3"/>
  <c r="Z24" i="4"/>
  <c r="Z22" i="4"/>
  <c r="W5" i="3"/>
  <c r="Z21" i="4"/>
  <c r="Z23" i="4"/>
  <c r="V59" i="3"/>
  <c r="V54" i="3"/>
  <c r="V49" i="3"/>
  <c r="V48" i="3"/>
  <c r="V51" i="3"/>
  <c r="V45" i="3"/>
  <c r="V65" i="3"/>
  <c r="V44" i="3"/>
  <c r="V62" i="3"/>
  <c r="V57" i="3"/>
  <c r="V75" i="3"/>
  <c r="V79" i="3" s="1"/>
  <c r="V80" i="3" s="1"/>
  <c r="V74" i="3"/>
  <c r="V73" i="3"/>
  <c r="V64" i="3"/>
  <c r="AB7" i="4"/>
  <c r="AA8" i="4"/>
  <c r="Z16" i="4"/>
  <c r="W8" i="3" s="1"/>
  <c r="X28" i="3"/>
  <c r="X26" i="3"/>
  <c r="X25" i="3"/>
  <c r="X24" i="3"/>
  <c r="X23" i="3"/>
  <c r="X29" i="3" s="1"/>
  <c r="Z19" i="3"/>
  <c r="Z18" i="3" s="1"/>
  <c r="Z3" i="3"/>
  <c r="AC10" i="4"/>
  <c r="Z7" i="3" s="1"/>
  <c r="AD3" i="4"/>
  <c r="AC9" i="4"/>
  <c r="AC6" i="4"/>
  <c r="Z4" i="3" s="1"/>
  <c r="V38" i="3"/>
  <c r="V66" i="3"/>
  <c r="AB36" i="4"/>
  <c r="Y13" i="3" s="1"/>
  <c r="AB28" i="4"/>
  <c r="Y6" i="3"/>
  <c r="AB34" i="4"/>
  <c r="Y12" i="3" s="1"/>
  <c r="AB17" i="4"/>
  <c r="AB15" i="4"/>
  <c r="AB19" i="4"/>
  <c r="Y15" i="3" s="1"/>
  <c r="Z18" i="4"/>
  <c r="W9" i="3" s="1"/>
  <c r="W25" i="3"/>
  <c r="W24" i="3"/>
  <c r="W23" i="3"/>
  <c r="W29" i="3" s="1"/>
  <c r="W28" i="3"/>
  <c r="W26" i="3"/>
  <c r="Y26" i="3" l="1"/>
  <c r="Y28" i="3"/>
  <c r="Y25" i="3"/>
  <c r="Y23" i="3"/>
  <c r="Y29" i="3" s="1"/>
  <c r="Y78" i="3" s="1"/>
  <c r="AC29" i="4"/>
  <c r="Z10" i="3" s="1"/>
  <c r="Z23" i="3" s="1"/>
  <c r="Z29" i="3" s="1"/>
  <c r="AC36" i="4"/>
  <c r="Z13" i="3" s="1"/>
  <c r="Z6" i="3"/>
  <c r="AC34" i="4"/>
  <c r="Z12" i="3" s="1"/>
  <c r="AC17" i="4"/>
  <c r="AC15" i="4"/>
  <c r="AC28" i="4"/>
  <c r="AC19" i="4"/>
  <c r="Z15" i="3" s="1"/>
  <c r="AA19" i="3"/>
  <c r="AA18" i="3" s="1"/>
  <c r="AA3" i="3"/>
  <c r="AD10" i="4"/>
  <c r="AA7" i="3" s="1"/>
  <c r="AE3" i="4"/>
  <c r="AD9" i="4"/>
  <c r="AD6" i="4"/>
  <c r="AA4" i="3" s="1"/>
  <c r="W78" i="3"/>
  <c r="W77" i="3"/>
  <c r="W71" i="3"/>
  <c r="W72" i="3"/>
  <c r="W66" i="3"/>
  <c r="W64" i="3"/>
  <c r="W61" i="3"/>
  <c r="W55" i="3"/>
  <c r="W53" i="3"/>
  <c r="W42" i="3"/>
  <c r="W39" i="3"/>
  <c r="W38" i="3"/>
  <c r="W34" i="3"/>
  <c r="Z35" i="4"/>
  <c r="W14" i="3" s="1"/>
  <c r="W59" i="3" s="1"/>
  <c r="X17" i="3"/>
  <c r="X5" i="3"/>
  <c r="AA24" i="4"/>
  <c r="AA21" i="4"/>
  <c r="AA23" i="4"/>
  <c r="AA22" i="4"/>
  <c r="AA16" i="4"/>
  <c r="X8" i="3" s="1"/>
  <c r="Y90" i="3"/>
  <c r="Y86" i="3"/>
  <c r="Y63" i="3" s="1"/>
  <c r="Y89" i="3"/>
  <c r="Y85" i="3"/>
  <c r="Y47" i="3" s="1"/>
  <c r="AC7" i="4"/>
  <c r="AB8" i="4"/>
  <c r="AA18" i="4"/>
  <c r="X9" i="3" s="1"/>
  <c r="X42" i="3" s="1"/>
  <c r="W54" i="3"/>
  <c r="W62" i="3"/>
  <c r="W65" i="3"/>
  <c r="W49" i="3"/>
  <c r="W57" i="3"/>
  <c r="W48" i="3"/>
  <c r="W45" i="3"/>
  <c r="W51" i="3"/>
  <c r="W44" i="3"/>
  <c r="X78" i="3"/>
  <c r="X77" i="3"/>
  <c r="X72" i="3"/>
  <c r="X71" i="3"/>
  <c r="X61" i="3"/>
  <c r="X34" i="3"/>
  <c r="AA35" i="4"/>
  <c r="X14" i="3" s="1"/>
  <c r="AB35" i="4" l="1"/>
  <c r="Y14" i="3" s="1"/>
  <c r="Y77" i="3"/>
  <c r="Y34" i="3"/>
  <c r="Y75" i="3" s="1"/>
  <c r="Y61" i="3"/>
  <c r="Y71" i="3"/>
  <c r="Z28" i="3"/>
  <c r="Z26" i="3"/>
  <c r="Y72" i="3"/>
  <c r="Z25" i="3"/>
  <c r="Z24" i="3"/>
  <c r="AB18" i="4"/>
  <c r="Y9" i="3" s="1"/>
  <c r="Y62" i="3" s="1"/>
  <c r="X53" i="3"/>
  <c r="X64" i="3"/>
  <c r="W75" i="3"/>
  <c r="W79" i="3" s="1"/>
  <c r="W80" i="3" s="1"/>
  <c r="W74" i="3"/>
  <c r="W73" i="3"/>
  <c r="X55" i="3"/>
  <c r="AB16" i="4"/>
  <c r="Y8" i="3" s="1"/>
  <c r="W43" i="3"/>
  <c r="X43" i="3" s="1"/>
  <c r="Z89" i="3"/>
  <c r="Z85" i="3"/>
  <c r="Z47" i="3" s="1"/>
  <c r="Z90" i="3"/>
  <c r="Z86" i="3"/>
  <c r="Z63" i="3" s="1"/>
  <c r="Y17" i="3"/>
  <c r="Y5" i="3"/>
  <c r="AB21" i="4"/>
  <c r="AB23" i="4"/>
  <c r="AB22" i="4"/>
  <c r="AB24" i="4"/>
  <c r="X66" i="3"/>
  <c r="X39" i="3"/>
  <c r="W58" i="3"/>
  <c r="X58" i="3" s="1"/>
  <c r="AD7" i="4"/>
  <c r="AC8" i="4"/>
  <c r="X75" i="3"/>
  <c r="X79" i="3" s="1"/>
  <c r="X74" i="3"/>
  <c r="X73" i="3"/>
  <c r="X38" i="3"/>
  <c r="Z78" i="3"/>
  <c r="Z77" i="3"/>
  <c r="Z72" i="3"/>
  <c r="Z71" i="3"/>
  <c r="Z61" i="3"/>
  <c r="Z34" i="3"/>
  <c r="AC35" i="4"/>
  <c r="Z14" i="3" s="1"/>
  <c r="AD28" i="4"/>
  <c r="AD29" i="4" s="1"/>
  <c r="AA10" i="3" s="1"/>
  <c r="AA6" i="3"/>
  <c r="AD36" i="4"/>
  <c r="AA13" i="3" s="1"/>
  <c r="AD17" i="4"/>
  <c r="AD15" i="4"/>
  <c r="AD19" i="4"/>
  <c r="AA15" i="3" s="1"/>
  <c r="AD34" i="4"/>
  <c r="AA12" i="3" s="1"/>
  <c r="X45" i="3"/>
  <c r="X44" i="3"/>
  <c r="X65" i="3"/>
  <c r="X57" i="3"/>
  <c r="X62" i="3"/>
  <c r="X48" i="3"/>
  <c r="X49" i="3"/>
  <c r="X51" i="3"/>
  <c r="X54" i="3"/>
  <c r="AB19" i="3"/>
  <c r="AB18" i="3" s="1"/>
  <c r="AB3" i="3"/>
  <c r="AF3" i="4"/>
  <c r="AE9" i="4"/>
  <c r="AE6" i="4"/>
  <c r="AB4" i="3" s="1"/>
  <c r="AE10" i="4"/>
  <c r="AB7" i="3" s="1"/>
  <c r="X59" i="3"/>
  <c r="Y73" i="3" l="1"/>
  <c r="Y74" i="3"/>
  <c r="Y79" i="3"/>
  <c r="Y59" i="3"/>
  <c r="Y57" i="3"/>
  <c r="Y38" i="3"/>
  <c r="Y45" i="3"/>
  <c r="Y48" i="3"/>
  <c r="Y44" i="3"/>
  <c r="Y49" i="3"/>
  <c r="Y39" i="3"/>
  <c r="Y42" i="3"/>
  <c r="Y58" i="3"/>
  <c r="Y51" i="3"/>
  <c r="Y66" i="3"/>
  <c r="Y64" i="3"/>
  <c r="Y53" i="3"/>
  <c r="Y54" i="3"/>
  <c r="Y55" i="3"/>
  <c r="Y65" i="3"/>
  <c r="Y43" i="3"/>
  <c r="X80" i="3"/>
  <c r="Z75" i="3"/>
  <c r="Z79" i="3" s="1"/>
  <c r="Z74" i="3"/>
  <c r="Z73" i="3"/>
  <c r="Z17" i="3"/>
  <c r="AC23" i="4"/>
  <c r="Z5" i="3"/>
  <c r="AC22" i="4"/>
  <c r="AC24" i="4"/>
  <c r="AC21" i="4"/>
  <c r="Y80" i="3"/>
  <c r="AA89" i="3"/>
  <c r="AA85" i="3"/>
  <c r="AA47" i="3" s="1"/>
  <c r="AA90" i="3"/>
  <c r="AA86" i="3"/>
  <c r="AA63" i="3" s="1"/>
  <c r="AD8" i="4"/>
  <c r="AE7" i="4"/>
  <c r="AA28" i="3"/>
  <c r="AA26" i="3"/>
  <c r="AA25" i="3"/>
  <c r="AA24" i="3"/>
  <c r="AA23" i="3"/>
  <c r="AA29" i="3" s="1"/>
  <c r="AE28" i="4"/>
  <c r="AE29" i="4" s="1"/>
  <c r="AB10" i="3" s="1"/>
  <c r="AB26" i="3" s="1"/>
  <c r="AB6" i="3"/>
  <c r="AE34" i="4"/>
  <c r="AB12" i="3" s="1"/>
  <c r="AE36" i="4"/>
  <c r="AB13" i="3" s="1"/>
  <c r="AE19" i="4"/>
  <c r="AB15" i="3" s="1"/>
  <c r="AE17" i="4"/>
  <c r="AE15" i="4"/>
  <c r="AC16" i="4"/>
  <c r="Z8" i="3" s="1"/>
  <c r="AC18" i="4"/>
  <c r="Z9" i="3" s="1"/>
  <c r="AC19" i="3"/>
  <c r="AC18" i="3" s="1"/>
  <c r="AC3" i="3"/>
  <c r="AG3" i="4"/>
  <c r="AF9" i="4"/>
  <c r="AF6" i="4"/>
  <c r="AC4" i="3" s="1"/>
  <c r="AF10" i="4"/>
  <c r="AC7" i="3" s="1"/>
  <c r="Z80" i="3" l="1"/>
  <c r="Z58" i="3"/>
  <c r="AB24" i="3"/>
  <c r="AF29" i="4"/>
  <c r="AC10" i="3" s="1"/>
  <c r="AC25" i="3" s="1"/>
  <c r="AB25" i="3"/>
  <c r="AB23" i="3"/>
  <c r="AB29" i="3" s="1"/>
  <c r="AB77" i="3" s="1"/>
  <c r="AB28" i="3"/>
  <c r="AD18" i="4"/>
  <c r="AA9" i="3" s="1"/>
  <c r="AA65" i="3" s="1"/>
  <c r="AD19" i="3"/>
  <c r="AD18" i="3" s="1"/>
  <c r="AD3" i="3"/>
  <c r="AH3" i="4"/>
  <c r="AG9" i="4"/>
  <c r="AG6" i="4"/>
  <c r="AD4" i="3" s="1"/>
  <c r="AG10" i="4"/>
  <c r="AD7" i="3" s="1"/>
  <c r="Z59" i="3"/>
  <c r="Z54" i="3"/>
  <c r="Z62" i="3"/>
  <c r="Z51" i="3"/>
  <c r="Z65" i="3"/>
  <c r="Z44" i="3"/>
  <c r="Z45" i="3"/>
  <c r="Z48" i="3"/>
  <c r="Z49" i="3"/>
  <c r="Z57" i="3"/>
  <c r="Z53" i="3"/>
  <c r="Z64" i="3"/>
  <c r="Z42" i="3"/>
  <c r="Z55" i="3"/>
  <c r="Z39" i="3"/>
  <c r="Z66" i="3"/>
  <c r="Z38" i="3"/>
  <c r="AE8" i="4"/>
  <c r="AF7" i="4"/>
  <c r="AF28" i="4"/>
  <c r="AC6" i="3"/>
  <c r="AF34" i="4"/>
  <c r="AC12" i="3" s="1"/>
  <c r="AF36" i="4"/>
  <c r="AC13" i="3" s="1"/>
  <c r="AF19" i="4"/>
  <c r="AC15" i="3" s="1"/>
  <c r="AF17" i="4"/>
  <c r="AF15" i="4"/>
  <c r="AB85" i="3"/>
  <c r="AB47" i="3" s="1"/>
  <c r="AB90" i="3"/>
  <c r="AB86" i="3"/>
  <c r="AB63" i="3" s="1"/>
  <c r="AB89" i="3"/>
  <c r="AA17" i="3"/>
  <c r="AD23" i="4"/>
  <c r="AA5" i="3"/>
  <c r="AD22" i="4"/>
  <c r="AD24" i="4"/>
  <c r="AD21" i="4"/>
  <c r="AA78" i="3"/>
  <c r="AA77" i="3"/>
  <c r="AA72" i="3"/>
  <c r="AA71" i="3"/>
  <c r="AA61" i="3"/>
  <c r="AA34" i="3"/>
  <c r="AD35" i="4"/>
  <c r="AA14" i="3" s="1"/>
  <c r="AD16" i="4"/>
  <c r="AA8" i="3" s="1"/>
  <c r="Z43" i="3"/>
  <c r="AB61" i="3" l="1"/>
  <c r="AE35" i="4"/>
  <c r="AB14" i="3" s="1"/>
  <c r="AB34" i="3"/>
  <c r="AB74" i="3" s="1"/>
  <c r="AB72" i="3"/>
  <c r="AB71" i="3"/>
  <c r="AA39" i="3"/>
  <c r="AG29" i="4"/>
  <c r="AD10" i="3" s="1"/>
  <c r="AD26" i="3" s="1"/>
  <c r="AB78" i="3"/>
  <c r="AA55" i="3"/>
  <c r="AA38" i="3"/>
  <c r="AA66" i="3"/>
  <c r="AC26" i="3"/>
  <c r="AC28" i="3"/>
  <c r="AA42" i="3"/>
  <c r="AA64" i="3"/>
  <c r="AA53" i="3"/>
  <c r="AC23" i="3"/>
  <c r="AC29" i="3" s="1"/>
  <c r="AC78" i="3" s="1"/>
  <c r="AC24" i="3"/>
  <c r="AA49" i="3"/>
  <c r="AA48" i="3"/>
  <c r="AA44" i="3"/>
  <c r="AA45" i="3"/>
  <c r="AA54" i="3"/>
  <c r="AA57" i="3"/>
  <c r="AA51" i="3"/>
  <c r="AE18" i="4"/>
  <c r="AB9" i="3" s="1"/>
  <c r="AB53" i="3" s="1"/>
  <c r="AA62" i="3"/>
  <c r="AA59" i="3"/>
  <c r="AA43" i="3"/>
  <c r="AE16" i="4"/>
  <c r="AB8" i="3" s="1"/>
  <c r="AA58" i="3"/>
  <c r="AE19" i="3"/>
  <c r="AE18" i="3" s="1"/>
  <c r="AE3" i="3"/>
  <c r="AI3" i="4"/>
  <c r="AH9" i="4"/>
  <c r="AH6" i="4"/>
  <c r="AE4" i="3" s="1"/>
  <c r="AH10" i="4"/>
  <c r="AE7" i="3" s="1"/>
  <c r="AC89" i="3"/>
  <c r="AC85" i="3"/>
  <c r="AC47" i="3" s="1"/>
  <c r="AC90" i="3"/>
  <c r="AC86" i="3"/>
  <c r="AC63" i="3" s="1"/>
  <c r="AA75" i="3"/>
  <c r="AA79" i="3" s="1"/>
  <c r="AA80" i="3" s="1"/>
  <c r="AA74" i="3"/>
  <c r="AA73" i="3"/>
  <c r="AF8" i="4"/>
  <c r="AG7" i="4"/>
  <c r="AB17" i="3"/>
  <c r="AB5" i="3"/>
  <c r="AE24" i="4"/>
  <c r="AE23" i="4"/>
  <c r="AE22" i="4"/>
  <c r="AE21" i="4"/>
  <c r="AG28" i="4"/>
  <c r="AD6" i="3"/>
  <c r="AG34" i="4"/>
  <c r="AD12" i="3" s="1"/>
  <c r="AG36" i="4"/>
  <c r="AD13" i="3" s="1"/>
  <c r="AG19" i="4"/>
  <c r="AD15" i="3" s="1"/>
  <c r="AG17" i="4"/>
  <c r="AG15" i="4"/>
  <c r="AB73" i="3" l="1"/>
  <c r="AB75" i="3"/>
  <c r="AB79" i="3" s="1"/>
  <c r="AB80" i="3" s="1"/>
  <c r="AD28" i="3"/>
  <c r="AD24" i="3"/>
  <c r="AD23" i="3"/>
  <c r="AD29" i="3" s="1"/>
  <c r="AD61" i="3" s="1"/>
  <c r="AD25" i="3"/>
  <c r="AC71" i="3"/>
  <c r="AF35" i="4"/>
  <c r="AC14" i="3" s="1"/>
  <c r="AC34" i="3"/>
  <c r="AC75" i="3" s="1"/>
  <c r="AC61" i="3"/>
  <c r="AC77" i="3"/>
  <c r="AC72" i="3"/>
  <c r="AB59" i="3"/>
  <c r="AF18" i="4"/>
  <c r="AC9" i="3" s="1"/>
  <c r="AC54" i="3" s="1"/>
  <c r="AB65" i="3"/>
  <c r="AB48" i="3"/>
  <c r="AB45" i="3"/>
  <c r="AB49" i="3"/>
  <c r="AB66" i="3"/>
  <c r="AB64" i="3"/>
  <c r="AB51" i="3"/>
  <c r="AB57" i="3"/>
  <c r="AB42" i="3"/>
  <c r="AB62" i="3"/>
  <c r="AB54" i="3"/>
  <c r="AB44" i="3"/>
  <c r="AB38" i="3"/>
  <c r="AB55" i="3"/>
  <c r="AB39" i="3"/>
  <c r="AB58" i="3"/>
  <c r="AH7" i="4"/>
  <c r="AG8" i="4"/>
  <c r="AE6" i="3"/>
  <c r="AH34" i="4"/>
  <c r="AE12" i="3" s="1"/>
  <c r="AH33" i="4"/>
  <c r="AE11" i="3" s="1"/>
  <c r="AH36" i="4"/>
  <c r="AE13" i="3" s="1"/>
  <c r="AH28" i="4"/>
  <c r="AH29" i="4" s="1"/>
  <c r="AE10" i="3" s="1"/>
  <c r="AH17" i="4"/>
  <c r="AH15" i="4"/>
  <c r="AH19" i="4"/>
  <c r="AE15" i="3" s="1"/>
  <c r="AF19" i="3"/>
  <c r="AF18" i="3" s="1"/>
  <c r="AF3" i="3"/>
  <c r="AI9" i="4"/>
  <c r="AI6" i="4"/>
  <c r="AF4" i="3" s="1"/>
  <c r="AI10" i="4"/>
  <c r="AF7" i="3" s="1"/>
  <c r="AJ3" i="4"/>
  <c r="AB43" i="3"/>
  <c r="AF16" i="4"/>
  <c r="AC8" i="3" s="1"/>
  <c r="AC17" i="3"/>
  <c r="AC5" i="3"/>
  <c r="AF24" i="4"/>
  <c r="AF23" i="4"/>
  <c r="AF22" i="4"/>
  <c r="AF21" i="4"/>
  <c r="AD90" i="3"/>
  <c r="AD86" i="3"/>
  <c r="AD63" i="3" s="1"/>
  <c r="AD89" i="3"/>
  <c r="AD85" i="3"/>
  <c r="AD47" i="3" s="1"/>
  <c r="AD77" i="3" l="1"/>
  <c r="AD78" i="3"/>
  <c r="AD72" i="3"/>
  <c r="AD71" i="3"/>
  <c r="AC73" i="3"/>
  <c r="AD34" i="3"/>
  <c r="AD75" i="3" s="1"/>
  <c r="AC79" i="3"/>
  <c r="AC80" i="3" s="1"/>
  <c r="AG35" i="4"/>
  <c r="AD14" i="3" s="1"/>
  <c r="AC74" i="3"/>
  <c r="AC49" i="3"/>
  <c r="AG18" i="4"/>
  <c r="AD9" i="3" s="1"/>
  <c r="AD42" i="3" s="1"/>
  <c r="AC66" i="3"/>
  <c r="AC64" i="3"/>
  <c r="AC57" i="3"/>
  <c r="AC39" i="3"/>
  <c r="AC65" i="3"/>
  <c r="AC53" i="3"/>
  <c r="AC48" i="3"/>
  <c r="AC55" i="3"/>
  <c r="AC45" i="3"/>
  <c r="AC42" i="3"/>
  <c r="AC44" i="3"/>
  <c r="AC38" i="3"/>
  <c r="AC62" i="3"/>
  <c r="AC43" i="3"/>
  <c r="AC51" i="3"/>
  <c r="AG16" i="4"/>
  <c r="AD8" i="3" s="1"/>
  <c r="AC59" i="3"/>
  <c r="AC58" i="3"/>
  <c r="AI33" i="4"/>
  <c r="AF11" i="3" s="1"/>
  <c r="AI36" i="4"/>
  <c r="AF13" i="3" s="1"/>
  <c r="AI28" i="4"/>
  <c r="AI29" i="4" s="1"/>
  <c r="AF10" i="3" s="1"/>
  <c r="AF6" i="3"/>
  <c r="AI34" i="4"/>
  <c r="AF12" i="3" s="1"/>
  <c r="AI17" i="4"/>
  <c r="AI15" i="4"/>
  <c r="AI19" i="4"/>
  <c r="AF15" i="3" s="1"/>
  <c r="AE90" i="3"/>
  <c r="AE86" i="3"/>
  <c r="AE63" i="3" s="1"/>
  <c r="AE89" i="3"/>
  <c r="AE85" i="3"/>
  <c r="AE47" i="3" s="1"/>
  <c r="AD17" i="3"/>
  <c r="AG24" i="4"/>
  <c r="AD5" i="3"/>
  <c r="AG23" i="4"/>
  <c r="AG22" i="4"/>
  <c r="AG21" i="4"/>
  <c r="AG19" i="3"/>
  <c r="AG18" i="3" s="1"/>
  <c r="AG3" i="3"/>
  <c r="AJ10" i="4"/>
  <c r="AG7" i="3" s="1"/>
  <c r="AK3" i="4"/>
  <c r="AJ9" i="4"/>
  <c r="AJ6" i="4"/>
  <c r="AG4" i="3" s="1"/>
  <c r="AI7" i="4"/>
  <c r="AH8" i="4"/>
  <c r="AE26" i="3"/>
  <c r="AE25" i="3"/>
  <c r="AE24" i="3"/>
  <c r="AE23" i="3"/>
  <c r="AE29" i="3" s="1"/>
  <c r="AE28" i="3"/>
  <c r="AD73" i="3" l="1"/>
  <c r="AD79" i="3"/>
  <c r="AD80" i="3" s="1"/>
  <c r="AD74" i="3"/>
  <c r="AD62" i="3"/>
  <c r="AH18" i="4"/>
  <c r="AE9" i="3" s="1"/>
  <c r="AE49" i="3" s="1"/>
  <c r="AD66" i="3"/>
  <c r="AD48" i="3"/>
  <c r="AD53" i="3"/>
  <c r="AD65" i="3"/>
  <c r="AD38" i="3"/>
  <c r="AD54" i="3"/>
  <c r="AD55" i="3"/>
  <c r="AD57" i="3"/>
  <c r="AD64" i="3"/>
  <c r="AD44" i="3"/>
  <c r="AD49" i="3"/>
  <c r="AD45" i="3"/>
  <c r="AD51" i="3"/>
  <c r="AD39" i="3"/>
  <c r="AD43" i="3"/>
  <c r="AD59" i="3"/>
  <c r="AD58" i="3"/>
  <c r="AJ29" i="4"/>
  <c r="AG10" i="3" s="1"/>
  <c r="AG24" i="3" s="1"/>
  <c r="AF28" i="3"/>
  <c r="AF26" i="3"/>
  <c r="AF25" i="3"/>
  <c r="AF24" i="3"/>
  <c r="AF23" i="3"/>
  <c r="AF29" i="3" s="1"/>
  <c r="AJ36" i="4"/>
  <c r="AG13" i="3" s="1"/>
  <c r="AJ28" i="4"/>
  <c r="AG6" i="3"/>
  <c r="AJ34" i="4"/>
  <c r="AG12" i="3" s="1"/>
  <c r="AJ33" i="4"/>
  <c r="AG11" i="3" s="1"/>
  <c r="AJ17" i="4"/>
  <c r="AJ15" i="4"/>
  <c r="AJ19" i="4"/>
  <c r="AG15" i="3" s="1"/>
  <c r="AE17" i="3"/>
  <c r="AH24" i="4"/>
  <c r="AH22" i="4"/>
  <c r="AE5" i="3"/>
  <c r="AH21" i="4"/>
  <c r="AH23" i="4"/>
  <c r="AH19" i="3"/>
  <c r="AH18" i="3" s="1"/>
  <c r="AH3" i="3"/>
  <c r="AK10" i="4"/>
  <c r="AH7" i="3" s="1"/>
  <c r="AL3" i="4"/>
  <c r="AK9" i="4"/>
  <c r="AK6" i="4"/>
  <c r="AH4" i="3" s="1"/>
  <c r="AE78" i="3"/>
  <c r="AE77" i="3"/>
  <c r="AE71" i="3"/>
  <c r="AE72" i="3"/>
  <c r="AE61" i="3"/>
  <c r="AE34" i="3"/>
  <c r="AH35" i="4"/>
  <c r="AE14" i="3" s="1"/>
  <c r="AJ7" i="4"/>
  <c r="AI8" i="4"/>
  <c r="AF86" i="3"/>
  <c r="AF63" i="3" s="1"/>
  <c r="AF89" i="3"/>
  <c r="AF85" i="3"/>
  <c r="AF47" i="3" s="1"/>
  <c r="AF90" i="3"/>
  <c r="AH16" i="4"/>
  <c r="AE8" i="3" s="1"/>
  <c r="AE37" i="3" s="1"/>
  <c r="AE53" i="3" l="1"/>
  <c r="AE38" i="3"/>
  <c r="AE64" i="3"/>
  <c r="AE48" i="3"/>
  <c r="AE62" i="3"/>
  <c r="AE54" i="3"/>
  <c r="AE39" i="3"/>
  <c r="AE42" i="3"/>
  <c r="AE55" i="3"/>
  <c r="AE45" i="3"/>
  <c r="AE44" i="3"/>
  <c r="AE66" i="3"/>
  <c r="AE57" i="3"/>
  <c r="AE65" i="3"/>
  <c r="AE51" i="3"/>
  <c r="AG25" i="3"/>
  <c r="AG26" i="3"/>
  <c r="AG28" i="3"/>
  <c r="AG23" i="3"/>
  <c r="AG29" i="3" s="1"/>
  <c r="AG34" i="3" s="1"/>
  <c r="AE59" i="3"/>
  <c r="AF17" i="3"/>
  <c r="AF5" i="3"/>
  <c r="AI24" i="4"/>
  <c r="AI21" i="4"/>
  <c r="AI23" i="4"/>
  <c r="AI22" i="4"/>
  <c r="AI16" i="4"/>
  <c r="AF8" i="3" s="1"/>
  <c r="AF37" i="3" s="1"/>
  <c r="AE43" i="3"/>
  <c r="AI18" i="4"/>
  <c r="AF9" i="3" s="1"/>
  <c r="AF64" i="3" s="1"/>
  <c r="AE58" i="3"/>
  <c r="AK7" i="4"/>
  <c r="AJ8" i="4"/>
  <c r="AK36" i="4"/>
  <c r="AH13" i="3" s="1"/>
  <c r="AH6" i="3"/>
  <c r="AK34" i="4"/>
  <c r="AH12" i="3" s="1"/>
  <c r="AK33" i="4"/>
  <c r="AH11" i="3" s="1"/>
  <c r="AK28" i="4"/>
  <c r="AK17" i="4"/>
  <c r="AK15" i="4"/>
  <c r="AK19" i="4"/>
  <c r="AH15" i="3" s="1"/>
  <c r="AK29" i="4"/>
  <c r="AH10" i="3" s="1"/>
  <c r="AI19" i="3"/>
  <c r="AI18" i="3" s="1"/>
  <c r="AI3" i="3"/>
  <c r="AL10" i="4"/>
  <c r="AI7" i="3" s="1"/>
  <c r="AM3" i="4"/>
  <c r="AL9" i="4"/>
  <c r="AL6" i="4"/>
  <c r="AI4" i="3" s="1"/>
  <c r="AF78" i="3"/>
  <c r="AF77" i="3"/>
  <c r="AF72" i="3"/>
  <c r="AF71" i="3"/>
  <c r="AF61" i="3"/>
  <c r="AF34" i="3"/>
  <c r="AI35" i="4"/>
  <c r="AF14" i="3" s="1"/>
  <c r="AE75" i="3"/>
  <c r="AE79" i="3" s="1"/>
  <c r="AE80" i="3" s="1"/>
  <c r="AE74" i="3"/>
  <c r="AE73" i="3"/>
  <c r="AE67" i="3"/>
  <c r="AE76" i="3" s="1"/>
  <c r="AE50" i="3"/>
  <c r="AE46" i="3"/>
  <c r="AE41" i="3"/>
  <c r="AE40" i="3"/>
  <c r="AG90" i="3"/>
  <c r="AG86" i="3"/>
  <c r="AG63" i="3" s="1"/>
  <c r="AG89" i="3"/>
  <c r="AG85" i="3"/>
  <c r="AG47" i="3" s="1"/>
  <c r="AJ35" i="4" l="1"/>
  <c r="AG14" i="3" s="1"/>
  <c r="AG61" i="3"/>
  <c r="AG71" i="3"/>
  <c r="AG72" i="3"/>
  <c r="AG77" i="3"/>
  <c r="AG78" i="3"/>
  <c r="AF53" i="3"/>
  <c r="AF39" i="3"/>
  <c r="AF42" i="3"/>
  <c r="AF59" i="3"/>
  <c r="AF66" i="3"/>
  <c r="AF38" i="3"/>
  <c r="AF55" i="3"/>
  <c r="AF43" i="3"/>
  <c r="AF58" i="3"/>
  <c r="AG17" i="3"/>
  <c r="AG5" i="3"/>
  <c r="AJ21" i="4"/>
  <c r="AJ24" i="4"/>
  <c r="AJ23" i="4"/>
  <c r="AJ22" i="4"/>
  <c r="AG75" i="3"/>
  <c r="AG74" i="3"/>
  <c r="AG73" i="3"/>
  <c r="AF75" i="3"/>
  <c r="AF79" i="3" s="1"/>
  <c r="AF80" i="3" s="1"/>
  <c r="AF74" i="3"/>
  <c r="AF73" i="3"/>
  <c r="AL28" i="4"/>
  <c r="AL29" i="4" s="1"/>
  <c r="AI10" i="3" s="1"/>
  <c r="AI6" i="3"/>
  <c r="AL33" i="4"/>
  <c r="AI11" i="3" s="1"/>
  <c r="AL36" i="4"/>
  <c r="AI13" i="3" s="1"/>
  <c r="AL17" i="4"/>
  <c r="AL15" i="4"/>
  <c r="AL19" i="4"/>
  <c r="AI15" i="3" s="1"/>
  <c r="AL34" i="4"/>
  <c r="AI12" i="3" s="1"/>
  <c r="AL7" i="4"/>
  <c r="AK8" i="4"/>
  <c r="AJ16" i="4"/>
  <c r="AG8" i="3" s="1"/>
  <c r="AG37" i="3" s="1"/>
  <c r="AJ19" i="3"/>
  <c r="AJ18" i="3" s="1"/>
  <c r="AJ3" i="3"/>
  <c r="AN3" i="4"/>
  <c r="AM9" i="4"/>
  <c r="AM6" i="4"/>
  <c r="AJ4" i="3" s="1"/>
  <c r="AM10" i="4"/>
  <c r="AJ7" i="3" s="1"/>
  <c r="AJ18" i="4"/>
  <c r="AG9" i="3" s="1"/>
  <c r="AF48" i="3"/>
  <c r="AF49" i="3"/>
  <c r="AF54" i="3"/>
  <c r="AF45" i="3"/>
  <c r="AF44" i="3"/>
  <c r="AF65" i="3"/>
  <c r="AF51" i="3"/>
  <c r="AF57" i="3"/>
  <c r="AF62" i="3"/>
  <c r="AF67" i="3"/>
  <c r="AF76" i="3" s="1"/>
  <c r="AF50" i="3"/>
  <c r="AF46" i="3"/>
  <c r="AF41" i="3"/>
  <c r="AF40" i="3"/>
  <c r="AH23" i="3"/>
  <c r="AH29" i="3" s="1"/>
  <c r="AH24" i="3"/>
  <c r="AH25" i="3"/>
  <c r="AH26" i="3"/>
  <c r="AH28" i="3"/>
  <c r="AH89" i="3"/>
  <c r="AH85" i="3"/>
  <c r="AH47" i="3" s="1"/>
  <c r="AH90" i="3"/>
  <c r="AH86" i="3"/>
  <c r="AH63" i="3" s="1"/>
  <c r="AG79" i="3" l="1"/>
  <c r="AG59" i="3"/>
  <c r="AG43" i="3"/>
  <c r="AG58" i="3"/>
  <c r="AK18" i="4"/>
  <c r="AH9" i="3" s="1"/>
  <c r="AH54" i="3" s="1"/>
  <c r="AM28" i="4"/>
  <c r="AM29" i="4" s="1"/>
  <c r="AJ10" i="3" s="1"/>
  <c r="AJ6" i="3"/>
  <c r="AM34" i="4"/>
  <c r="AJ12" i="3" s="1"/>
  <c r="AM36" i="4"/>
  <c r="AJ13" i="3" s="1"/>
  <c r="AM33" i="4"/>
  <c r="AJ11" i="3" s="1"/>
  <c r="AM19" i="4"/>
  <c r="AJ15" i="3" s="1"/>
  <c r="AM17" i="4"/>
  <c r="AM15" i="4"/>
  <c r="AI28" i="3"/>
  <c r="AI26" i="3"/>
  <c r="AI25" i="3"/>
  <c r="AI24" i="3"/>
  <c r="AI23" i="3"/>
  <c r="AI29" i="3" s="1"/>
  <c r="AK16" i="4"/>
  <c r="AH8" i="3" s="1"/>
  <c r="AH37" i="3" s="1"/>
  <c r="AK19" i="3"/>
  <c r="AK18" i="3" s="1"/>
  <c r="AK3" i="3"/>
  <c r="AO3" i="4"/>
  <c r="AN9" i="4"/>
  <c r="AN6" i="4"/>
  <c r="AK4" i="3" s="1"/>
  <c r="AN10" i="4"/>
  <c r="AK7" i="3" s="1"/>
  <c r="AH78" i="3"/>
  <c r="AH77" i="3"/>
  <c r="AH72" i="3"/>
  <c r="AH71" i="3"/>
  <c r="AH61" i="3"/>
  <c r="AH34" i="3"/>
  <c r="AK35" i="4"/>
  <c r="AH14" i="3" s="1"/>
  <c r="AG80" i="3"/>
  <c r="AG62" i="3"/>
  <c r="AG49" i="3"/>
  <c r="AG48" i="3"/>
  <c r="AG45" i="3"/>
  <c r="AG57" i="3"/>
  <c r="AG44" i="3"/>
  <c r="AG65" i="3"/>
  <c r="AG54" i="3"/>
  <c r="AG51" i="3"/>
  <c r="AG64" i="3"/>
  <c r="AG55" i="3"/>
  <c r="AG53" i="3"/>
  <c r="AG42" i="3"/>
  <c r="AG38" i="3"/>
  <c r="AG67" i="3" s="1"/>
  <c r="AG76" i="3" s="1"/>
  <c r="AG39" i="3"/>
  <c r="AG66" i="3"/>
  <c r="AH17" i="3"/>
  <c r="AK23" i="4"/>
  <c r="AH5" i="3"/>
  <c r="AH58" i="3" s="1"/>
  <c r="AK24" i="4"/>
  <c r="AK22" i="4"/>
  <c r="AK21" i="4"/>
  <c r="AG50" i="3"/>
  <c r="AG46" i="3"/>
  <c r="AG41" i="3"/>
  <c r="AG40" i="3"/>
  <c r="AL8" i="4"/>
  <c r="AM7" i="4"/>
  <c r="AI89" i="3"/>
  <c r="AI85" i="3"/>
  <c r="AI47" i="3" s="1"/>
  <c r="AI90" i="3"/>
  <c r="AI86" i="3"/>
  <c r="AI63" i="3" s="1"/>
  <c r="AH39" i="3" l="1"/>
  <c r="AH42" i="3"/>
  <c r="AH53" i="3"/>
  <c r="AH55" i="3"/>
  <c r="AH38" i="3"/>
  <c r="AH66" i="3"/>
  <c r="AH64" i="3"/>
  <c r="AH65" i="3"/>
  <c r="AH57" i="3"/>
  <c r="AH49" i="3"/>
  <c r="AH48" i="3"/>
  <c r="AH45" i="3"/>
  <c r="AH44" i="3"/>
  <c r="AH62" i="3"/>
  <c r="AH59" i="3"/>
  <c r="AL16" i="4"/>
  <c r="AI8" i="3" s="1"/>
  <c r="AI37" i="3" s="1"/>
  <c r="AI50" i="3" s="1"/>
  <c r="AH51" i="3"/>
  <c r="AM8" i="4"/>
  <c r="AN7" i="4"/>
  <c r="AH67" i="3"/>
  <c r="AH76" i="3" s="1"/>
  <c r="AH50" i="3"/>
  <c r="AH46" i="3"/>
  <c r="AH41" i="3"/>
  <c r="AH40" i="3"/>
  <c r="AI78" i="3"/>
  <c r="AI77" i="3"/>
  <c r="AI72" i="3"/>
  <c r="AI71" i="3"/>
  <c r="AI61" i="3"/>
  <c r="AI34" i="3"/>
  <c r="AL35" i="4"/>
  <c r="AI14" i="3" s="1"/>
  <c r="AN29" i="4"/>
  <c r="AK10" i="3" s="1"/>
  <c r="AJ23" i="3"/>
  <c r="AJ29" i="3" s="1"/>
  <c r="AJ24" i="3"/>
  <c r="AJ25" i="3"/>
  <c r="AJ26" i="3"/>
  <c r="AJ28" i="3"/>
  <c r="AL18" i="4"/>
  <c r="AI9" i="3" s="1"/>
  <c r="AI55" i="3" s="1"/>
  <c r="AN28" i="4"/>
  <c r="AK6" i="3"/>
  <c r="AN34" i="4"/>
  <c r="AK12" i="3" s="1"/>
  <c r="AN33" i="4"/>
  <c r="AK11" i="3" s="1"/>
  <c r="AN36" i="4"/>
  <c r="AK13" i="3" s="1"/>
  <c r="AN19" i="4"/>
  <c r="AK15" i="3" s="1"/>
  <c r="AN17" i="4"/>
  <c r="AN15" i="4"/>
  <c r="AH75" i="3"/>
  <c r="AH79" i="3" s="1"/>
  <c r="AH80" i="3" s="1"/>
  <c r="AH74" i="3"/>
  <c r="AH73" i="3"/>
  <c r="AL19" i="3"/>
  <c r="AL18" i="3" s="1"/>
  <c r="AL3" i="3"/>
  <c r="AP3" i="4"/>
  <c r="AO9" i="4"/>
  <c r="AO6" i="4"/>
  <c r="AL4" i="3" s="1"/>
  <c r="AO10" i="4"/>
  <c r="AL7" i="3" s="1"/>
  <c r="AJ89" i="3"/>
  <c r="AJ85" i="3"/>
  <c r="AJ47" i="3" s="1"/>
  <c r="AJ90" i="3"/>
  <c r="AJ86" i="3"/>
  <c r="AJ63" i="3" s="1"/>
  <c r="AI17" i="3"/>
  <c r="AL23" i="4"/>
  <c r="AI5" i="3"/>
  <c r="AL24" i="4"/>
  <c r="AL22" i="4"/>
  <c r="AL21" i="4"/>
  <c r="AH43" i="3"/>
  <c r="AM16" i="4" l="1"/>
  <c r="AJ8" i="3" s="1"/>
  <c r="AJ37" i="3" s="1"/>
  <c r="AJ41" i="3" s="1"/>
  <c r="AI40" i="3"/>
  <c r="AI41" i="3"/>
  <c r="AM18" i="4"/>
  <c r="AJ9" i="3" s="1"/>
  <c r="AJ44" i="3" s="1"/>
  <c r="AI46" i="3"/>
  <c r="AI38" i="3"/>
  <c r="AI67" i="3" s="1"/>
  <c r="AI76" i="3" s="1"/>
  <c r="AI39" i="3"/>
  <c r="AI42" i="3"/>
  <c r="AI66" i="3"/>
  <c r="AN8" i="4"/>
  <c r="AO7" i="4"/>
  <c r="AK89" i="3"/>
  <c r="AK85" i="3"/>
  <c r="AK47" i="3" s="1"/>
  <c r="AK90" i="3"/>
  <c r="AK86" i="3"/>
  <c r="AK63" i="3" s="1"/>
  <c r="AJ17" i="3"/>
  <c r="AJ5" i="3"/>
  <c r="AM24" i="4"/>
  <c r="AM22" i="4"/>
  <c r="AM23" i="4"/>
  <c r="AM21" i="4"/>
  <c r="AO28" i="4"/>
  <c r="AL6" i="3"/>
  <c r="AO34" i="4"/>
  <c r="AL12" i="3" s="1"/>
  <c r="AO33" i="4"/>
  <c r="AL11" i="3" s="1"/>
  <c r="AO36" i="4"/>
  <c r="AL13" i="3" s="1"/>
  <c r="AO19" i="4"/>
  <c r="AL15" i="3" s="1"/>
  <c r="AO17" i="4"/>
  <c r="AO15" i="4"/>
  <c r="AI64" i="3"/>
  <c r="AM19" i="3"/>
  <c r="AM18" i="3" s="1"/>
  <c r="AM3" i="3"/>
  <c r="AQ3" i="4"/>
  <c r="AP9" i="4"/>
  <c r="AP6" i="4"/>
  <c r="AM4" i="3" s="1"/>
  <c r="AP10" i="4"/>
  <c r="AM7" i="3" s="1"/>
  <c r="AI43" i="3"/>
  <c r="AJ77" i="3"/>
  <c r="AJ78" i="3"/>
  <c r="AJ72" i="3"/>
  <c r="AJ71" i="3"/>
  <c r="AJ61" i="3"/>
  <c r="AJ34" i="3"/>
  <c r="AM35" i="4"/>
  <c r="AJ14" i="3" s="1"/>
  <c r="AI58" i="3"/>
  <c r="AK28" i="3"/>
  <c r="AK26" i="3"/>
  <c r="AK23" i="3"/>
  <c r="AK29" i="3" s="1"/>
  <c r="AK24" i="3"/>
  <c r="AK25" i="3"/>
  <c r="AI53" i="3"/>
  <c r="AI59" i="3"/>
  <c r="AO29" i="4"/>
  <c r="AL10" i="3" s="1"/>
  <c r="AI62" i="3"/>
  <c r="AI65" i="3"/>
  <c r="AI49" i="3"/>
  <c r="AI57" i="3"/>
  <c r="AI54" i="3"/>
  <c r="AI51" i="3"/>
  <c r="AI44" i="3"/>
  <c r="AI45" i="3"/>
  <c r="AI48" i="3"/>
  <c r="AI75" i="3"/>
  <c r="AI79" i="3" s="1"/>
  <c r="AI80" i="3" s="1"/>
  <c r="AI74" i="3"/>
  <c r="AI73" i="3"/>
  <c r="AJ46" i="3" l="1"/>
  <c r="AJ50" i="3"/>
  <c r="AJ55" i="3"/>
  <c r="AJ53" i="3"/>
  <c r="AJ64" i="3"/>
  <c r="AJ38" i="3"/>
  <c r="AJ67" i="3" s="1"/>
  <c r="AJ76" i="3" s="1"/>
  <c r="AJ39" i="3"/>
  <c r="AJ66" i="3"/>
  <c r="AJ42" i="3"/>
  <c r="AJ40" i="3"/>
  <c r="AJ49" i="3"/>
  <c r="AJ45" i="3"/>
  <c r="AJ65" i="3"/>
  <c r="AJ48" i="3"/>
  <c r="AJ57" i="3"/>
  <c r="AJ62" i="3"/>
  <c r="AJ54" i="3"/>
  <c r="AJ51" i="3"/>
  <c r="AJ43" i="3"/>
  <c r="AJ58" i="3"/>
  <c r="AK17" i="3"/>
  <c r="AK5" i="3"/>
  <c r="AN24" i="4"/>
  <c r="AN22" i="4"/>
  <c r="AN23" i="4"/>
  <c r="AN21" i="4"/>
  <c r="AL28" i="3"/>
  <c r="AL26" i="3"/>
  <c r="AL25" i="3"/>
  <c r="AL24" i="3"/>
  <c r="AL23" i="3"/>
  <c r="AL29" i="3" s="1"/>
  <c r="AM6" i="3"/>
  <c r="AP34" i="4"/>
  <c r="AM12" i="3" s="1"/>
  <c r="AP33" i="4"/>
  <c r="AM11" i="3" s="1"/>
  <c r="AP36" i="4"/>
  <c r="AM13" i="3" s="1"/>
  <c r="AP28" i="4"/>
  <c r="AP29" i="4" s="1"/>
  <c r="AM10" i="3" s="1"/>
  <c r="AP17" i="4"/>
  <c r="AP15" i="4"/>
  <c r="AP19" i="4"/>
  <c r="AM15" i="3" s="1"/>
  <c r="AJ59" i="3"/>
  <c r="AN19" i="3"/>
  <c r="AN18" i="3" s="1"/>
  <c r="AN3" i="3"/>
  <c r="AQ9" i="4"/>
  <c r="AQ6" i="4"/>
  <c r="AN4" i="3" s="1"/>
  <c r="AQ10" i="4"/>
  <c r="AN7" i="3" s="1"/>
  <c r="AR3" i="4"/>
  <c r="AJ74" i="3"/>
  <c r="AJ73" i="3"/>
  <c r="AJ75" i="3"/>
  <c r="AJ79" i="3" s="1"/>
  <c r="AJ80" i="3" s="1"/>
  <c r="AK78" i="3"/>
  <c r="AK72" i="3"/>
  <c r="AK71" i="3"/>
  <c r="AK77" i="3"/>
  <c r="AK61" i="3"/>
  <c r="AK34" i="3"/>
  <c r="AN35" i="4"/>
  <c r="AK14" i="3" s="1"/>
  <c r="AL85" i="3"/>
  <c r="AL47" i="3" s="1"/>
  <c r="AL90" i="3"/>
  <c r="AL86" i="3"/>
  <c r="AL63" i="3" s="1"/>
  <c r="AL89" i="3"/>
  <c r="AN16" i="4"/>
  <c r="AK8" i="3" s="1"/>
  <c r="AK37" i="3" s="1"/>
  <c r="AN18" i="4"/>
  <c r="AK9" i="3" s="1"/>
  <c r="AK55" i="3" s="1"/>
  <c r="AP7" i="4"/>
  <c r="AO8" i="4"/>
  <c r="AK59" i="3" l="1"/>
  <c r="AO18" i="4"/>
  <c r="AL9" i="3" s="1"/>
  <c r="AL48" i="3" s="1"/>
  <c r="AK43" i="3"/>
  <c r="AK39" i="3"/>
  <c r="AK64" i="3"/>
  <c r="AK58" i="3"/>
  <c r="AK66" i="3"/>
  <c r="AK38" i="3"/>
  <c r="AM28" i="3"/>
  <c r="AM26" i="3"/>
  <c r="AM25" i="3"/>
  <c r="AM24" i="3"/>
  <c r="AM23" i="3"/>
  <c r="AM29" i="3" s="1"/>
  <c r="AO19" i="3"/>
  <c r="AO18" i="3" s="1"/>
  <c r="AO3" i="3"/>
  <c r="AR10" i="4"/>
  <c r="AO7" i="3" s="1"/>
  <c r="AS3" i="4"/>
  <c r="AR9" i="4"/>
  <c r="AR6" i="4"/>
  <c r="AO4" i="3" s="1"/>
  <c r="AL78" i="3"/>
  <c r="AL77" i="3"/>
  <c r="AL72" i="3"/>
  <c r="AL71" i="3"/>
  <c r="AL61" i="3"/>
  <c r="AL34" i="3"/>
  <c r="AO35" i="4"/>
  <c r="AL14" i="3" s="1"/>
  <c r="AK53" i="3"/>
  <c r="AO16" i="4"/>
  <c r="AL8" i="3" s="1"/>
  <c r="AL37" i="3" s="1"/>
  <c r="AK42" i="3"/>
  <c r="AQ33" i="4"/>
  <c r="AN11" i="3" s="1"/>
  <c r="AQ36" i="4"/>
  <c r="AN13" i="3" s="1"/>
  <c r="AQ28" i="4"/>
  <c r="AQ29" i="4" s="1"/>
  <c r="AN10" i="3" s="1"/>
  <c r="AN6" i="3"/>
  <c r="AQ34" i="4"/>
  <c r="AN12" i="3" s="1"/>
  <c r="AQ17" i="4"/>
  <c r="AQ15" i="4"/>
  <c r="AQ19" i="4"/>
  <c r="AN15" i="3" s="1"/>
  <c r="AL17" i="3"/>
  <c r="AO24" i="4"/>
  <c r="AL5" i="3"/>
  <c r="AL59" i="3" s="1"/>
  <c r="AO22" i="4"/>
  <c r="AO23" i="4"/>
  <c r="AO21" i="4"/>
  <c r="AK67" i="3"/>
  <c r="AK76" i="3" s="1"/>
  <c r="AK50" i="3"/>
  <c r="AK46" i="3"/>
  <c r="AK41" i="3"/>
  <c r="AK40" i="3"/>
  <c r="AQ7" i="4"/>
  <c r="AP8" i="4"/>
  <c r="AK54" i="3"/>
  <c r="AK49" i="3"/>
  <c r="AK65" i="3"/>
  <c r="AK57" i="3"/>
  <c r="AK62" i="3"/>
  <c r="AK44" i="3"/>
  <c r="AK45" i="3"/>
  <c r="AK48" i="3"/>
  <c r="AK51" i="3"/>
  <c r="AK73" i="3"/>
  <c r="AK75" i="3"/>
  <c r="AK79" i="3" s="1"/>
  <c r="AK80" i="3" s="1"/>
  <c r="AK74" i="3"/>
  <c r="AM90" i="3"/>
  <c r="AM86" i="3"/>
  <c r="AM63" i="3" s="1"/>
  <c r="AM89" i="3"/>
  <c r="AM85" i="3"/>
  <c r="AM47" i="3" s="1"/>
  <c r="AL53" i="3" l="1"/>
  <c r="AL57" i="3"/>
  <c r="AL58" i="3"/>
  <c r="AL55" i="3"/>
  <c r="AL54" i="3"/>
  <c r="AL64" i="3"/>
  <c r="AL51" i="3"/>
  <c r="AL38" i="3"/>
  <c r="AL66" i="3"/>
  <c r="AL49" i="3"/>
  <c r="AL39" i="3"/>
  <c r="AL62" i="3"/>
  <c r="AL42" i="3"/>
  <c r="AL44" i="3"/>
  <c r="AP16" i="4"/>
  <c r="AM8" i="3" s="1"/>
  <c r="AM37" i="3" s="1"/>
  <c r="AM46" i="3" s="1"/>
  <c r="AL65" i="3"/>
  <c r="AL45" i="3"/>
  <c r="AL43" i="3"/>
  <c r="AP18" i="4"/>
  <c r="AM9" i="3" s="1"/>
  <c r="AM39" i="3" s="1"/>
  <c r="AN28" i="3"/>
  <c r="AN26" i="3"/>
  <c r="AN25" i="3"/>
  <c r="AN24" i="3"/>
  <c r="AN23" i="3"/>
  <c r="AN29" i="3" s="1"/>
  <c r="AR29" i="4"/>
  <c r="AO10" i="3" s="1"/>
  <c r="AR7" i="4"/>
  <c r="AQ8" i="4"/>
  <c r="AM78" i="3"/>
  <c r="AM77" i="3"/>
  <c r="AM71" i="3"/>
  <c r="AM72" i="3"/>
  <c r="AM61" i="3"/>
  <c r="AM34" i="3"/>
  <c r="AP35" i="4"/>
  <c r="AM14" i="3" s="1"/>
  <c r="AL67" i="3"/>
  <c r="AL76" i="3" s="1"/>
  <c r="AL50" i="3"/>
  <c r="AL46" i="3"/>
  <c r="AL41" i="3"/>
  <c r="AL40" i="3"/>
  <c r="AR36" i="4"/>
  <c r="AO13" i="3" s="1"/>
  <c r="AR28" i="4"/>
  <c r="AO6" i="3"/>
  <c r="AR34" i="4"/>
  <c r="AO12" i="3" s="1"/>
  <c r="AR33" i="4"/>
  <c r="AO11" i="3" s="1"/>
  <c r="AR17" i="4"/>
  <c r="AR15" i="4"/>
  <c r="AR19" i="4"/>
  <c r="AO15" i="3" s="1"/>
  <c r="AN90" i="3"/>
  <c r="AN86" i="3"/>
  <c r="AN63" i="3" s="1"/>
  <c r="AN89" i="3"/>
  <c r="AN85" i="3"/>
  <c r="AN47" i="3" s="1"/>
  <c r="AP19" i="3"/>
  <c r="AP18" i="3" s="1"/>
  <c r="AP3" i="3"/>
  <c r="AS10" i="4"/>
  <c r="AP7" i="3" s="1"/>
  <c r="AT3" i="4"/>
  <c r="AS9" i="4"/>
  <c r="AS6" i="4"/>
  <c r="AP4" i="3" s="1"/>
  <c r="AM17" i="3"/>
  <c r="AP24" i="4"/>
  <c r="AP22" i="4"/>
  <c r="AM5" i="3"/>
  <c r="AM59" i="3" s="1"/>
  <c r="AP23" i="4"/>
  <c r="AP21" i="4"/>
  <c r="AL75" i="3"/>
  <c r="AL79" i="3" s="1"/>
  <c r="AL80" i="3" s="1"/>
  <c r="AL74" i="3"/>
  <c r="AL73" i="3"/>
  <c r="AM55" i="3" l="1"/>
  <c r="AM48" i="3"/>
  <c r="AM54" i="3"/>
  <c r="AM51" i="3"/>
  <c r="AM62" i="3"/>
  <c r="AQ18" i="4"/>
  <c r="AN9" i="3" s="1"/>
  <c r="AN48" i="3" s="1"/>
  <c r="AM40" i="3"/>
  <c r="AM42" i="3"/>
  <c r="AM50" i="3"/>
  <c r="AM53" i="3"/>
  <c r="AM41" i="3"/>
  <c r="AM49" i="3"/>
  <c r="AM44" i="3"/>
  <c r="AM64" i="3"/>
  <c r="AM45" i="3"/>
  <c r="AM66" i="3"/>
  <c r="AM57" i="3"/>
  <c r="AM65" i="3"/>
  <c r="AM38" i="3"/>
  <c r="AM67" i="3" s="1"/>
  <c r="AM76" i="3" s="1"/>
  <c r="AQ16" i="4"/>
  <c r="AN8" i="3" s="1"/>
  <c r="AN37" i="3" s="1"/>
  <c r="AN46" i="3" s="1"/>
  <c r="AM43" i="3"/>
  <c r="AS36" i="4"/>
  <c r="AP13" i="3" s="1"/>
  <c r="AP6" i="3"/>
  <c r="AS34" i="4"/>
  <c r="AP12" i="3" s="1"/>
  <c r="AS33" i="4"/>
  <c r="AP11" i="3" s="1"/>
  <c r="AS28" i="4"/>
  <c r="AS17" i="4"/>
  <c r="AS15" i="4"/>
  <c r="AS19" i="4"/>
  <c r="AP15" i="3" s="1"/>
  <c r="AS29" i="4"/>
  <c r="AP10" i="3" s="1"/>
  <c r="AQ19" i="3"/>
  <c r="AQ18" i="3" s="1"/>
  <c r="AQ3" i="3"/>
  <c r="AT10" i="4"/>
  <c r="AQ7" i="3" s="1"/>
  <c r="AU3" i="4"/>
  <c r="AT9" i="4"/>
  <c r="AT6" i="4"/>
  <c r="AQ4" i="3" s="1"/>
  <c r="AN17" i="3"/>
  <c r="AN5" i="3"/>
  <c r="AQ24" i="4"/>
  <c r="AQ23" i="4"/>
  <c r="AQ22" i="4"/>
  <c r="AQ21" i="4"/>
  <c r="AM58" i="3"/>
  <c r="AO90" i="3"/>
  <c r="AO86" i="3"/>
  <c r="AO63" i="3" s="1"/>
  <c r="AO89" i="3"/>
  <c r="AO85" i="3"/>
  <c r="AO47" i="3" s="1"/>
  <c r="AS7" i="4"/>
  <c r="AR8" i="4"/>
  <c r="AO25" i="3"/>
  <c r="AO24" i="3"/>
  <c r="AO23" i="3"/>
  <c r="AO29" i="3" s="1"/>
  <c r="AO28" i="3"/>
  <c r="AO26" i="3"/>
  <c r="AM75" i="3"/>
  <c r="AM79" i="3" s="1"/>
  <c r="AM80" i="3" s="1"/>
  <c r="AM74" i="3"/>
  <c r="AM73" i="3"/>
  <c r="AN78" i="3"/>
  <c r="AN77" i="3"/>
  <c r="AN72" i="3"/>
  <c r="AN71" i="3"/>
  <c r="AN61" i="3"/>
  <c r="AN34" i="3"/>
  <c r="AQ35" i="4"/>
  <c r="AN14" i="3" s="1"/>
  <c r="AN62" i="3" l="1"/>
  <c r="AN39" i="3"/>
  <c r="AN38" i="3"/>
  <c r="AN64" i="3"/>
  <c r="AN66" i="3"/>
  <c r="AN42" i="3"/>
  <c r="AN53" i="3"/>
  <c r="AN55" i="3"/>
  <c r="AN51" i="3"/>
  <c r="AN45" i="3"/>
  <c r="AN54" i="3"/>
  <c r="AN57" i="3"/>
  <c r="AN49" i="3"/>
  <c r="AN58" i="3"/>
  <c r="AN65" i="3"/>
  <c r="AN44" i="3"/>
  <c r="AN43" i="3"/>
  <c r="AN50" i="3"/>
  <c r="AN67" i="3"/>
  <c r="AN76" i="3" s="1"/>
  <c r="AN40" i="3"/>
  <c r="AN41" i="3"/>
  <c r="AO78" i="3"/>
  <c r="AO77" i="3"/>
  <c r="AO72" i="3"/>
  <c r="AO71" i="3"/>
  <c r="AO61" i="3"/>
  <c r="AO34" i="3"/>
  <c r="AR35" i="4"/>
  <c r="AO14" i="3" s="1"/>
  <c r="AR19" i="3"/>
  <c r="AR18" i="3" s="1"/>
  <c r="AR3" i="3"/>
  <c r="AV3" i="4"/>
  <c r="AU9" i="4"/>
  <c r="AU6" i="4"/>
  <c r="AR4" i="3" s="1"/>
  <c r="AU10" i="4"/>
  <c r="AR7" i="3" s="1"/>
  <c r="AO17" i="3"/>
  <c r="AO5" i="3"/>
  <c r="AR24" i="4"/>
  <c r="AR21" i="4"/>
  <c r="AR23" i="4"/>
  <c r="AR22" i="4"/>
  <c r="AT7" i="4"/>
  <c r="AS8" i="4"/>
  <c r="AN59" i="3"/>
  <c r="AP23" i="3"/>
  <c r="AP29" i="3" s="1"/>
  <c r="AP24" i="3"/>
  <c r="AP25" i="3"/>
  <c r="AP26" i="3"/>
  <c r="AP28" i="3"/>
  <c r="AP86" i="3"/>
  <c r="AP63" i="3" s="1"/>
  <c r="AP89" i="3"/>
  <c r="AP85" i="3"/>
  <c r="AP47" i="3" s="1"/>
  <c r="AP90" i="3"/>
  <c r="AR16" i="4"/>
  <c r="AO8" i="3" s="1"/>
  <c r="AO37" i="3" s="1"/>
  <c r="AN75" i="3"/>
  <c r="AN79" i="3" s="1"/>
  <c r="AN80" i="3" s="1"/>
  <c r="AN74" i="3"/>
  <c r="AN73" i="3"/>
  <c r="AR18" i="4"/>
  <c r="AO9" i="3" s="1"/>
  <c r="AO42" i="3" s="1"/>
  <c r="AT28" i="4"/>
  <c r="AT29" i="4" s="1"/>
  <c r="AQ6" i="3"/>
  <c r="AT33" i="4"/>
  <c r="AQ11" i="3" s="1"/>
  <c r="AT36" i="4"/>
  <c r="AQ13" i="3" s="1"/>
  <c r="AT17" i="4"/>
  <c r="AT15" i="4"/>
  <c r="AT34" i="4"/>
  <c r="AQ12" i="3" s="1"/>
  <c r="AT19" i="4"/>
  <c r="AQ15" i="3" s="1"/>
  <c r="AO58" i="3" l="1"/>
  <c r="AS16" i="4"/>
  <c r="AP8" i="3" s="1"/>
  <c r="AP37" i="3" s="1"/>
  <c r="AP46" i="3" s="1"/>
  <c r="AO43" i="3"/>
  <c r="AQ10" i="3"/>
  <c r="AO53" i="3"/>
  <c r="AO55" i="3"/>
  <c r="AO59" i="3"/>
  <c r="AO75" i="3"/>
  <c r="AO79" i="3" s="1"/>
  <c r="AO80" i="3" s="1"/>
  <c r="AO74" i="3"/>
  <c r="AO73" i="3"/>
  <c r="AO50" i="3"/>
  <c r="AO46" i="3"/>
  <c r="AO41" i="3"/>
  <c r="AO40" i="3"/>
  <c r="AO38" i="3"/>
  <c r="AO67" i="3" s="1"/>
  <c r="AO76" i="3" s="1"/>
  <c r="AO66" i="3"/>
  <c r="AP78" i="3"/>
  <c r="AP77" i="3"/>
  <c r="AP72" i="3"/>
  <c r="AP71" i="3"/>
  <c r="AP61" i="3"/>
  <c r="AP34" i="3"/>
  <c r="AS35" i="4"/>
  <c r="AP14" i="3" s="1"/>
  <c r="AO39" i="3"/>
  <c r="AQ89" i="3"/>
  <c r="AQ85" i="3"/>
  <c r="AQ47" i="3" s="1"/>
  <c r="AQ90" i="3"/>
  <c r="AQ86" i="3"/>
  <c r="AQ63" i="3" s="1"/>
  <c r="AU28" i="4"/>
  <c r="AU29" i="4" s="1"/>
  <c r="AR10" i="3" s="1"/>
  <c r="AR6" i="3"/>
  <c r="AU34" i="4"/>
  <c r="AR12" i="3" s="1"/>
  <c r="AU36" i="4"/>
  <c r="AR13" i="3" s="1"/>
  <c r="AU33" i="4"/>
  <c r="AR11" i="3" s="1"/>
  <c r="AU19" i="4"/>
  <c r="AR15" i="3" s="1"/>
  <c r="AU17" i="4"/>
  <c r="AU15" i="4"/>
  <c r="AO62" i="3"/>
  <c r="AO49" i="3"/>
  <c r="AO48" i="3"/>
  <c r="AO45" i="3"/>
  <c r="AO57" i="3"/>
  <c r="AO44" i="3"/>
  <c r="AO65" i="3"/>
  <c r="AO51" i="3"/>
  <c r="AO54" i="3"/>
  <c r="AP17" i="3"/>
  <c r="AS23" i="4"/>
  <c r="AP5" i="3"/>
  <c r="AS22" i="4"/>
  <c r="AS24" i="4"/>
  <c r="AS21" i="4"/>
  <c r="AS18" i="4"/>
  <c r="AP9" i="3" s="1"/>
  <c r="AP55" i="3" s="1"/>
  <c r="AS19" i="3"/>
  <c r="AS18" i="3" s="1"/>
  <c r="AS3" i="3"/>
  <c r="AW3" i="4"/>
  <c r="AV9" i="4"/>
  <c r="AV6" i="4"/>
  <c r="AS4" i="3" s="1"/>
  <c r="AV10" i="4"/>
  <c r="AS7" i="3" s="1"/>
  <c r="AT8" i="4"/>
  <c r="AT16" i="4" s="1"/>
  <c r="AQ8" i="3" s="1"/>
  <c r="AQ37" i="3" s="1"/>
  <c r="AU7" i="4"/>
  <c r="AO64" i="3"/>
  <c r="AP50" i="3" l="1"/>
  <c r="AP40" i="3"/>
  <c r="AP41" i="3"/>
  <c r="AT19" i="3"/>
  <c r="AT18" i="3" s="1"/>
  <c r="AT3" i="3"/>
  <c r="AX3" i="4"/>
  <c r="AW9" i="4"/>
  <c r="AW6" i="4"/>
  <c r="AT4" i="3" s="1"/>
  <c r="AW10" i="4"/>
  <c r="AT7" i="3" s="1"/>
  <c r="AP64" i="3"/>
  <c r="AP53" i="3"/>
  <c r="AR23" i="3"/>
  <c r="AR29" i="3" s="1"/>
  <c r="AR24" i="3"/>
  <c r="AR25" i="3"/>
  <c r="AR26" i="3"/>
  <c r="AR28" i="3"/>
  <c r="AQ28" i="3"/>
  <c r="AQ26" i="3"/>
  <c r="AQ25" i="3"/>
  <c r="AQ24" i="3"/>
  <c r="AQ23" i="3"/>
  <c r="AQ29" i="3" s="1"/>
  <c r="AQ17" i="3"/>
  <c r="AT23" i="4"/>
  <c r="AQ5" i="3"/>
  <c r="AT22" i="4"/>
  <c r="AT24" i="4"/>
  <c r="AT21" i="4"/>
  <c r="AR89" i="3"/>
  <c r="AR85" i="3"/>
  <c r="AR47" i="3" s="1"/>
  <c r="AR90" i="3"/>
  <c r="AR86" i="3"/>
  <c r="AR63" i="3" s="1"/>
  <c r="AP75" i="3"/>
  <c r="AP79" i="3" s="1"/>
  <c r="AP80" i="3" s="1"/>
  <c r="AP74" i="3"/>
  <c r="AP73" i="3"/>
  <c r="AP54" i="3"/>
  <c r="AP62" i="3"/>
  <c r="AP44" i="3"/>
  <c r="AP45" i="3"/>
  <c r="AP48" i="3"/>
  <c r="AP57" i="3"/>
  <c r="AP49" i="3"/>
  <c r="AP65" i="3"/>
  <c r="AP51" i="3"/>
  <c r="AP38" i="3"/>
  <c r="AP67" i="3" s="1"/>
  <c r="AP76" i="3" s="1"/>
  <c r="AP66" i="3"/>
  <c r="AP43" i="3"/>
  <c r="AU8" i="4"/>
  <c r="AV7" i="4"/>
  <c r="AP39" i="3"/>
  <c r="AP58" i="3"/>
  <c r="AQ50" i="3"/>
  <c r="AQ46" i="3"/>
  <c r="AQ41" i="3"/>
  <c r="AQ40" i="3"/>
  <c r="AP42" i="3"/>
  <c r="AP59" i="3"/>
  <c r="AV28" i="4"/>
  <c r="AS6" i="3"/>
  <c r="AV34" i="4"/>
  <c r="AS12" i="3" s="1"/>
  <c r="AV33" i="4"/>
  <c r="AS11" i="3" s="1"/>
  <c r="AV36" i="4"/>
  <c r="AS13" i="3" s="1"/>
  <c r="AV19" i="4"/>
  <c r="AS15" i="3" s="1"/>
  <c r="AV17" i="4"/>
  <c r="AV15" i="4"/>
  <c r="AT18" i="4"/>
  <c r="AQ9" i="3" s="1"/>
  <c r="AV29" i="4"/>
  <c r="AS10" i="3" s="1"/>
  <c r="AQ58" i="3" l="1"/>
  <c r="AS28" i="3"/>
  <c r="AS26" i="3"/>
  <c r="AS25" i="3"/>
  <c r="AS23" i="3"/>
  <c r="AS29" i="3" s="1"/>
  <c r="AS24" i="3"/>
  <c r="AQ59" i="3"/>
  <c r="AQ62" i="3"/>
  <c r="AQ44" i="3"/>
  <c r="AQ45" i="3"/>
  <c r="AQ48" i="3"/>
  <c r="AQ49" i="3"/>
  <c r="AQ65" i="3"/>
  <c r="AQ51" i="3"/>
  <c r="AQ57" i="3"/>
  <c r="AQ54" i="3"/>
  <c r="AS89" i="3"/>
  <c r="AS85" i="3"/>
  <c r="AS47" i="3" s="1"/>
  <c r="AS90" i="3"/>
  <c r="AS86" i="3"/>
  <c r="AS63" i="3" s="1"/>
  <c r="AQ78" i="3"/>
  <c r="AQ77" i="3"/>
  <c r="AQ72" i="3"/>
  <c r="AQ66" i="3"/>
  <c r="AQ71" i="3"/>
  <c r="AQ55" i="3"/>
  <c r="AQ53" i="3"/>
  <c r="AQ64" i="3"/>
  <c r="AQ61" i="3"/>
  <c r="AQ42" i="3"/>
  <c r="AQ39" i="3"/>
  <c r="AQ38" i="3"/>
  <c r="AQ67" i="3" s="1"/>
  <c r="AQ76" i="3" s="1"/>
  <c r="AQ34" i="3"/>
  <c r="AT35" i="4"/>
  <c r="AQ14" i="3" s="1"/>
  <c r="AR77" i="3"/>
  <c r="AR72" i="3"/>
  <c r="AR71" i="3"/>
  <c r="AR78" i="3"/>
  <c r="AR61" i="3"/>
  <c r="AR34" i="3"/>
  <c r="AU35" i="4"/>
  <c r="AR14" i="3" s="1"/>
  <c r="AW28" i="4"/>
  <c r="AT6" i="3"/>
  <c r="AW34" i="4"/>
  <c r="AT12" i="3" s="1"/>
  <c r="AW33" i="4"/>
  <c r="AT11" i="3" s="1"/>
  <c r="AW36" i="4"/>
  <c r="AT13" i="3" s="1"/>
  <c r="AW19" i="4"/>
  <c r="AT15" i="3" s="1"/>
  <c r="AW17" i="4"/>
  <c r="AW15" i="4"/>
  <c r="AV8" i="4"/>
  <c r="AW7" i="4"/>
  <c r="AU19" i="3"/>
  <c r="AU18" i="3" s="1"/>
  <c r="AU3" i="3"/>
  <c r="AY3" i="4"/>
  <c r="AX9" i="4"/>
  <c r="AX6" i="4"/>
  <c r="AU4" i="3" s="1"/>
  <c r="AX10" i="4"/>
  <c r="AU7" i="3" s="1"/>
  <c r="AR17" i="3"/>
  <c r="AR5" i="3"/>
  <c r="AU24" i="4"/>
  <c r="AU22" i="4"/>
  <c r="AU21" i="4"/>
  <c r="AU23" i="4"/>
  <c r="AU16" i="4"/>
  <c r="AR8" i="3" s="1"/>
  <c r="AR37" i="3" s="1"/>
  <c r="AW29" i="4"/>
  <c r="AT10" i="3" s="1"/>
  <c r="AU18" i="4"/>
  <c r="AR9" i="3" s="1"/>
  <c r="AR66" i="3" s="1"/>
  <c r="AQ43" i="3"/>
  <c r="AV18" i="4" l="1"/>
  <c r="AS9" i="3" s="1"/>
  <c r="AS57" i="3" s="1"/>
  <c r="AV16" i="4"/>
  <c r="AS8" i="3" s="1"/>
  <c r="AS37" i="3" s="1"/>
  <c r="AS50" i="3" s="1"/>
  <c r="AR39" i="3"/>
  <c r="AS78" i="3"/>
  <c r="AS72" i="3"/>
  <c r="AS77" i="3"/>
  <c r="AS71" i="3"/>
  <c r="AS61" i="3"/>
  <c r="AS34" i="3"/>
  <c r="AV35" i="4"/>
  <c r="AS14" i="3" s="1"/>
  <c r="AR54" i="3"/>
  <c r="AR57" i="3"/>
  <c r="AR62" i="3"/>
  <c r="AR49" i="3"/>
  <c r="AR48" i="3"/>
  <c r="AR65" i="3"/>
  <c r="AR51" i="3"/>
  <c r="AR45" i="3"/>
  <c r="AR44" i="3"/>
  <c r="AR42" i="3"/>
  <c r="AT26" i="3"/>
  <c r="AT25" i="3"/>
  <c r="AT24" i="3"/>
  <c r="AT23" i="3"/>
  <c r="AT29" i="3" s="1"/>
  <c r="AT28" i="3"/>
  <c r="AX7" i="4"/>
  <c r="AW8" i="4"/>
  <c r="AS17" i="3"/>
  <c r="AS5" i="3"/>
  <c r="AV24" i="4"/>
  <c r="AV22" i="4"/>
  <c r="AV21" i="4"/>
  <c r="AV23" i="4"/>
  <c r="AT89" i="3"/>
  <c r="AT85" i="3"/>
  <c r="AT47" i="3" s="1"/>
  <c r="AT90" i="3"/>
  <c r="AT86" i="3"/>
  <c r="AT63" i="3" s="1"/>
  <c r="AR53" i="3"/>
  <c r="AR55" i="3"/>
  <c r="AQ75" i="3"/>
  <c r="AQ79" i="3" s="1"/>
  <c r="AQ80" i="3" s="1"/>
  <c r="AQ74" i="3"/>
  <c r="AQ73" i="3"/>
  <c r="AR43" i="3"/>
  <c r="AR46" i="3"/>
  <c r="AR41" i="3"/>
  <c r="AR40" i="3"/>
  <c r="AR50" i="3"/>
  <c r="AU6" i="3"/>
  <c r="AX34" i="4"/>
  <c r="AU12" i="3" s="1"/>
  <c r="AX33" i="4"/>
  <c r="AU11" i="3" s="1"/>
  <c r="AX36" i="4"/>
  <c r="AU13" i="3" s="1"/>
  <c r="AX28" i="4"/>
  <c r="AX29" i="4" s="1"/>
  <c r="AU10" i="3" s="1"/>
  <c r="AX17" i="4"/>
  <c r="AX15" i="4"/>
  <c r="AX19" i="4"/>
  <c r="AU15" i="3" s="1"/>
  <c r="AR75" i="3"/>
  <c r="AR79" i="3" s="1"/>
  <c r="AR74" i="3"/>
  <c r="AR73" i="3"/>
  <c r="AR58" i="3"/>
  <c r="AV19" i="3"/>
  <c r="AV18" i="3" s="1"/>
  <c r="AV3" i="3"/>
  <c r="AY9" i="4"/>
  <c r="AY6" i="4"/>
  <c r="AV4" i="3" s="1"/>
  <c r="AY10" i="4"/>
  <c r="AV7" i="3" s="1"/>
  <c r="AZ3" i="4"/>
  <c r="AR38" i="3"/>
  <c r="AR67" i="3" s="1"/>
  <c r="AR76" i="3" s="1"/>
  <c r="AR64" i="3"/>
  <c r="AR59" i="3"/>
  <c r="AS59" i="3" l="1"/>
  <c r="AS40" i="3"/>
  <c r="AS41" i="3"/>
  <c r="AS46" i="3"/>
  <c r="AS65" i="3"/>
  <c r="AS49" i="3"/>
  <c r="AS38" i="3"/>
  <c r="AS67" i="3" s="1"/>
  <c r="AS76" i="3" s="1"/>
  <c r="AS64" i="3"/>
  <c r="AS48" i="3"/>
  <c r="AS39" i="3"/>
  <c r="AS66" i="3"/>
  <c r="AS45" i="3"/>
  <c r="AS42" i="3"/>
  <c r="AS44" i="3"/>
  <c r="AS53" i="3"/>
  <c r="AS62" i="3"/>
  <c r="AS54" i="3"/>
  <c r="AS55" i="3"/>
  <c r="AS51" i="3"/>
  <c r="AU28" i="3"/>
  <c r="AU26" i="3"/>
  <c r="AU25" i="3"/>
  <c r="AU24" i="3"/>
  <c r="AU23" i="3"/>
  <c r="AU29" i="3" s="1"/>
  <c r="AR80" i="3"/>
  <c r="AS73" i="3"/>
  <c r="AS75" i="3"/>
  <c r="AS79" i="3" s="1"/>
  <c r="AS80" i="3" s="1"/>
  <c r="AS74" i="3"/>
  <c r="AW19" i="3"/>
  <c r="AW18" i="3" s="1"/>
  <c r="AW3" i="3"/>
  <c r="AZ10" i="4"/>
  <c r="AW7" i="3" s="1"/>
  <c r="BA3" i="4"/>
  <c r="AZ9" i="4"/>
  <c r="AZ6" i="4"/>
  <c r="AW4" i="3" s="1"/>
  <c r="AT78" i="3"/>
  <c r="AT77" i="3"/>
  <c r="AT72" i="3"/>
  <c r="AT71" i="3"/>
  <c r="AT61" i="3"/>
  <c r="AT34" i="3"/>
  <c r="AW35" i="4"/>
  <c r="AT14" i="3" s="1"/>
  <c r="AT17" i="3"/>
  <c r="AW24" i="4"/>
  <c r="AT5" i="3"/>
  <c r="AW22" i="4"/>
  <c r="AW21" i="4"/>
  <c r="AW23" i="4"/>
  <c r="AY33" i="4"/>
  <c r="AV11" i="3" s="1"/>
  <c r="AY36" i="4"/>
  <c r="AV13" i="3" s="1"/>
  <c r="AY28" i="4"/>
  <c r="AY29" i="4" s="1"/>
  <c r="AV10" i="3" s="1"/>
  <c r="AV6" i="3"/>
  <c r="AY34" i="4"/>
  <c r="AV12" i="3" s="1"/>
  <c r="AY17" i="4"/>
  <c r="AY15" i="4"/>
  <c r="AY19" i="4"/>
  <c r="AV15" i="3" s="1"/>
  <c r="AU85" i="3"/>
  <c r="AU47" i="3" s="1"/>
  <c r="AU90" i="3"/>
  <c r="AU86" i="3"/>
  <c r="AU63" i="3" s="1"/>
  <c r="AU89" i="3"/>
  <c r="AY7" i="4"/>
  <c r="AX8" i="4"/>
  <c r="AW16" i="4"/>
  <c r="AT8" i="3" s="1"/>
  <c r="AT37" i="3" s="1"/>
  <c r="AS43" i="3"/>
  <c r="AW18" i="4"/>
  <c r="AT9" i="3" s="1"/>
  <c r="AT39" i="3" s="1"/>
  <c r="AS58" i="3"/>
  <c r="AZ29" i="4" l="1"/>
  <c r="AW10" i="3" s="1"/>
  <c r="AW25" i="3" s="1"/>
  <c r="AZ7" i="4"/>
  <c r="AY8" i="4"/>
  <c r="AT38" i="3"/>
  <c r="AT66" i="3"/>
  <c r="AV90" i="3"/>
  <c r="AV86" i="3"/>
  <c r="AV63" i="3" s="1"/>
  <c r="AV89" i="3"/>
  <c r="AV85" i="3"/>
  <c r="AV47" i="3" s="1"/>
  <c r="AV23" i="3"/>
  <c r="AV29" i="3" s="1"/>
  <c r="AV28" i="3"/>
  <c r="AV26" i="3"/>
  <c r="AV25" i="3"/>
  <c r="AV24" i="3"/>
  <c r="AT54" i="3"/>
  <c r="AT49" i="3"/>
  <c r="AT57" i="3"/>
  <c r="AT48" i="3"/>
  <c r="AT45" i="3"/>
  <c r="AT65" i="3"/>
  <c r="AT44" i="3"/>
  <c r="AT51" i="3"/>
  <c r="AT62" i="3"/>
  <c r="AT42" i="3"/>
  <c r="AT53" i="3"/>
  <c r="AU78" i="3"/>
  <c r="AU77" i="3"/>
  <c r="AU71" i="3"/>
  <c r="AU72" i="3"/>
  <c r="AU61" i="3"/>
  <c r="AU34" i="3"/>
  <c r="AX35" i="4"/>
  <c r="AU14" i="3" s="1"/>
  <c r="AT55" i="3"/>
  <c r="AZ36" i="4"/>
  <c r="AW13" i="3" s="1"/>
  <c r="AZ28" i="4"/>
  <c r="AW6" i="3"/>
  <c r="AZ34" i="4"/>
  <c r="AW12" i="3" s="1"/>
  <c r="AZ33" i="4"/>
  <c r="AW11" i="3" s="1"/>
  <c r="AZ17" i="4"/>
  <c r="AZ15" i="4"/>
  <c r="AZ19" i="4"/>
  <c r="AW15" i="3" s="1"/>
  <c r="AT43" i="3"/>
  <c r="AX19" i="3"/>
  <c r="AX18" i="3" s="1"/>
  <c r="AX3" i="3"/>
  <c r="BA10" i="4"/>
  <c r="AX7" i="3" s="1"/>
  <c r="BB3" i="4"/>
  <c r="BA9" i="4"/>
  <c r="BA6" i="4"/>
  <c r="AX4" i="3" s="1"/>
  <c r="AT58" i="3"/>
  <c r="AT67" i="3"/>
  <c r="AT76" i="3" s="1"/>
  <c r="AT50" i="3"/>
  <c r="AT46" i="3"/>
  <c r="AT41" i="3"/>
  <c r="AT40" i="3"/>
  <c r="AX16" i="4"/>
  <c r="AU8" i="3" s="1"/>
  <c r="AU37" i="3" s="1"/>
  <c r="AU17" i="3"/>
  <c r="AX24" i="4"/>
  <c r="AX22" i="4"/>
  <c r="AU5" i="3"/>
  <c r="AX21" i="4"/>
  <c r="AX23" i="4"/>
  <c r="AX18" i="4"/>
  <c r="AU9" i="3" s="1"/>
  <c r="AU66" i="3" s="1"/>
  <c r="AT75" i="3"/>
  <c r="AT79" i="3" s="1"/>
  <c r="AT80" i="3" s="1"/>
  <c r="AT74" i="3"/>
  <c r="AT73" i="3"/>
  <c r="AT64" i="3"/>
  <c r="AT59" i="3"/>
  <c r="AW26" i="3" l="1"/>
  <c r="AY16" i="4"/>
  <c r="AV8" i="3" s="1"/>
  <c r="AV37" i="3" s="1"/>
  <c r="AV41" i="3" s="1"/>
  <c r="AW28" i="3"/>
  <c r="AW23" i="3"/>
  <c r="AW29" i="3" s="1"/>
  <c r="AW78" i="3" s="1"/>
  <c r="AW24" i="3"/>
  <c r="AU59" i="3"/>
  <c r="AY18" i="4"/>
  <c r="AV9" i="3" s="1"/>
  <c r="AV57" i="3" s="1"/>
  <c r="AU75" i="3"/>
  <c r="AU79" i="3" s="1"/>
  <c r="AU80" i="3" s="1"/>
  <c r="AU74" i="3"/>
  <c r="AU73" i="3"/>
  <c r="AU48" i="3"/>
  <c r="AU45" i="3"/>
  <c r="AU44" i="3"/>
  <c r="AU51" i="3"/>
  <c r="AU49" i="3"/>
  <c r="AU62" i="3"/>
  <c r="AU65" i="3"/>
  <c r="AU54" i="3"/>
  <c r="AU57" i="3"/>
  <c r="AU50" i="3"/>
  <c r="AU46" i="3"/>
  <c r="AU41" i="3"/>
  <c r="AU40" i="3"/>
  <c r="BA36" i="4"/>
  <c r="AX13" i="3" s="1"/>
  <c r="AX6" i="3"/>
  <c r="BA34" i="4"/>
  <c r="AX12" i="3" s="1"/>
  <c r="BA33" i="4"/>
  <c r="AX11" i="3" s="1"/>
  <c r="BA17" i="4"/>
  <c r="BA15" i="4"/>
  <c r="BA19" i="4"/>
  <c r="AX15" i="3" s="1"/>
  <c r="BA28" i="4"/>
  <c r="AU38" i="3"/>
  <c r="AU67" i="3" s="1"/>
  <c r="AU76" i="3" s="1"/>
  <c r="AU39" i="3"/>
  <c r="BA29" i="4"/>
  <c r="AX10" i="3" s="1"/>
  <c r="AU42" i="3"/>
  <c r="AY19" i="3"/>
  <c r="AY18" i="3" s="1"/>
  <c r="AY3" i="3"/>
  <c r="BB10" i="4"/>
  <c r="AY7" i="3" s="1"/>
  <c r="BC3" i="4"/>
  <c r="BB9" i="4"/>
  <c r="BB6" i="4"/>
  <c r="AY4" i="3" s="1"/>
  <c r="AU53" i="3"/>
  <c r="AU55" i="3"/>
  <c r="AW90" i="3"/>
  <c r="AW86" i="3"/>
  <c r="AW63" i="3" s="1"/>
  <c r="AW89" i="3"/>
  <c r="AW85" i="3"/>
  <c r="AW47" i="3" s="1"/>
  <c r="AU43" i="3"/>
  <c r="AV17" i="3"/>
  <c r="AV5" i="3"/>
  <c r="AY24" i="4"/>
  <c r="AY22" i="4"/>
  <c r="AY21" i="4"/>
  <c r="AY23" i="4"/>
  <c r="AU64" i="3"/>
  <c r="AU58" i="3"/>
  <c r="AV78" i="3"/>
  <c r="AV77" i="3"/>
  <c r="AV72" i="3"/>
  <c r="AV71" i="3"/>
  <c r="AV61" i="3"/>
  <c r="AV34" i="3"/>
  <c r="AY35" i="4"/>
  <c r="AV14" i="3" s="1"/>
  <c r="BA7" i="4"/>
  <c r="AZ8" i="4"/>
  <c r="AZ35" i="4" l="1"/>
  <c r="AW14" i="3" s="1"/>
  <c r="AZ18" i="4"/>
  <c r="AW9" i="3" s="1"/>
  <c r="AW62" i="3" s="1"/>
  <c r="AV55" i="3"/>
  <c r="AW61" i="3"/>
  <c r="AV46" i="3"/>
  <c r="AV50" i="3"/>
  <c r="AW34" i="3"/>
  <c r="AW75" i="3" s="1"/>
  <c r="AV40" i="3"/>
  <c r="AW71" i="3"/>
  <c r="AW72" i="3"/>
  <c r="AW77" i="3"/>
  <c r="AV39" i="3"/>
  <c r="AV42" i="3"/>
  <c r="AV59" i="3"/>
  <c r="AV53" i="3"/>
  <c r="AV64" i="3"/>
  <c r="AV65" i="3"/>
  <c r="AV51" i="3"/>
  <c r="AV38" i="3"/>
  <c r="AV67" i="3" s="1"/>
  <c r="AV76" i="3" s="1"/>
  <c r="AV66" i="3"/>
  <c r="AV44" i="3"/>
  <c r="AV45" i="3"/>
  <c r="AV54" i="3"/>
  <c r="AV49" i="3"/>
  <c r="AV62" i="3"/>
  <c r="AV48" i="3"/>
  <c r="AV75" i="3"/>
  <c r="AV79" i="3" s="1"/>
  <c r="AV80" i="3" s="1"/>
  <c r="AV74" i="3"/>
  <c r="AV73" i="3"/>
  <c r="AX23" i="3"/>
  <c r="AX29" i="3" s="1"/>
  <c r="AX24" i="3"/>
  <c r="AX25" i="3"/>
  <c r="AX26" i="3"/>
  <c r="AX28" i="3"/>
  <c r="AV43" i="3"/>
  <c r="AW17" i="3"/>
  <c r="AW5" i="3"/>
  <c r="AZ24" i="4"/>
  <c r="AZ22" i="4"/>
  <c r="AZ21" i="4"/>
  <c r="AZ23" i="4"/>
  <c r="BB7" i="4"/>
  <c r="BA8" i="4"/>
  <c r="AV58" i="3"/>
  <c r="BB28" i="4"/>
  <c r="BB29" i="4" s="1"/>
  <c r="AY6" i="3"/>
  <c r="BB33" i="4"/>
  <c r="AY11" i="3" s="1"/>
  <c r="BB36" i="4"/>
  <c r="AY13" i="3" s="1"/>
  <c r="BB17" i="4"/>
  <c r="BB15" i="4"/>
  <c r="BB34" i="4"/>
  <c r="AY12" i="3" s="1"/>
  <c r="BB19" i="4"/>
  <c r="AY15" i="3" s="1"/>
  <c r="AX90" i="3"/>
  <c r="AX86" i="3"/>
  <c r="AX63" i="3" s="1"/>
  <c r="AX89" i="3"/>
  <c r="AX85" i="3"/>
  <c r="AX47" i="3" s="1"/>
  <c r="AZ19" i="3"/>
  <c r="AZ18" i="3" s="1"/>
  <c r="AZ3" i="3"/>
  <c r="BD3" i="4"/>
  <c r="BC9" i="4"/>
  <c r="BC6" i="4"/>
  <c r="AZ4" i="3" s="1"/>
  <c r="BC10" i="4"/>
  <c r="AZ7" i="3" s="1"/>
  <c r="AZ16" i="4"/>
  <c r="AW8" i="3" s="1"/>
  <c r="AW37" i="3" s="1"/>
  <c r="AW55" i="3" l="1"/>
  <c r="BA18" i="4"/>
  <c r="AX9" i="3" s="1"/>
  <c r="AX62" i="3" s="1"/>
  <c r="AW39" i="3"/>
  <c r="AW65" i="3"/>
  <c r="AW38" i="3"/>
  <c r="AW57" i="3"/>
  <c r="AW48" i="3"/>
  <c r="AW53" i="3"/>
  <c r="AW45" i="3"/>
  <c r="AW64" i="3"/>
  <c r="AW51" i="3"/>
  <c r="AW66" i="3"/>
  <c r="AW49" i="3"/>
  <c r="AW54" i="3"/>
  <c r="AW44" i="3"/>
  <c r="AW42" i="3"/>
  <c r="AW73" i="3"/>
  <c r="AW74" i="3"/>
  <c r="AW79" i="3"/>
  <c r="AW80" i="3" s="1"/>
  <c r="AY10" i="3"/>
  <c r="AX17" i="3"/>
  <c r="BA23" i="4"/>
  <c r="AX5" i="3"/>
  <c r="BA24" i="4"/>
  <c r="BA22" i="4"/>
  <c r="BA21" i="4"/>
  <c r="AW67" i="3"/>
  <c r="AW76" i="3" s="1"/>
  <c r="AW50" i="3"/>
  <c r="AW46" i="3"/>
  <c r="AW41" i="3"/>
  <c r="AW40" i="3"/>
  <c r="AY86" i="3"/>
  <c r="AY63" i="3" s="1"/>
  <c r="AY89" i="3"/>
  <c r="AY85" i="3"/>
  <c r="AY47" i="3" s="1"/>
  <c r="AY90" i="3"/>
  <c r="BB8" i="4"/>
  <c r="BC7" i="4"/>
  <c r="BC28" i="4"/>
  <c r="BC29" i="4" s="1"/>
  <c r="AZ10" i="3" s="1"/>
  <c r="AZ6" i="3"/>
  <c r="BC34" i="4"/>
  <c r="AZ12" i="3" s="1"/>
  <c r="BC36" i="4"/>
  <c r="AZ13" i="3" s="1"/>
  <c r="BC19" i="4"/>
  <c r="AZ15" i="3" s="1"/>
  <c r="BC33" i="4"/>
  <c r="AZ11" i="3" s="1"/>
  <c r="BC17" i="4"/>
  <c r="BC15" i="4"/>
  <c r="BA16" i="4"/>
  <c r="AX8" i="3" s="1"/>
  <c r="AX37" i="3" s="1"/>
  <c r="AX78" i="3"/>
  <c r="AX77" i="3"/>
  <c r="AX72" i="3"/>
  <c r="AX71" i="3"/>
  <c r="AX61" i="3"/>
  <c r="AX34" i="3"/>
  <c r="BA35" i="4"/>
  <c r="AX14" i="3" s="1"/>
  <c r="AW43" i="3"/>
  <c r="BA19" i="3"/>
  <c r="BA18" i="3" s="1"/>
  <c r="BA3" i="3"/>
  <c r="BE3" i="4"/>
  <c r="BD9" i="4"/>
  <c r="BD6" i="4"/>
  <c r="BA4" i="3" s="1"/>
  <c r="BD10" i="4"/>
  <c r="BA7" i="3" s="1"/>
  <c r="AW58" i="3"/>
  <c r="AW59" i="3"/>
  <c r="AX53" i="3" l="1"/>
  <c r="AX49" i="3"/>
  <c r="AX65" i="3"/>
  <c r="AX38" i="3"/>
  <c r="BB18" i="4"/>
  <c r="AY9" i="3" s="1"/>
  <c r="AY62" i="3" s="1"/>
  <c r="AX55" i="3"/>
  <c r="AX64" i="3"/>
  <c r="AX66" i="3"/>
  <c r="AX51" i="3"/>
  <c r="AX57" i="3"/>
  <c r="AX48" i="3"/>
  <c r="AX45" i="3"/>
  <c r="AX44" i="3"/>
  <c r="AX54" i="3"/>
  <c r="AX39" i="3"/>
  <c r="AX42" i="3"/>
  <c r="AX43" i="3"/>
  <c r="AX58" i="3"/>
  <c r="BC8" i="4"/>
  <c r="BD7" i="4"/>
  <c r="BB16" i="4"/>
  <c r="AY8" i="3" s="1"/>
  <c r="AY37" i="3" s="1"/>
  <c r="BD28" i="4"/>
  <c r="BA6" i="3"/>
  <c r="BD34" i="4"/>
  <c r="BA12" i="3" s="1"/>
  <c r="BD33" i="4"/>
  <c r="BA11" i="3" s="1"/>
  <c r="BD36" i="4"/>
  <c r="BA13" i="3" s="1"/>
  <c r="BD19" i="4"/>
  <c r="BA15" i="3" s="1"/>
  <c r="BD17" i="4"/>
  <c r="BD15" i="4"/>
  <c r="BD29" i="4"/>
  <c r="BA10" i="3" s="1"/>
  <c r="BB19" i="3"/>
  <c r="BB18" i="3" s="1"/>
  <c r="BB3" i="3"/>
  <c r="BF3" i="4"/>
  <c r="BE9" i="4"/>
  <c r="BE6" i="4"/>
  <c r="BB4" i="3" s="1"/>
  <c r="BE10" i="4"/>
  <c r="BB7" i="3" s="1"/>
  <c r="AX75" i="3"/>
  <c r="AX79" i="3" s="1"/>
  <c r="AX80" i="3" s="1"/>
  <c r="AX74" i="3"/>
  <c r="AX73" i="3"/>
  <c r="AX59" i="3"/>
  <c r="AY17" i="3"/>
  <c r="BB23" i="4"/>
  <c r="AY5" i="3"/>
  <c r="BB24" i="4"/>
  <c r="BB22" i="4"/>
  <c r="BB21" i="4"/>
  <c r="AX67" i="3"/>
  <c r="AX76" i="3" s="1"/>
  <c r="AX50" i="3"/>
  <c r="AX46" i="3"/>
  <c r="AX41" i="3"/>
  <c r="AX40" i="3"/>
  <c r="AZ89" i="3"/>
  <c r="AZ85" i="3"/>
  <c r="AZ47" i="3" s="1"/>
  <c r="AZ90" i="3"/>
  <c r="AZ86" i="3"/>
  <c r="AZ63" i="3" s="1"/>
  <c r="AZ23" i="3"/>
  <c r="AZ29" i="3" s="1"/>
  <c r="AZ24" i="3"/>
  <c r="AZ25" i="3"/>
  <c r="AZ26" i="3"/>
  <c r="AZ28" i="3"/>
  <c r="AY23" i="3"/>
  <c r="AY29" i="3" s="1"/>
  <c r="AY28" i="3"/>
  <c r="AY26" i="3"/>
  <c r="AY25" i="3"/>
  <c r="AY24" i="3"/>
  <c r="AY57" i="3" l="1"/>
  <c r="AY65" i="3"/>
  <c r="AY51" i="3"/>
  <c r="BC18" i="4"/>
  <c r="AZ9" i="3" s="1"/>
  <c r="AZ54" i="3" s="1"/>
  <c r="AY54" i="3"/>
  <c r="AY49" i="3"/>
  <c r="AY48" i="3"/>
  <c r="AY45" i="3"/>
  <c r="AY44" i="3"/>
  <c r="AY43" i="3"/>
  <c r="BC16" i="4"/>
  <c r="AZ8" i="3" s="1"/>
  <c r="AZ37" i="3" s="1"/>
  <c r="AZ50" i="3" s="1"/>
  <c r="AY78" i="3"/>
  <c r="AY77" i="3"/>
  <c r="AY72" i="3"/>
  <c r="AY66" i="3"/>
  <c r="AY71" i="3"/>
  <c r="AY55" i="3"/>
  <c r="AY53" i="3"/>
  <c r="AY61" i="3"/>
  <c r="AY64" i="3"/>
  <c r="AY42" i="3"/>
  <c r="AY39" i="3"/>
  <c r="AY38" i="3"/>
  <c r="AY67" i="3" s="1"/>
  <c r="AY76" i="3" s="1"/>
  <c r="AY34" i="3"/>
  <c r="BB35" i="4"/>
  <c r="AY14" i="3" s="1"/>
  <c r="AY58" i="3"/>
  <c r="BA28" i="3"/>
  <c r="BA25" i="3"/>
  <c r="BA23" i="3"/>
  <c r="BA29" i="3" s="1"/>
  <c r="BA24" i="3"/>
  <c r="BA26" i="3"/>
  <c r="AZ77" i="3"/>
  <c r="AZ72" i="3"/>
  <c r="AZ71" i="3"/>
  <c r="AZ78" i="3"/>
  <c r="AZ61" i="3"/>
  <c r="AZ34" i="3"/>
  <c r="BC35" i="4"/>
  <c r="AZ14" i="3" s="1"/>
  <c r="AY59" i="3"/>
  <c r="BA89" i="3"/>
  <c r="BA85" i="3"/>
  <c r="BA47" i="3" s="1"/>
  <c r="BA90" i="3"/>
  <c r="BA86" i="3"/>
  <c r="BA63" i="3" s="1"/>
  <c r="AY50" i="3"/>
  <c r="AY46" i="3"/>
  <c r="AY41" i="3"/>
  <c r="AY40" i="3"/>
  <c r="BD8" i="4"/>
  <c r="BE7" i="4"/>
  <c r="BC19" i="3"/>
  <c r="BC18" i="3" s="1"/>
  <c r="BC3" i="3"/>
  <c r="BG3" i="4"/>
  <c r="BF9" i="4"/>
  <c r="BF6" i="4"/>
  <c r="BC4" i="3" s="1"/>
  <c r="BF10" i="4"/>
  <c r="BC7" i="3" s="1"/>
  <c r="AZ17" i="3"/>
  <c r="AZ5" i="3"/>
  <c r="BC24" i="4"/>
  <c r="BC23" i="4"/>
  <c r="BC22" i="4"/>
  <c r="BC21" i="4"/>
  <c r="BE28" i="4"/>
  <c r="BB6" i="3"/>
  <c r="BE34" i="4"/>
  <c r="BB12" i="3" s="1"/>
  <c r="BE33" i="4"/>
  <c r="BB11" i="3" s="1"/>
  <c r="BE36" i="4"/>
  <c r="BB13" i="3" s="1"/>
  <c r="BE19" i="4"/>
  <c r="BB15" i="3" s="1"/>
  <c r="BE17" i="4"/>
  <c r="BE15" i="4"/>
  <c r="BE29" i="4"/>
  <c r="BB10" i="3" s="1"/>
  <c r="AZ66" i="3" l="1"/>
  <c r="AZ39" i="3"/>
  <c r="AZ42" i="3"/>
  <c r="AZ53" i="3"/>
  <c r="AZ44" i="3"/>
  <c r="AZ38" i="3"/>
  <c r="AZ45" i="3"/>
  <c r="AZ65" i="3"/>
  <c r="AZ48" i="3"/>
  <c r="AZ51" i="3"/>
  <c r="AZ49" i="3"/>
  <c r="AZ55" i="3"/>
  <c r="AZ62" i="3"/>
  <c r="AZ57" i="3"/>
  <c r="AZ64" i="3"/>
  <c r="AZ41" i="3"/>
  <c r="AZ67" i="3"/>
  <c r="AZ76" i="3" s="1"/>
  <c r="AZ40" i="3"/>
  <c r="AZ46" i="3"/>
  <c r="BD16" i="4"/>
  <c r="BA8" i="3" s="1"/>
  <c r="BA37" i="3" s="1"/>
  <c r="BA46" i="3" s="1"/>
  <c r="AZ59" i="3"/>
  <c r="BD18" i="4"/>
  <c r="BA9" i="3" s="1"/>
  <c r="BA64" i="3" s="1"/>
  <c r="BA78" i="3"/>
  <c r="BA77" i="3"/>
  <c r="BA72" i="3"/>
  <c r="BA71" i="3"/>
  <c r="BA61" i="3"/>
  <c r="BA34" i="3"/>
  <c r="BD35" i="4"/>
  <c r="BA14" i="3" s="1"/>
  <c r="BC6" i="3"/>
  <c r="BF34" i="4"/>
  <c r="BC12" i="3" s="1"/>
  <c r="BF33" i="4"/>
  <c r="BC11" i="3" s="1"/>
  <c r="BF36" i="4"/>
  <c r="BC13" i="3" s="1"/>
  <c r="BF28" i="4"/>
  <c r="BF29" i="4" s="1"/>
  <c r="BC10" i="3" s="1"/>
  <c r="BF17" i="4"/>
  <c r="BF15" i="4"/>
  <c r="BF19" i="4"/>
  <c r="BC15" i="3" s="1"/>
  <c r="BD19" i="3"/>
  <c r="BD18" i="3" s="1"/>
  <c r="BD3" i="3"/>
  <c r="BG9" i="4"/>
  <c r="BG6" i="4"/>
  <c r="BD4" i="3" s="1"/>
  <c r="BG10" i="4"/>
  <c r="BD7" i="3" s="1"/>
  <c r="BH3" i="4"/>
  <c r="AZ75" i="3"/>
  <c r="AZ79" i="3" s="1"/>
  <c r="AZ74" i="3"/>
  <c r="AZ73" i="3"/>
  <c r="AY75" i="3"/>
  <c r="AY79" i="3" s="1"/>
  <c r="AY80" i="3" s="1"/>
  <c r="AY74" i="3"/>
  <c r="AY73" i="3"/>
  <c r="BB26" i="3"/>
  <c r="BB25" i="3"/>
  <c r="BB24" i="3"/>
  <c r="BB23" i="3"/>
  <c r="BB29" i="3" s="1"/>
  <c r="BB28" i="3"/>
  <c r="BB89" i="3"/>
  <c r="BB85" i="3"/>
  <c r="BB47" i="3" s="1"/>
  <c r="BB90" i="3"/>
  <c r="BB86" i="3"/>
  <c r="BB63" i="3" s="1"/>
  <c r="BF7" i="4"/>
  <c r="BE8" i="4"/>
  <c r="AZ43" i="3"/>
  <c r="BA17" i="3"/>
  <c r="BA5" i="3"/>
  <c r="BA59" i="3" s="1"/>
  <c r="BD24" i="4"/>
  <c r="BD22" i="4"/>
  <c r="BD21" i="4"/>
  <c r="BD23" i="4"/>
  <c r="AZ58" i="3"/>
  <c r="BE18" i="4" l="1"/>
  <c r="BB9" i="3" s="1"/>
  <c r="BB48" i="3" s="1"/>
  <c r="BA40" i="3"/>
  <c r="BA41" i="3"/>
  <c r="BA50" i="3"/>
  <c r="BA48" i="3"/>
  <c r="BA66" i="3"/>
  <c r="BA45" i="3"/>
  <c r="BA57" i="3"/>
  <c r="BA54" i="3"/>
  <c r="BA38" i="3"/>
  <c r="BA67" i="3" s="1"/>
  <c r="BA76" i="3" s="1"/>
  <c r="BA49" i="3"/>
  <c r="BA39" i="3"/>
  <c r="BA65" i="3"/>
  <c r="BA51" i="3"/>
  <c r="BA42" i="3"/>
  <c r="BA53" i="3"/>
  <c r="BA55" i="3"/>
  <c r="BA62" i="3"/>
  <c r="BA44" i="3"/>
  <c r="BE16" i="4"/>
  <c r="BB8" i="3" s="1"/>
  <c r="BB37" i="3" s="1"/>
  <c r="BB50" i="3" s="1"/>
  <c r="BA43" i="3"/>
  <c r="BB54" i="3"/>
  <c r="BB62" i="3"/>
  <c r="BB57" i="3"/>
  <c r="BB49" i="3"/>
  <c r="BB45" i="3"/>
  <c r="BB65" i="3"/>
  <c r="BB44" i="3"/>
  <c r="BG33" i="4"/>
  <c r="BD11" i="3" s="1"/>
  <c r="BG36" i="4"/>
  <c r="BD13" i="3" s="1"/>
  <c r="BG28" i="4"/>
  <c r="BG29" i="4" s="1"/>
  <c r="BD10" i="3" s="1"/>
  <c r="BD24" i="3" s="1"/>
  <c r="BD6" i="3"/>
  <c r="BG34" i="4"/>
  <c r="BD12" i="3" s="1"/>
  <c r="BG17" i="4"/>
  <c r="BG15" i="4"/>
  <c r="BG19" i="4"/>
  <c r="BD15" i="3" s="1"/>
  <c r="BA58" i="3"/>
  <c r="AZ80" i="3"/>
  <c r="BC28" i="3"/>
  <c r="BC26" i="3"/>
  <c r="BC25" i="3"/>
  <c r="BC24" i="3"/>
  <c r="BC23" i="3"/>
  <c r="BC29" i="3" s="1"/>
  <c r="BC89" i="3"/>
  <c r="BC85" i="3"/>
  <c r="BC47" i="3" s="1"/>
  <c r="BC90" i="3"/>
  <c r="BC86" i="3"/>
  <c r="BC63" i="3" s="1"/>
  <c r="BB78" i="3"/>
  <c r="BB77" i="3"/>
  <c r="BB72" i="3"/>
  <c r="BB66" i="3"/>
  <c r="BB64" i="3"/>
  <c r="BB71" i="3"/>
  <c r="BB61" i="3"/>
  <c r="BB55" i="3"/>
  <c r="BB53" i="3"/>
  <c r="BB42" i="3"/>
  <c r="BB39" i="3"/>
  <c r="BB38" i="3"/>
  <c r="BB34" i="3"/>
  <c r="BE35" i="4"/>
  <c r="BB14" i="3" s="1"/>
  <c r="BE19" i="3"/>
  <c r="BE18" i="3" s="1"/>
  <c r="BE3" i="3"/>
  <c r="BH10" i="4"/>
  <c r="BE7" i="3" s="1"/>
  <c r="BI3" i="4"/>
  <c r="BH9" i="4"/>
  <c r="BH6" i="4"/>
  <c r="BE4" i="3" s="1"/>
  <c r="BB17" i="3"/>
  <c r="BE24" i="4"/>
  <c r="BB5" i="3"/>
  <c r="BB59" i="3" s="1"/>
  <c r="BE22" i="4"/>
  <c r="BE21" i="4"/>
  <c r="BE23" i="4"/>
  <c r="BA73" i="3"/>
  <c r="BA75" i="3"/>
  <c r="BA79" i="3" s="1"/>
  <c r="BA80" i="3" s="1"/>
  <c r="BA74" i="3"/>
  <c r="BG7" i="4"/>
  <c r="BF8" i="4"/>
  <c r="BB51" i="3" l="1"/>
  <c r="BF16" i="4"/>
  <c r="BC8" i="3" s="1"/>
  <c r="BC37" i="3" s="1"/>
  <c r="BC50" i="3" s="1"/>
  <c r="BB67" i="3"/>
  <c r="BB76" i="3" s="1"/>
  <c r="BD25" i="3"/>
  <c r="BD26" i="3"/>
  <c r="BD28" i="3"/>
  <c r="BD23" i="3"/>
  <c r="BD29" i="3" s="1"/>
  <c r="BG35" i="4" s="1"/>
  <c r="BD14" i="3" s="1"/>
  <c r="BB46" i="3"/>
  <c r="BF18" i="4"/>
  <c r="BC9" i="3" s="1"/>
  <c r="BC54" i="3" s="1"/>
  <c r="BB40" i="3"/>
  <c r="BB41" i="3"/>
  <c r="BB58" i="3"/>
  <c r="BD85" i="3"/>
  <c r="BD47" i="3" s="1"/>
  <c r="BD90" i="3"/>
  <c r="BD86" i="3"/>
  <c r="BD63" i="3" s="1"/>
  <c r="BD89" i="3"/>
  <c r="BB75" i="3"/>
  <c r="BB79" i="3" s="1"/>
  <c r="BB80" i="3" s="1"/>
  <c r="BB74" i="3"/>
  <c r="BB73" i="3"/>
  <c r="BC78" i="3"/>
  <c r="BC77" i="3"/>
  <c r="BC71" i="3"/>
  <c r="BC72" i="3"/>
  <c r="BC61" i="3"/>
  <c r="BC34" i="3"/>
  <c r="BF35" i="4"/>
  <c r="BC14" i="3" s="1"/>
  <c r="BH36" i="4"/>
  <c r="BE13" i="3" s="1"/>
  <c r="BH28" i="4"/>
  <c r="BE6" i="3"/>
  <c r="BH34" i="4"/>
  <c r="BE12" i="3" s="1"/>
  <c r="BH33" i="4"/>
  <c r="BE11" i="3" s="1"/>
  <c r="BH17" i="4"/>
  <c r="BH15" i="4"/>
  <c r="BH19" i="4"/>
  <c r="BE15" i="3" s="1"/>
  <c r="BH29" i="4"/>
  <c r="BE10" i="3" s="1"/>
  <c r="BF19" i="3"/>
  <c r="BF18" i="3" s="1"/>
  <c r="BF3" i="3"/>
  <c r="BI10" i="4"/>
  <c r="BF7" i="3" s="1"/>
  <c r="BJ3" i="4"/>
  <c r="BI9" i="4"/>
  <c r="BI6" i="4"/>
  <c r="BF4" i="3" s="1"/>
  <c r="BC17" i="3"/>
  <c r="BF24" i="4"/>
  <c r="BF22" i="4"/>
  <c r="BC5" i="3"/>
  <c r="BC59" i="3" s="1"/>
  <c r="BF21" i="4"/>
  <c r="BF23" i="4"/>
  <c r="BH7" i="4"/>
  <c r="BG8" i="4"/>
  <c r="BB43" i="3"/>
  <c r="BG16" i="4" l="1"/>
  <c r="BD8" i="3" s="1"/>
  <c r="BD37" i="3" s="1"/>
  <c r="BC40" i="3"/>
  <c r="BC41" i="3"/>
  <c r="BC46" i="3"/>
  <c r="BD34" i="3"/>
  <c r="BD74" i="3" s="1"/>
  <c r="BD61" i="3"/>
  <c r="BD71" i="3"/>
  <c r="BD77" i="3"/>
  <c r="BD72" i="3"/>
  <c r="BD78" i="3"/>
  <c r="BC38" i="3"/>
  <c r="BC67" i="3" s="1"/>
  <c r="BC76" i="3" s="1"/>
  <c r="BC55" i="3"/>
  <c r="BC64" i="3"/>
  <c r="BC42" i="3"/>
  <c r="BC65" i="3"/>
  <c r="BC62" i="3"/>
  <c r="BC44" i="3"/>
  <c r="BC66" i="3"/>
  <c r="BC49" i="3"/>
  <c r="BC51" i="3"/>
  <c r="BC45" i="3"/>
  <c r="BC58" i="3"/>
  <c r="BC39" i="3"/>
  <c r="BC48" i="3"/>
  <c r="BC53" i="3"/>
  <c r="BC57" i="3"/>
  <c r="BC43" i="3"/>
  <c r="BD50" i="3"/>
  <c r="BD46" i="3"/>
  <c r="BD41" i="3"/>
  <c r="BD40" i="3"/>
  <c r="BE90" i="3"/>
  <c r="BE86" i="3"/>
  <c r="BE63" i="3" s="1"/>
  <c r="BE89" i="3"/>
  <c r="BE85" i="3"/>
  <c r="BE47" i="3" s="1"/>
  <c r="BI7" i="4"/>
  <c r="BH8" i="4"/>
  <c r="BH16" i="4" s="1"/>
  <c r="BE8" i="3" s="1"/>
  <c r="BE37" i="3" s="1"/>
  <c r="BE28" i="3"/>
  <c r="BE26" i="3"/>
  <c r="BE25" i="3"/>
  <c r="BE24" i="3"/>
  <c r="BE23" i="3"/>
  <c r="BE29" i="3" s="1"/>
  <c r="BD17" i="3"/>
  <c r="BG22" i="4"/>
  <c r="BD5" i="3"/>
  <c r="BD59" i="3" s="1"/>
  <c r="BG24" i="4"/>
  <c r="BG21" i="4"/>
  <c r="BG23" i="4"/>
  <c r="BI36" i="4"/>
  <c r="BF13" i="3" s="1"/>
  <c r="BF6" i="3"/>
  <c r="BI34" i="4"/>
  <c r="BF12" i="3" s="1"/>
  <c r="BI33" i="4"/>
  <c r="BF11" i="3" s="1"/>
  <c r="BI17" i="4"/>
  <c r="BI15" i="4"/>
  <c r="BI19" i="4"/>
  <c r="BF15" i="3" s="1"/>
  <c r="BI28" i="4"/>
  <c r="BC74" i="3"/>
  <c r="BC73" i="3"/>
  <c r="BC75" i="3"/>
  <c r="BC79" i="3" s="1"/>
  <c r="BC80" i="3" s="1"/>
  <c r="BG19" i="3"/>
  <c r="BG18" i="3" s="1"/>
  <c r="BG3" i="3"/>
  <c r="BJ10" i="4"/>
  <c r="BG7" i="3" s="1"/>
  <c r="BK3" i="4"/>
  <c r="BJ9" i="4"/>
  <c r="BJ6" i="4"/>
  <c r="BG4" i="3" s="1"/>
  <c r="BI29" i="4"/>
  <c r="BF10" i="3" s="1"/>
  <c r="BG18" i="4"/>
  <c r="BD9" i="3" s="1"/>
  <c r="BD75" i="3" l="1"/>
  <c r="BD79" i="3" s="1"/>
  <c r="BD80" i="3" s="1"/>
  <c r="BD73" i="3"/>
  <c r="BD58" i="3"/>
  <c r="BD43" i="3"/>
  <c r="BD49" i="3"/>
  <c r="BD57" i="3"/>
  <c r="BD62" i="3"/>
  <c r="BD48" i="3"/>
  <c r="BD51" i="3"/>
  <c r="BD54" i="3"/>
  <c r="BD45" i="3"/>
  <c r="BD44" i="3"/>
  <c r="BD65" i="3"/>
  <c r="BD42" i="3"/>
  <c r="BD39" i="3"/>
  <c r="BD66" i="3"/>
  <c r="BD38" i="3"/>
  <c r="BD67" i="3" s="1"/>
  <c r="BD76" i="3" s="1"/>
  <c r="BD55" i="3"/>
  <c r="BD53" i="3"/>
  <c r="BD64" i="3"/>
  <c r="BE50" i="3"/>
  <c r="BE46" i="3"/>
  <c r="BE41" i="3"/>
  <c r="BE40" i="3"/>
  <c r="BE78" i="3"/>
  <c r="BE77" i="3"/>
  <c r="BE72" i="3"/>
  <c r="BE71" i="3"/>
  <c r="BE61" i="3"/>
  <c r="BE34" i="3"/>
  <c r="BH35" i="4"/>
  <c r="BE14" i="3" s="1"/>
  <c r="BF23" i="3"/>
  <c r="BF29" i="3" s="1"/>
  <c r="BF24" i="3"/>
  <c r="BF25" i="3"/>
  <c r="BF26" i="3"/>
  <c r="BF28" i="3"/>
  <c r="BH18" i="4"/>
  <c r="BE9" i="3" s="1"/>
  <c r="BE55" i="3" s="1"/>
  <c r="BF90" i="3"/>
  <c r="BF86" i="3"/>
  <c r="BF63" i="3" s="1"/>
  <c r="BF89" i="3"/>
  <c r="BF85" i="3"/>
  <c r="BF47" i="3" s="1"/>
  <c r="BE17" i="3"/>
  <c r="BH23" i="4"/>
  <c r="BE5" i="3"/>
  <c r="BH24" i="4"/>
  <c r="BH21" i="4"/>
  <c r="BH22" i="4"/>
  <c r="BJ7" i="4"/>
  <c r="BI8" i="4"/>
  <c r="BI16" i="4" s="1"/>
  <c r="BF8" i="3" s="1"/>
  <c r="BF37" i="3" s="1"/>
  <c r="BJ28" i="4"/>
  <c r="BJ29" i="4" s="1"/>
  <c r="BG10" i="3" s="1"/>
  <c r="BG6" i="3"/>
  <c r="BJ33" i="4"/>
  <c r="BG11" i="3" s="1"/>
  <c r="BJ36" i="4"/>
  <c r="BG13" i="3" s="1"/>
  <c r="BJ17" i="4"/>
  <c r="BJ15" i="4"/>
  <c r="BJ34" i="4"/>
  <c r="BG12" i="3" s="1"/>
  <c r="BJ19" i="4"/>
  <c r="BG15" i="3" s="1"/>
  <c r="BH19" i="3"/>
  <c r="BH18" i="3" s="1"/>
  <c r="BH3" i="3"/>
  <c r="BL3" i="4"/>
  <c r="BK9" i="4"/>
  <c r="BK6" i="4"/>
  <c r="BH4" i="3" s="1"/>
  <c r="BK10" i="4"/>
  <c r="BH7" i="3" s="1"/>
  <c r="BE43" i="3" l="1"/>
  <c r="BE39" i="3"/>
  <c r="BE42" i="3"/>
  <c r="BE58" i="3"/>
  <c r="BI18" i="4"/>
  <c r="BF9" i="3" s="1"/>
  <c r="BF48" i="3" s="1"/>
  <c r="BE59" i="3"/>
  <c r="BE64" i="3"/>
  <c r="BE53" i="3"/>
  <c r="BF50" i="3"/>
  <c r="BF46" i="3"/>
  <c r="BF41" i="3"/>
  <c r="BF40" i="3"/>
  <c r="BK28" i="4"/>
  <c r="BK29" i="4" s="1"/>
  <c r="BH10" i="3" s="1"/>
  <c r="BH6" i="3"/>
  <c r="BK34" i="4"/>
  <c r="BH12" i="3" s="1"/>
  <c r="BK36" i="4"/>
  <c r="BH13" i="3" s="1"/>
  <c r="BK19" i="4"/>
  <c r="BH15" i="3" s="1"/>
  <c r="BK33" i="4"/>
  <c r="BH11" i="3" s="1"/>
  <c r="BK17" i="4"/>
  <c r="BK15" i="4"/>
  <c r="BI19" i="3"/>
  <c r="BI18" i="3" s="1"/>
  <c r="BI3" i="3"/>
  <c r="BM3" i="4"/>
  <c r="BL9" i="4"/>
  <c r="BL6" i="4"/>
  <c r="BI4" i="3" s="1"/>
  <c r="BL10" i="4"/>
  <c r="BI7" i="3" s="1"/>
  <c r="BG90" i="3"/>
  <c r="BG86" i="3"/>
  <c r="BG63" i="3" s="1"/>
  <c r="BG89" i="3"/>
  <c r="BG85" i="3"/>
  <c r="BG47" i="3" s="1"/>
  <c r="BF78" i="3"/>
  <c r="BF77" i="3"/>
  <c r="BF72" i="3"/>
  <c r="BF71" i="3"/>
  <c r="BF61" i="3"/>
  <c r="BF34" i="3"/>
  <c r="BI35" i="4"/>
  <c r="BF14" i="3" s="1"/>
  <c r="BG24" i="3"/>
  <c r="BG23" i="3"/>
  <c r="BG29" i="3" s="1"/>
  <c r="BG28" i="3"/>
  <c r="BG26" i="3"/>
  <c r="BG25" i="3"/>
  <c r="BF17" i="3"/>
  <c r="BI23" i="4"/>
  <c r="BF5" i="3"/>
  <c r="BI22" i="4"/>
  <c r="BI24" i="4"/>
  <c r="BI21" i="4"/>
  <c r="BE74" i="3"/>
  <c r="BE73" i="3"/>
  <c r="BE75" i="3"/>
  <c r="BE79" i="3" s="1"/>
  <c r="BE80" i="3" s="1"/>
  <c r="BJ8" i="4"/>
  <c r="BK7" i="4"/>
  <c r="BE54" i="3"/>
  <c r="BE62" i="3"/>
  <c r="BE51" i="3"/>
  <c r="BE48" i="3"/>
  <c r="BE49" i="3"/>
  <c r="BE45" i="3"/>
  <c r="BE57" i="3"/>
  <c r="BE44" i="3"/>
  <c r="BE65" i="3"/>
  <c r="BE38" i="3"/>
  <c r="BE67" i="3" s="1"/>
  <c r="BE76" i="3" s="1"/>
  <c r="BE66" i="3"/>
  <c r="BF59" i="3" l="1"/>
  <c r="BF62" i="3"/>
  <c r="BF39" i="3"/>
  <c r="BF42" i="3"/>
  <c r="BF55" i="3"/>
  <c r="BF66" i="3"/>
  <c r="BJ18" i="4"/>
  <c r="BG9" i="3" s="1"/>
  <c r="BG62" i="3" s="1"/>
  <c r="BF38" i="3"/>
  <c r="BF67" i="3" s="1"/>
  <c r="BF76" i="3" s="1"/>
  <c r="BF65" i="3"/>
  <c r="BF45" i="3"/>
  <c r="BF44" i="3"/>
  <c r="BL29" i="4"/>
  <c r="BI10" i="3" s="1"/>
  <c r="BI26" i="3" s="1"/>
  <c r="BF64" i="3"/>
  <c r="BF58" i="3"/>
  <c r="BF54" i="3"/>
  <c r="BF53" i="3"/>
  <c r="BF49" i="3"/>
  <c r="BF51" i="3"/>
  <c r="BJ16" i="4"/>
  <c r="BG8" i="3" s="1"/>
  <c r="BG37" i="3" s="1"/>
  <c r="BG41" i="3" s="1"/>
  <c r="BF57" i="3"/>
  <c r="BF43" i="3"/>
  <c r="BH86" i="3"/>
  <c r="BH63" i="3" s="1"/>
  <c r="BH89" i="3"/>
  <c r="BH85" i="3"/>
  <c r="BH47" i="3" s="1"/>
  <c r="BH90" i="3"/>
  <c r="BF74" i="3"/>
  <c r="BF73" i="3"/>
  <c r="BF75" i="3"/>
  <c r="BF79" i="3" s="1"/>
  <c r="BF80" i="3" s="1"/>
  <c r="BH23" i="3"/>
  <c r="BH29" i="3" s="1"/>
  <c r="BH24" i="3"/>
  <c r="BH25" i="3"/>
  <c r="BH26" i="3"/>
  <c r="BH28" i="3"/>
  <c r="BK8" i="4"/>
  <c r="BL7" i="4"/>
  <c r="BG17" i="3"/>
  <c r="BJ23" i="4"/>
  <c r="BG5" i="3"/>
  <c r="BJ22" i="4"/>
  <c r="BJ24" i="4"/>
  <c r="BJ21" i="4"/>
  <c r="BL28" i="4"/>
  <c r="BI6" i="3"/>
  <c r="BL34" i="4"/>
  <c r="BI12" i="3" s="1"/>
  <c r="BL33" i="4"/>
  <c r="BI11" i="3" s="1"/>
  <c r="BL36" i="4"/>
  <c r="BI13" i="3" s="1"/>
  <c r="BL19" i="4"/>
  <c r="BI15" i="3" s="1"/>
  <c r="BL17" i="4"/>
  <c r="BL15" i="4"/>
  <c r="BJ19" i="3"/>
  <c r="BJ18" i="3" s="1"/>
  <c r="BJ3" i="3"/>
  <c r="BN3" i="4"/>
  <c r="BM9" i="4"/>
  <c r="BM6" i="4"/>
  <c r="BJ4" i="3" s="1"/>
  <c r="BM10" i="4"/>
  <c r="BJ7" i="3" s="1"/>
  <c r="BG78" i="3"/>
  <c r="BG77" i="3"/>
  <c r="BG72" i="3"/>
  <c r="BG71" i="3"/>
  <c r="BG61" i="3"/>
  <c r="BG34" i="3"/>
  <c r="BJ35" i="4"/>
  <c r="BG14" i="3" s="1"/>
  <c r="BG53" i="3" l="1"/>
  <c r="BG42" i="3"/>
  <c r="BG55" i="3"/>
  <c r="BG64" i="3"/>
  <c r="BG38" i="3"/>
  <c r="BG39" i="3"/>
  <c r="BK16" i="4"/>
  <c r="BH8" i="3" s="1"/>
  <c r="BH37" i="3" s="1"/>
  <c r="BH50" i="3" s="1"/>
  <c r="BG66" i="3"/>
  <c r="BG51" i="3"/>
  <c r="BG48" i="3"/>
  <c r="BG45" i="3"/>
  <c r="BG44" i="3"/>
  <c r="BG49" i="3"/>
  <c r="BG54" i="3"/>
  <c r="BG65" i="3"/>
  <c r="BG57" i="3"/>
  <c r="BI23" i="3"/>
  <c r="BI29" i="3" s="1"/>
  <c r="BI71" i="3" s="1"/>
  <c r="BI24" i="3"/>
  <c r="BI25" i="3"/>
  <c r="BG58" i="3"/>
  <c r="BI28" i="3"/>
  <c r="BG43" i="3"/>
  <c r="BG67" i="3"/>
  <c r="BG76" i="3" s="1"/>
  <c r="BG46" i="3"/>
  <c r="BG50" i="3"/>
  <c r="BG40" i="3"/>
  <c r="BI89" i="3"/>
  <c r="BI85" i="3"/>
  <c r="BI47" i="3" s="1"/>
  <c r="BI90" i="3"/>
  <c r="BI86" i="3"/>
  <c r="BI63" i="3" s="1"/>
  <c r="BH77" i="3"/>
  <c r="BH72" i="3"/>
  <c r="BH71" i="3"/>
  <c r="BH78" i="3"/>
  <c r="BH61" i="3"/>
  <c r="BH34" i="3"/>
  <c r="BK35" i="4"/>
  <c r="BH14" i="3" s="1"/>
  <c r="BG59" i="3"/>
  <c r="BM28" i="4"/>
  <c r="BJ6" i="3"/>
  <c r="BM34" i="4"/>
  <c r="BJ12" i="3" s="1"/>
  <c r="BM33" i="4"/>
  <c r="BJ11" i="3" s="1"/>
  <c r="BM36" i="4"/>
  <c r="BJ13" i="3" s="1"/>
  <c r="BM19" i="4"/>
  <c r="BJ15" i="3" s="1"/>
  <c r="BM17" i="4"/>
  <c r="BM15" i="4"/>
  <c r="BM29" i="4"/>
  <c r="BJ10" i="3" s="1"/>
  <c r="BL8" i="4"/>
  <c r="BM7" i="4"/>
  <c r="BH17" i="3"/>
  <c r="BH5" i="3"/>
  <c r="BK24" i="4"/>
  <c r="BK23" i="4"/>
  <c r="BK21" i="4"/>
  <c r="BK22" i="4"/>
  <c r="BG75" i="3"/>
  <c r="BG79" i="3" s="1"/>
  <c r="BG80" i="3" s="1"/>
  <c r="BG74" i="3"/>
  <c r="BG73" i="3"/>
  <c r="BK19" i="3"/>
  <c r="BK18" i="3" s="1"/>
  <c r="BK3" i="3"/>
  <c r="BO3" i="4"/>
  <c r="BN9" i="4"/>
  <c r="BN6" i="4"/>
  <c r="BK4" i="3" s="1"/>
  <c r="BN10" i="4"/>
  <c r="BK7" i="3" s="1"/>
  <c r="BK18" i="4"/>
  <c r="BH9" i="3" s="1"/>
  <c r="BI72" i="3" l="1"/>
  <c r="BH41" i="3"/>
  <c r="BH40" i="3"/>
  <c r="BH46" i="3"/>
  <c r="BI77" i="3"/>
  <c r="BI78" i="3"/>
  <c r="BL35" i="4"/>
  <c r="BI14" i="3" s="1"/>
  <c r="BI34" i="3"/>
  <c r="BI75" i="3" s="1"/>
  <c r="BI79" i="3" s="1"/>
  <c r="BI61" i="3"/>
  <c r="BL18" i="4"/>
  <c r="BI9" i="3" s="1"/>
  <c r="BI53" i="3" s="1"/>
  <c r="BL16" i="4"/>
  <c r="BI8" i="3" s="1"/>
  <c r="BI37" i="3" s="1"/>
  <c r="BI46" i="3" s="1"/>
  <c r="BH54" i="3"/>
  <c r="BH57" i="3"/>
  <c r="BH45" i="3"/>
  <c r="BH44" i="3"/>
  <c r="BH62" i="3"/>
  <c r="BH49" i="3"/>
  <c r="BH51" i="3"/>
  <c r="BH48" i="3"/>
  <c r="BH65" i="3"/>
  <c r="BH53" i="3"/>
  <c r="BH43" i="3"/>
  <c r="BH55" i="3"/>
  <c r="BH58" i="3"/>
  <c r="BH59" i="3"/>
  <c r="BH75" i="3"/>
  <c r="BH79" i="3" s="1"/>
  <c r="BH80" i="3" s="1"/>
  <c r="BH74" i="3"/>
  <c r="BH73" i="3"/>
  <c r="BK6" i="3"/>
  <c r="BN34" i="4"/>
  <c r="BK12" i="3" s="1"/>
  <c r="BN33" i="4"/>
  <c r="BK11" i="3" s="1"/>
  <c r="BN36" i="4"/>
  <c r="BK13" i="3" s="1"/>
  <c r="BN28" i="4"/>
  <c r="BN29" i="4" s="1"/>
  <c r="BK10" i="3" s="1"/>
  <c r="BN17" i="4"/>
  <c r="BN15" i="4"/>
  <c r="BN19" i="4"/>
  <c r="BK15" i="3" s="1"/>
  <c r="BL19" i="3"/>
  <c r="BL18" i="3" s="1"/>
  <c r="BL3" i="3"/>
  <c r="BO9" i="4"/>
  <c r="BO6" i="4"/>
  <c r="BL4" i="3" s="1"/>
  <c r="BO10" i="4"/>
  <c r="BL7" i="3" s="1"/>
  <c r="BP3" i="4"/>
  <c r="BH38" i="3"/>
  <c r="BH67" i="3" s="1"/>
  <c r="BH76" i="3" s="1"/>
  <c r="BH64" i="3"/>
  <c r="BN7" i="4"/>
  <c r="BM8" i="4"/>
  <c r="BH39" i="3"/>
  <c r="BH66" i="3"/>
  <c r="BI17" i="3"/>
  <c r="BI5" i="3"/>
  <c r="BL24" i="4"/>
  <c r="BL23" i="4"/>
  <c r="BL21" i="4"/>
  <c r="BL22" i="4"/>
  <c r="BH42" i="3"/>
  <c r="BJ26" i="3"/>
  <c r="BJ25" i="3"/>
  <c r="BJ24" i="3"/>
  <c r="BJ23" i="3"/>
  <c r="BJ29" i="3" s="1"/>
  <c r="BJ28" i="3"/>
  <c r="BJ89" i="3"/>
  <c r="BJ85" i="3"/>
  <c r="BJ47" i="3" s="1"/>
  <c r="BJ90" i="3"/>
  <c r="BJ86" i="3"/>
  <c r="BJ63" i="3" s="1"/>
  <c r="BI62" i="3" l="1"/>
  <c r="BI45" i="3"/>
  <c r="BI74" i="3"/>
  <c r="BI55" i="3"/>
  <c r="BI73" i="3"/>
  <c r="BI44" i="3"/>
  <c r="BI64" i="3"/>
  <c r="BI66" i="3"/>
  <c r="BI42" i="3"/>
  <c r="BI54" i="3"/>
  <c r="BI49" i="3"/>
  <c r="BI57" i="3"/>
  <c r="BI65" i="3"/>
  <c r="BI51" i="3"/>
  <c r="BM18" i="4"/>
  <c r="BJ9" i="3" s="1"/>
  <c r="BJ55" i="3" s="1"/>
  <c r="BI48" i="3"/>
  <c r="BI39" i="3"/>
  <c r="BI38" i="3"/>
  <c r="BI67" i="3"/>
  <c r="BI76" i="3" s="1"/>
  <c r="BI59" i="3"/>
  <c r="BI50" i="3"/>
  <c r="BM16" i="4"/>
  <c r="BJ8" i="3" s="1"/>
  <c r="BJ37" i="3" s="1"/>
  <c r="BJ46" i="3" s="1"/>
  <c r="BI40" i="3"/>
  <c r="BI41" i="3"/>
  <c r="BI80" i="3"/>
  <c r="BK89" i="3"/>
  <c r="BK85" i="3"/>
  <c r="BK47" i="3" s="1"/>
  <c r="BK90" i="3"/>
  <c r="BK86" i="3"/>
  <c r="BK63" i="3" s="1"/>
  <c r="BI58" i="3"/>
  <c r="BM19" i="3"/>
  <c r="BM18" i="3" s="1"/>
  <c r="BM3" i="3"/>
  <c r="BP10" i="4"/>
  <c r="BM7" i="3" s="1"/>
  <c r="BQ3" i="4"/>
  <c r="BP9" i="4"/>
  <c r="BP6" i="4"/>
  <c r="BM4" i="3" s="1"/>
  <c r="BK28" i="3"/>
  <c r="BK26" i="3"/>
  <c r="BK25" i="3"/>
  <c r="BK24" i="3"/>
  <c r="BK23" i="3"/>
  <c r="BK29" i="3" s="1"/>
  <c r="BJ78" i="3"/>
  <c r="BJ77" i="3"/>
  <c r="BJ72" i="3"/>
  <c r="BJ71" i="3"/>
  <c r="BJ61" i="3"/>
  <c r="BJ34" i="3"/>
  <c r="BM35" i="4"/>
  <c r="BJ14" i="3" s="1"/>
  <c r="BJ17" i="3"/>
  <c r="BM24" i="4"/>
  <c r="BJ5" i="3"/>
  <c r="BM23" i="4"/>
  <c r="BM21" i="4"/>
  <c r="BM22" i="4"/>
  <c r="BO33" i="4"/>
  <c r="BL11" i="3" s="1"/>
  <c r="BO36" i="4"/>
  <c r="BL13" i="3" s="1"/>
  <c r="BO28" i="4"/>
  <c r="BO29" i="4" s="1"/>
  <c r="BL10" i="3" s="1"/>
  <c r="BL6" i="3"/>
  <c r="BO34" i="4"/>
  <c r="BL12" i="3" s="1"/>
  <c r="BO17" i="4"/>
  <c r="BO15" i="4"/>
  <c r="BO19" i="4"/>
  <c r="BL15" i="3" s="1"/>
  <c r="BO7" i="4"/>
  <c r="BN8" i="4"/>
  <c r="BI43" i="3"/>
  <c r="BJ59" i="3" l="1"/>
  <c r="BJ49" i="3"/>
  <c r="BJ50" i="3"/>
  <c r="BJ62" i="3"/>
  <c r="BJ40" i="3"/>
  <c r="BJ41" i="3"/>
  <c r="BJ64" i="3"/>
  <c r="BJ45" i="3"/>
  <c r="BJ54" i="3"/>
  <c r="BJ38" i="3"/>
  <c r="BJ66" i="3"/>
  <c r="BJ48" i="3"/>
  <c r="BJ39" i="3"/>
  <c r="BJ44" i="3"/>
  <c r="BJ65" i="3"/>
  <c r="BJ42" i="3"/>
  <c r="BJ53" i="3"/>
  <c r="BJ51" i="3"/>
  <c r="BJ57" i="3"/>
  <c r="BJ67" i="3"/>
  <c r="BJ76" i="3" s="1"/>
  <c r="BK17" i="3"/>
  <c r="BN24" i="4"/>
  <c r="BN22" i="4"/>
  <c r="BK5" i="3"/>
  <c r="BN23" i="4"/>
  <c r="BN21" i="4"/>
  <c r="BP7" i="4"/>
  <c r="BO8" i="4"/>
  <c r="BN16" i="4"/>
  <c r="BK8" i="3" s="1"/>
  <c r="BK37" i="3" s="1"/>
  <c r="BN18" i="4"/>
  <c r="BK9" i="3" s="1"/>
  <c r="BK38" i="3" s="1"/>
  <c r="BJ75" i="3"/>
  <c r="BJ79" i="3" s="1"/>
  <c r="BJ80" i="3" s="1"/>
  <c r="BJ74" i="3"/>
  <c r="BJ73" i="3"/>
  <c r="BJ43" i="3"/>
  <c r="BL25" i="3"/>
  <c r="BL24" i="3"/>
  <c r="BL23" i="3"/>
  <c r="BL29" i="3" s="1"/>
  <c r="BL28" i="3"/>
  <c r="BL26" i="3"/>
  <c r="BJ58" i="3"/>
  <c r="BL90" i="3"/>
  <c r="BL89" i="3"/>
  <c r="BL85" i="3"/>
  <c r="BL47" i="3" s="1"/>
  <c r="BL86" i="3"/>
  <c r="BL63" i="3" s="1"/>
  <c r="BP36" i="4"/>
  <c r="BM13" i="3" s="1"/>
  <c r="BP28" i="4"/>
  <c r="BM6" i="3"/>
  <c r="BP34" i="4"/>
  <c r="BM12" i="3" s="1"/>
  <c r="BP33" i="4"/>
  <c r="BM11" i="3" s="1"/>
  <c r="BP17" i="4"/>
  <c r="BP15" i="4"/>
  <c r="BP19" i="4"/>
  <c r="BM15" i="3" s="1"/>
  <c r="BN19" i="3"/>
  <c r="BN18" i="3" s="1"/>
  <c r="BN3" i="3"/>
  <c r="BQ10" i="4"/>
  <c r="BN7" i="3" s="1"/>
  <c r="BR3" i="4"/>
  <c r="BQ9" i="4"/>
  <c r="BQ6" i="4"/>
  <c r="BN4" i="3" s="1"/>
  <c r="BK78" i="3"/>
  <c r="BK77" i="3"/>
  <c r="BK71" i="3"/>
  <c r="BK72" i="3"/>
  <c r="BK61" i="3"/>
  <c r="BK34" i="3"/>
  <c r="BN35" i="4"/>
  <c r="BK14" i="3" s="1"/>
  <c r="BP29" i="4"/>
  <c r="BM10" i="3" s="1"/>
  <c r="BK59" i="3" l="1"/>
  <c r="BK39" i="3"/>
  <c r="BK53" i="3"/>
  <c r="BK55" i="3"/>
  <c r="BK64" i="3"/>
  <c r="BK42" i="3"/>
  <c r="BK66" i="3"/>
  <c r="BO16" i="4"/>
  <c r="BL8" i="3" s="1"/>
  <c r="BL37" i="3" s="1"/>
  <c r="BL46" i="3" s="1"/>
  <c r="BO18" i="4"/>
  <c r="BL9" i="3" s="1"/>
  <c r="BL48" i="3" s="1"/>
  <c r="BK58" i="3"/>
  <c r="BK43" i="3"/>
  <c r="BQ29" i="4"/>
  <c r="BN10" i="3" s="1"/>
  <c r="BN23" i="3" s="1"/>
  <c r="BN29" i="3" s="1"/>
  <c r="BM28" i="3"/>
  <c r="BM26" i="3"/>
  <c r="BM25" i="3"/>
  <c r="BM24" i="3"/>
  <c r="BM23" i="3"/>
  <c r="BM29" i="3" s="1"/>
  <c r="BM90" i="3"/>
  <c r="BM86" i="3"/>
  <c r="BM63" i="3" s="1"/>
  <c r="BM85" i="3"/>
  <c r="BM47" i="3" s="1"/>
  <c r="BM89" i="3"/>
  <c r="BK65" i="3"/>
  <c r="BK51" i="3"/>
  <c r="BK54" i="3"/>
  <c r="BK57" i="3"/>
  <c r="BK48" i="3"/>
  <c r="BK45" i="3"/>
  <c r="BK49" i="3"/>
  <c r="BK44" i="3"/>
  <c r="BK62" i="3"/>
  <c r="BQ36" i="4"/>
  <c r="BN13" i="3" s="1"/>
  <c r="BN6" i="3"/>
  <c r="BQ34" i="4"/>
  <c r="BN12" i="3" s="1"/>
  <c r="BQ33" i="4"/>
  <c r="BN11" i="3" s="1"/>
  <c r="BQ17" i="4"/>
  <c r="BQ15" i="4"/>
  <c r="BQ19" i="4"/>
  <c r="BN15" i="3" s="1"/>
  <c r="BQ28" i="4"/>
  <c r="BL78" i="3"/>
  <c r="BL77" i="3"/>
  <c r="BL72" i="3"/>
  <c r="BL71" i="3"/>
  <c r="BL61" i="3"/>
  <c r="BL34" i="3"/>
  <c r="BO35" i="4"/>
  <c r="BL14" i="3" s="1"/>
  <c r="BK67" i="3"/>
  <c r="BK76" i="3" s="1"/>
  <c r="BK50" i="3"/>
  <c r="BK46" i="3"/>
  <c r="BK41" i="3"/>
  <c r="BK40" i="3"/>
  <c r="BO19" i="3"/>
  <c r="BO18" i="3" s="1"/>
  <c r="BO3" i="3"/>
  <c r="BR10" i="4"/>
  <c r="BO7" i="3" s="1"/>
  <c r="BS3" i="4"/>
  <c r="BR9" i="4"/>
  <c r="BR6" i="4"/>
  <c r="BO4" i="3" s="1"/>
  <c r="BL17" i="3"/>
  <c r="BO22" i="4"/>
  <c r="BL5" i="3"/>
  <c r="BL59" i="3" s="1"/>
  <c r="BO24" i="4"/>
  <c r="BO21" i="4"/>
  <c r="BO23" i="4"/>
  <c r="BK75" i="3"/>
  <c r="BK79" i="3" s="1"/>
  <c r="BK80" i="3" s="1"/>
  <c r="BK74" i="3"/>
  <c r="BK73" i="3"/>
  <c r="BQ7" i="4"/>
  <c r="BP8" i="4"/>
  <c r="BP16" i="4" l="1"/>
  <c r="BM8" i="3" s="1"/>
  <c r="BM37" i="3" s="1"/>
  <c r="BM46" i="3" s="1"/>
  <c r="BL38" i="3"/>
  <c r="BL67" i="3" s="1"/>
  <c r="BL76" i="3" s="1"/>
  <c r="BL65" i="3"/>
  <c r="BL39" i="3"/>
  <c r="BL42" i="3"/>
  <c r="BL45" i="3"/>
  <c r="BL53" i="3"/>
  <c r="BL49" i="3"/>
  <c r="BL55" i="3"/>
  <c r="BL57" i="3"/>
  <c r="BL66" i="3"/>
  <c r="BL64" i="3"/>
  <c r="BL51" i="3"/>
  <c r="BL50" i="3"/>
  <c r="BL40" i="3"/>
  <c r="BL44" i="3"/>
  <c r="BL41" i="3"/>
  <c r="BL54" i="3"/>
  <c r="BL62" i="3"/>
  <c r="BN28" i="3"/>
  <c r="BN26" i="3"/>
  <c r="BN25" i="3"/>
  <c r="BN24" i="3"/>
  <c r="BL58" i="3"/>
  <c r="BR7" i="4"/>
  <c r="BQ8" i="4"/>
  <c r="BL75" i="3"/>
  <c r="BL79" i="3" s="1"/>
  <c r="BL80" i="3" s="1"/>
  <c r="BL74" i="3"/>
  <c r="BL73" i="3"/>
  <c r="BM17" i="3"/>
  <c r="BP23" i="4"/>
  <c r="BM5" i="3"/>
  <c r="BP24" i="4"/>
  <c r="BP21" i="4"/>
  <c r="BP22" i="4"/>
  <c r="BN90" i="3"/>
  <c r="BN86" i="3"/>
  <c r="BN63" i="3" s="1"/>
  <c r="BN89" i="3"/>
  <c r="BN85" i="3"/>
  <c r="BN47" i="3" s="1"/>
  <c r="BR28" i="4"/>
  <c r="BR29" i="4" s="1"/>
  <c r="BO10" i="3" s="1"/>
  <c r="BO6" i="3"/>
  <c r="BR33" i="4"/>
  <c r="BO11" i="3" s="1"/>
  <c r="BR36" i="4"/>
  <c r="BO13" i="3" s="1"/>
  <c r="BR34" i="4"/>
  <c r="BO12" i="3" s="1"/>
  <c r="BR17" i="4"/>
  <c r="BR15" i="4"/>
  <c r="BR19" i="4"/>
  <c r="BO15" i="3" s="1"/>
  <c r="BM78" i="3"/>
  <c r="BM77" i="3"/>
  <c r="BM72" i="3"/>
  <c r="BM71" i="3"/>
  <c r="BM61" i="3"/>
  <c r="BM34" i="3"/>
  <c r="BP35" i="4"/>
  <c r="BM14" i="3" s="1"/>
  <c r="BP18" i="4"/>
  <c r="BM9" i="3" s="1"/>
  <c r="BM53" i="3" s="1"/>
  <c r="BP19" i="3"/>
  <c r="BP18" i="3" s="1"/>
  <c r="BP3" i="3"/>
  <c r="BT3" i="4"/>
  <c r="BS9" i="4"/>
  <c r="BS6" i="4"/>
  <c r="BP4" i="3" s="1"/>
  <c r="BS10" i="4"/>
  <c r="BP7" i="3" s="1"/>
  <c r="BL43" i="3"/>
  <c r="BN78" i="3"/>
  <c r="BN77" i="3"/>
  <c r="BN72" i="3"/>
  <c r="BN71" i="3"/>
  <c r="BN61" i="3"/>
  <c r="BN34" i="3"/>
  <c r="BQ35" i="4"/>
  <c r="BN14" i="3" s="1"/>
  <c r="BQ16" i="4" l="1"/>
  <c r="BN8" i="3" s="1"/>
  <c r="BN37" i="3" s="1"/>
  <c r="BN46" i="3" s="1"/>
  <c r="BM40" i="3"/>
  <c r="BM41" i="3"/>
  <c r="BM50" i="3"/>
  <c r="BO23" i="3"/>
  <c r="BO29" i="3" s="1"/>
  <c r="BO26" i="3"/>
  <c r="BO24" i="3"/>
  <c r="BO28" i="3"/>
  <c r="BO25" i="3"/>
  <c r="BS28" i="4"/>
  <c r="BS29" i="4" s="1"/>
  <c r="BP10" i="3" s="1"/>
  <c r="BP6" i="3"/>
  <c r="BS34" i="4"/>
  <c r="BP12" i="3" s="1"/>
  <c r="BS36" i="4"/>
  <c r="BP13" i="3" s="1"/>
  <c r="BS19" i="4"/>
  <c r="BP15" i="3" s="1"/>
  <c r="BS33" i="4"/>
  <c r="BP11" i="3" s="1"/>
  <c r="BS17" i="4"/>
  <c r="BS15" i="4"/>
  <c r="BM39" i="3"/>
  <c r="BN50" i="3"/>
  <c r="BN75" i="3"/>
  <c r="BN79" i="3" s="1"/>
  <c r="BN74" i="3"/>
  <c r="BN73" i="3"/>
  <c r="BQ18" i="4"/>
  <c r="BN9" i="3" s="1"/>
  <c r="BO90" i="3"/>
  <c r="BO86" i="3"/>
  <c r="BO63" i="3" s="1"/>
  <c r="BO89" i="3"/>
  <c r="BO85" i="3"/>
  <c r="BO47" i="3" s="1"/>
  <c r="BQ19" i="3"/>
  <c r="BQ3" i="3"/>
  <c r="BT9" i="4"/>
  <c r="BT6" i="4"/>
  <c r="BT10" i="4"/>
  <c r="BQ7" i="3" s="1"/>
  <c r="BM42" i="3"/>
  <c r="BM44" i="3"/>
  <c r="BM65" i="3"/>
  <c r="BM54" i="3"/>
  <c r="BM51" i="3"/>
  <c r="BM49" i="3"/>
  <c r="BM62" i="3"/>
  <c r="BM48" i="3"/>
  <c r="BM45" i="3"/>
  <c r="BM57" i="3"/>
  <c r="BM55" i="3"/>
  <c r="BN17" i="3"/>
  <c r="BQ23" i="4"/>
  <c r="BN5" i="3"/>
  <c r="BQ24" i="4"/>
  <c r="BQ22" i="4"/>
  <c r="BQ21" i="4"/>
  <c r="BM64" i="3"/>
  <c r="BM43" i="3"/>
  <c r="BR8" i="4"/>
  <c r="BR16" i="4" s="1"/>
  <c r="BO8" i="3" s="1"/>
  <c r="BO37" i="3" s="1"/>
  <c r="BS7" i="4"/>
  <c r="BM75" i="3"/>
  <c r="BM79" i="3" s="1"/>
  <c r="BM80" i="3" s="1"/>
  <c r="BM74" i="3"/>
  <c r="BM73" i="3"/>
  <c r="BM58" i="3"/>
  <c r="BM38" i="3"/>
  <c r="BM67" i="3" s="1"/>
  <c r="BM76" i="3" s="1"/>
  <c r="BM66" i="3"/>
  <c r="BM59" i="3"/>
  <c r="BN40" i="3" l="1"/>
  <c r="BN41" i="3"/>
  <c r="G12" i="8"/>
  <c r="G20" i="8"/>
  <c r="G19" i="8" s="1"/>
  <c r="G28" i="8" s="1"/>
  <c r="H12" i="8"/>
  <c r="H20" i="8"/>
  <c r="H19" i="8" s="1"/>
  <c r="H28" i="8" s="1"/>
  <c r="BN59" i="3"/>
  <c r="BT29" i="4"/>
  <c r="BQ10" i="3" s="1"/>
  <c r="BQ25" i="3" s="1"/>
  <c r="BN43" i="3"/>
  <c r="BN58" i="3"/>
  <c r="BN80" i="3"/>
  <c r="H77" i="3"/>
  <c r="H74" i="3"/>
  <c r="H73" i="3"/>
  <c r="H75" i="3"/>
  <c r="H78" i="3"/>
  <c r="H72" i="3"/>
  <c r="H71" i="3"/>
  <c r="BP23" i="3"/>
  <c r="BP29" i="3" s="1"/>
  <c r="BP24" i="3"/>
  <c r="BP25" i="3"/>
  <c r="BP26" i="3"/>
  <c r="BP28" i="3"/>
  <c r="BQ18" i="3"/>
  <c r="F20" i="8"/>
  <c r="F19" i="8" s="1"/>
  <c r="F28" i="8" s="1"/>
  <c r="F12" i="8"/>
  <c r="D20" i="8"/>
  <c r="D19" i="8" s="1"/>
  <c r="D28" i="8" s="1"/>
  <c r="D12" i="8"/>
  <c r="E20" i="8"/>
  <c r="E19" i="8" s="1"/>
  <c r="E28" i="8" s="1"/>
  <c r="E12" i="8"/>
  <c r="BP90" i="3"/>
  <c r="BP86" i="3"/>
  <c r="BP63" i="3" s="1"/>
  <c r="BP89" i="3"/>
  <c r="BP85" i="3"/>
  <c r="BP47" i="3" s="1"/>
  <c r="BO50" i="3"/>
  <c r="BO46" i="3"/>
  <c r="BO41" i="3"/>
  <c r="BO40" i="3"/>
  <c r="BS8" i="4"/>
  <c r="BS16" i="4" s="1"/>
  <c r="BP8" i="3" s="1"/>
  <c r="BP37" i="3" s="1"/>
  <c r="BT7" i="4"/>
  <c r="BO17" i="3"/>
  <c r="BR23" i="4"/>
  <c r="BO5" i="3"/>
  <c r="BR24" i="4"/>
  <c r="BR22" i="4"/>
  <c r="BR21" i="4"/>
  <c r="BR18" i="4"/>
  <c r="BO9" i="3" s="1"/>
  <c r="BO55" i="3" s="1"/>
  <c r="BQ4" i="3"/>
  <c r="K6" i="4"/>
  <c r="BN62" i="3"/>
  <c r="BN65" i="3"/>
  <c r="BN57" i="3"/>
  <c r="BN49" i="3"/>
  <c r="BN51" i="3"/>
  <c r="BN54" i="3"/>
  <c r="BN44" i="3"/>
  <c r="BN45" i="3"/>
  <c r="BN48" i="3"/>
  <c r="BN53" i="3"/>
  <c r="BN55" i="3"/>
  <c r="BN42" i="3"/>
  <c r="BN39" i="3"/>
  <c r="BN66" i="3"/>
  <c r="BN38" i="3"/>
  <c r="BN67" i="3" s="1"/>
  <c r="BN76" i="3" s="1"/>
  <c r="BN64" i="3"/>
  <c r="BT28" i="4"/>
  <c r="BQ6" i="3"/>
  <c r="BT34" i="4"/>
  <c r="BQ12" i="3" s="1"/>
  <c r="BT33" i="4"/>
  <c r="BQ11" i="3" s="1"/>
  <c r="BT36" i="4"/>
  <c r="BQ13" i="3" s="1"/>
  <c r="BT19" i="4"/>
  <c r="BQ15" i="3" s="1"/>
  <c r="BT17" i="4"/>
  <c r="BT15" i="4"/>
  <c r="BO78" i="3"/>
  <c r="BO77" i="3"/>
  <c r="BO72" i="3"/>
  <c r="BO71" i="3"/>
  <c r="BO61" i="3"/>
  <c r="BO34" i="3"/>
  <c r="BR35" i="4"/>
  <c r="BO14" i="3" s="1"/>
  <c r="BO59" i="3" l="1"/>
  <c r="BO58" i="3"/>
  <c r="BQ28" i="3"/>
  <c r="BQ26" i="3"/>
  <c r="BQ24" i="3"/>
  <c r="BQ23" i="3"/>
  <c r="BQ29" i="3" s="1"/>
  <c r="BO39" i="3"/>
  <c r="BO66" i="3"/>
  <c r="BO64" i="3"/>
  <c r="BO38" i="3"/>
  <c r="BO67" i="3" s="1"/>
  <c r="BO76" i="3" s="1"/>
  <c r="BO42" i="3"/>
  <c r="H79" i="3"/>
  <c r="BO75" i="3"/>
  <c r="BO79" i="3" s="1"/>
  <c r="BO80" i="3" s="1"/>
  <c r="BO74" i="3"/>
  <c r="BO73" i="3"/>
  <c r="BP77" i="3"/>
  <c r="BP72" i="3"/>
  <c r="BP71" i="3"/>
  <c r="BP78" i="3"/>
  <c r="BP61" i="3"/>
  <c r="BP34" i="3"/>
  <c r="BS35" i="4"/>
  <c r="BP14" i="3" s="1"/>
  <c r="BO54" i="3"/>
  <c r="BO65" i="3"/>
  <c r="BO49" i="3"/>
  <c r="BO57" i="3"/>
  <c r="BO51" i="3"/>
  <c r="BO44" i="3"/>
  <c r="BO45" i="3"/>
  <c r="BO48" i="3"/>
  <c r="BO62" i="3"/>
  <c r="BQ89" i="3"/>
  <c r="BQ85" i="3"/>
  <c r="BQ47" i="3" s="1"/>
  <c r="H47" i="3" s="1"/>
  <c r="BQ86" i="3"/>
  <c r="BQ63" i="3" s="1"/>
  <c r="H63" i="3" s="1"/>
  <c r="BQ90" i="3"/>
  <c r="D70" i="8"/>
  <c r="D69" i="8" s="1"/>
  <c r="BT8" i="4"/>
  <c r="K7" i="4"/>
  <c r="BP50" i="3"/>
  <c r="BP46" i="3"/>
  <c r="BP41" i="3"/>
  <c r="BP40" i="3"/>
  <c r="BP17" i="3"/>
  <c r="BP5" i="3"/>
  <c r="BS24" i="4"/>
  <c r="BS22" i="4"/>
  <c r="BS21" i="4"/>
  <c r="BS23" i="4"/>
  <c r="BO53" i="3"/>
  <c r="BO43" i="3"/>
  <c r="BS18" i="4"/>
  <c r="BP9" i="3" s="1"/>
  <c r="BP55" i="3" s="1"/>
  <c r="BP43" i="3" l="1"/>
  <c r="BT18" i="4"/>
  <c r="BQ9" i="3" s="1"/>
  <c r="BQ65" i="3" s="1"/>
  <c r="BP53" i="3"/>
  <c r="BT16" i="4"/>
  <c r="BQ8" i="3" s="1"/>
  <c r="BQ37" i="3" s="1"/>
  <c r="BP75" i="3"/>
  <c r="BP79" i="3" s="1"/>
  <c r="BP80" i="3" s="1"/>
  <c r="BP74" i="3"/>
  <c r="BP73" i="3"/>
  <c r="BP54" i="3"/>
  <c r="BP57" i="3"/>
  <c r="BP45" i="3"/>
  <c r="BP48" i="3"/>
  <c r="BP65" i="3"/>
  <c r="BP44" i="3"/>
  <c r="BP51" i="3"/>
  <c r="BP62" i="3"/>
  <c r="BP49" i="3"/>
  <c r="BP38" i="3"/>
  <c r="BP67" i="3" s="1"/>
  <c r="BP76" i="3" s="1"/>
  <c r="BP64" i="3"/>
  <c r="BQ78" i="3"/>
  <c r="BQ72" i="3"/>
  <c r="BQ71" i="3"/>
  <c r="BQ77" i="3"/>
  <c r="BQ61" i="3"/>
  <c r="BQ34" i="3"/>
  <c r="BT35" i="4"/>
  <c r="BQ14" i="3" s="1"/>
  <c r="BP39" i="3"/>
  <c r="BP66" i="3"/>
  <c r="BP58" i="3"/>
  <c r="BQ17" i="3"/>
  <c r="BQ5" i="3"/>
  <c r="BT24" i="4"/>
  <c r="BT22" i="4"/>
  <c r="BT21" i="4"/>
  <c r="BT23" i="4"/>
  <c r="K8" i="4"/>
  <c r="BP42" i="3"/>
  <c r="BP59" i="3"/>
  <c r="BQ64" i="3" l="1"/>
  <c r="BQ38" i="3"/>
  <c r="BQ39" i="3"/>
  <c r="V13" i="1"/>
  <c r="BQ55" i="3"/>
  <c r="BQ66" i="3"/>
  <c r="BQ42" i="3"/>
  <c r="BQ53" i="3"/>
  <c r="BQ48" i="3"/>
  <c r="BQ45" i="3"/>
  <c r="BQ62" i="3"/>
  <c r="BQ44" i="3"/>
  <c r="BQ57" i="3"/>
  <c r="BQ54" i="3"/>
  <c r="BQ51" i="3"/>
  <c r="BQ49" i="3"/>
  <c r="BQ59" i="3"/>
  <c r="H59" i="3" s="1"/>
  <c r="H44" i="3"/>
  <c r="BQ75" i="3"/>
  <c r="BQ79" i="3" s="1"/>
  <c r="BQ80" i="3" s="1"/>
  <c r="BQ73" i="3"/>
  <c r="BQ74" i="3"/>
  <c r="H51" i="3"/>
  <c r="BQ67" i="3"/>
  <c r="BQ76" i="3" s="1"/>
  <c r="BQ50" i="3"/>
  <c r="BQ46" i="3"/>
  <c r="BQ41" i="3"/>
  <c r="BQ40" i="3"/>
  <c r="H45" i="3"/>
  <c r="BQ43" i="3"/>
  <c r="J33" i="4"/>
  <c r="H62" i="3"/>
  <c r="BQ58" i="3"/>
  <c r="H33" i="4"/>
  <c r="H57" i="3"/>
  <c r="I33" i="4"/>
  <c r="H54" i="3"/>
  <c r="H49" i="3"/>
  <c r="H65" i="3"/>
  <c r="T33" i="4" l="1"/>
  <c r="Q11" i="3" s="1"/>
  <c r="Q37" i="3" s="1"/>
  <c r="S33" i="4"/>
  <c r="P11" i="3" s="1"/>
  <c r="P37" i="3" s="1"/>
  <c r="U33" i="4"/>
  <c r="R11" i="3" s="1"/>
  <c r="R37" i="3" s="1"/>
  <c r="Q33" i="4"/>
  <c r="N11" i="3" s="1"/>
  <c r="N37" i="3" s="1"/>
  <c r="P33" i="4"/>
  <c r="M11" i="3" s="1"/>
  <c r="M37" i="3" s="1"/>
  <c r="O33" i="4"/>
  <c r="L11" i="3" s="1"/>
  <c r="L37" i="3" s="1"/>
  <c r="R33" i="4"/>
  <c r="O11" i="3" s="1"/>
  <c r="O37" i="3" s="1"/>
  <c r="AD33" i="4"/>
  <c r="AA11" i="3" s="1"/>
  <c r="AA37" i="3" s="1"/>
  <c r="AE33" i="4"/>
  <c r="AB11" i="3" s="1"/>
  <c r="AB37" i="3" s="1"/>
  <c r="AF33" i="4"/>
  <c r="AC11" i="3" s="1"/>
  <c r="AC37" i="3" s="1"/>
  <c r="AG33" i="4"/>
  <c r="AD11" i="3" s="1"/>
  <c r="AD37" i="3" s="1"/>
  <c r="Z33" i="4"/>
  <c r="W11" i="3" s="1"/>
  <c r="W37" i="3" s="1"/>
  <c r="AA33" i="4"/>
  <c r="X11" i="3" s="1"/>
  <c r="X37" i="3" s="1"/>
  <c r="AB33" i="4"/>
  <c r="Y11" i="3" s="1"/>
  <c r="Y37" i="3" s="1"/>
  <c r="AC33" i="4"/>
  <c r="Z11" i="3" s="1"/>
  <c r="Z37" i="3" s="1"/>
  <c r="V33" i="4"/>
  <c r="S11" i="3" s="1"/>
  <c r="S37" i="3" s="1"/>
  <c r="W33" i="4"/>
  <c r="T11" i="3" s="1"/>
  <c r="T37" i="3" s="1"/>
  <c r="X33" i="4"/>
  <c r="U11" i="3" s="1"/>
  <c r="U37" i="3" s="1"/>
  <c r="Y33" i="4"/>
  <c r="V11" i="3" s="1"/>
  <c r="V37" i="3" s="1"/>
  <c r="L50" i="3" l="1"/>
  <c r="K111" i="3" s="1"/>
  <c r="L41" i="3"/>
  <c r="K102" i="3" s="1"/>
  <c r="K98" i="3"/>
  <c r="K103" i="3" s="1"/>
  <c r="L67" i="3"/>
  <c r="L76" i="3" s="1"/>
  <c r="L46" i="3"/>
  <c r="K110" i="3" s="1"/>
  <c r="L40" i="3"/>
  <c r="K101" i="3" s="1"/>
  <c r="M50" i="3"/>
  <c r="M46" i="3"/>
  <c r="M41" i="3"/>
  <c r="M40" i="3"/>
  <c r="M67" i="3"/>
  <c r="M76" i="3" s="1"/>
  <c r="K127" i="3" s="1"/>
  <c r="N67" i="3"/>
  <c r="N76" i="3" s="1"/>
  <c r="N40" i="3"/>
  <c r="L101" i="3" s="1"/>
  <c r="N50" i="3"/>
  <c r="L111" i="3" s="1"/>
  <c r="N46" i="3"/>
  <c r="L110" i="3" s="1"/>
  <c r="N41" i="3"/>
  <c r="L102" i="3" s="1"/>
  <c r="L98" i="3"/>
  <c r="L103" i="3" s="1"/>
  <c r="O40" i="3"/>
  <c r="O50" i="3"/>
  <c r="O67" i="3"/>
  <c r="O76" i="3" s="1"/>
  <c r="L127" i="3" s="1"/>
  <c r="O41" i="3"/>
  <c r="O46" i="3"/>
  <c r="R46" i="3"/>
  <c r="R41" i="3"/>
  <c r="R40" i="3"/>
  <c r="R50" i="3"/>
  <c r="R67" i="3"/>
  <c r="R76" i="3" s="1"/>
  <c r="M98" i="3"/>
  <c r="M103" i="3" s="1"/>
  <c r="P67" i="3"/>
  <c r="P76" i="3" s="1"/>
  <c r="P46" i="3"/>
  <c r="M110" i="3" s="1"/>
  <c r="P40" i="3"/>
  <c r="M101" i="3" s="1"/>
  <c r="P41" i="3"/>
  <c r="M102" i="3" s="1"/>
  <c r="P50" i="3"/>
  <c r="M111" i="3" s="1"/>
  <c r="Q46" i="3"/>
  <c r="Q41" i="3"/>
  <c r="Q40" i="3"/>
  <c r="Q50" i="3"/>
  <c r="Q67" i="3"/>
  <c r="Q76" i="3" s="1"/>
  <c r="M127" i="3" s="1"/>
  <c r="Z67" i="3"/>
  <c r="Z76" i="3" s="1"/>
  <c r="Z46" i="3"/>
  <c r="Z41" i="3"/>
  <c r="Z40" i="3"/>
  <c r="Z50" i="3"/>
  <c r="Y67" i="3"/>
  <c r="Y76" i="3" s="1"/>
  <c r="Y50" i="3"/>
  <c r="Y46" i="3"/>
  <c r="Y41" i="3"/>
  <c r="Y40" i="3"/>
  <c r="X67" i="3"/>
  <c r="X76" i="3" s="1"/>
  <c r="X50" i="3"/>
  <c r="X46" i="3"/>
  <c r="X41" i="3"/>
  <c r="X40" i="3"/>
  <c r="W67" i="3"/>
  <c r="W76" i="3" s="1"/>
  <c r="W50" i="3"/>
  <c r="W46" i="3"/>
  <c r="W41" i="3"/>
  <c r="W40" i="3"/>
  <c r="V67" i="3"/>
  <c r="V76" i="3" s="1"/>
  <c r="V50" i="3"/>
  <c r="V46" i="3"/>
  <c r="V41" i="3"/>
  <c r="V40" i="3"/>
  <c r="AD67" i="3"/>
  <c r="AD76" i="3" s="1"/>
  <c r="AD50" i="3"/>
  <c r="AD46" i="3"/>
  <c r="AD41" i="3"/>
  <c r="AD40" i="3"/>
  <c r="U67" i="3"/>
  <c r="U76" i="3" s="1"/>
  <c r="U50" i="3"/>
  <c r="U46" i="3"/>
  <c r="U41" i="3"/>
  <c r="U40" i="3"/>
  <c r="AC67" i="3"/>
  <c r="AC76" i="3" s="1"/>
  <c r="AC50" i="3"/>
  <c r="AC46" i="3"/>
  <c r="AC41" i="3"/>
  <c r="AC40" i="3"/>
  <c r="T67" i="3"/>
  <c r="T76" i="3" s="1"/>
  <c r="T46" i="3"/>
  <c r="T41" i="3"/>
  <c r="T40" i="3"/>
  <c r="T50" i="3"/>
  <c r="AB67" i="3"/>
  <c r="AB76" i="3" s="1"/>
  <c r="AB46" i="3"/>
  <c r="AB41" i="3"/>
  <c r="AB40" i="3"/>
  <c r="AB50" i="3"/>
  <c r="S67" i="3"/>
  <c r="S76" i="3" s="1"/>
  <c r="N127" i="3" s="1"/>
  <c r="S50" i="3"/>
  <c r="S46" i="3"/>
  <c r="S41" i="3"/>
  <c r="S40" i="3"/>
  <c r="N98" i="3"/>
  <c r="N103" i="3" s="1"/>
  <c r="H37" i="3"/>
  <c r="H67" i="3" s="1"/>
  <c r="AA67" i="3"/>
  <c r="AA76" i="3" s="1"/>
  <c r="AA50" i="3"/>
  <c r="AA46" i="3"/>
  <c r="AA41" i="3"/>
  <c r="AA40" i="3"/>
  <c r="H76" i="3" l="1"/>
  <c r="H48" i="8"/>
  <c r="N118" i="3"/>
  <c r="N104" i="3"/>
  <c r="N101" i="3"/>
  <c r="H40" i="3"/>
  <c r="G48" i="8"/>
  <c r="M118" i="3"/>
  <c r="D47" i="8"/>
  <c r="N102" i="3"/>
  <c r="H41" i="3"/>
  <c r="E48" i="8"/>
  <c r="K118" i="3"/>
  <c r="D48" i="8"/>
  <c r="J118" i="3"/>
  <c r="N110" i="3"/>
  <c r="H46" i="3"/>
  <c r="H46" i="8"/>
  <c r="N111" i="3"/>
  <c r="H50" i="3"/>
  <c r="F48" i="8"/>
  <c r="L118" i="3"/>
  <c r="D65" i="8" l="1"/>
  <c r="D15" i="8"/>
  <c r="D14" i="8" l="1"/>
  <c r="E70" i="8" l="1"/>
  <c r="E69" i="8" s="1"/>
  <c r="F70" i="8" l="1"/>
  <c r="F69" i="8" s="1"/>
  <c r="H17" i="115"/>
  <c r="G70" i="8" l="1"/>
  <c r="G69" i="8" s="1"/>
  <c r="I17" i="115"/>
  <c r="U14" i="1" l="1"/>
  <c r="E47" i="8"/>
  <c r="H70" i="8" l="1"/>
  <c r="H69" i="8" s="1"/>
  <c r="J17" i="115"/>
  <c r="V14" i="1"/>
  <c r="U8" i="1"/>
  <c r="E65" i="8"/>
  <c r="E15" i="8"/>
  <c r="E14" i="8" l="1"/>
  <c r="K17" i="115" l="1"/>
  <c r="V8" i="1"/>
  <c r="F65" i="8"/>
  <c r="F47" i="8"/>
  <c r="F15" i="8" l="1"/>
  <c r="F14" i="8" s="1"/>
  <c r="G65" i="8" l="1"/>
  <c r="G47" i="8"/>
  <c r="G15" i="8" l="1"/>
  <c r="G14" i="8" s="1"/>
  <c r="H47" i="8" l="1"/>
  <c r="H45" i="8" s="1"/>
  <c r="H49" i="8" s="1"/>
  <c r="H51" i="8" s="1"/>
  <c r="H54" i="8" s="1"/>
  <c r="H55" i="8" s="1"/>
  <c r="H56" i="8" s="1"/>
  <c r="H65" i="8" l="1"/>
  <c r="H15" i="8"/>
  <c r="H14" i="8" s="1"/>
  <c r="H64" i="8"/>
  <c r="H63" i="8" s="1"/>
  <c r="H76" i="8" s="1"/>
  <c r="N132" i="3" l="1"/>
  <c r="H68" i="8"/>
  <c r="G68" i="8"/>
  <c r="M132" i="3"/>
  <c r="C46" i="146" l="1"/>
  <c r="C9" i="146" s="1"/>
  <c r="C47" i="146"/>
  <c r="C49" i="146"/>
  <c r="G46" i="8" l="1"/>
  <c r="G45" i="8" s="1"/>
  <c r="G49" i="8" s="1"/>
  <c r="G51" i="8" s="1"/>
  <c r="G54" i="8" s="1"/>
  <c r="G55" i="8" s="1"/>
  <c r="G56" i="8" s="1"/>
  <c r="G64" i="8" s="1"/>
  <c r="G63" i="8" s="1"/>
  <c r="G76" i="8" s="1"/>
  <c r="M104" i="3"/>
  <c r="D38" i="146"/>
  <c r="D45" i="146" s="1"/>
  <c r="D49" i="146" s="1"/>
  <c r="D47" i="146"/>
  <c r="D46" i="146" l="1"/>
  <c r="D9" i="146" s="1"/>
  <c r="E38" i="146"/>
  <c r="E45" i="146" s="1"/>
  <c r="E49" i="146" s="1"/>
  <c r="E47" i="146"/>
  <c r="F38" i="146" l="1"/>
  <c r="F45" i="146" s="1"/>
  <c r="F49" i="146" s="1"/>
  <c r="F47" i="146"/>
  <c r="E46" i="146"/>
  <c r="E9" i="146" s="1"/>
  <c r="F46" i="146" l="1"/>
  <c r="F9" i="146" s="1"/>
  <c r="G47" i="146"/>
  <c r="G38" i="146"/>
  <c r="G45" i="146" s="1"/>
  <c r="G49" i="146" s="1"/>
  <c r="G46" i="146" l="1"/>
  <c r="G9" i="146" s="1"/>
  <c r="H38" i="146"/>
  <c r="H45" i="146" s="1"/>
  <c r="H49" i="146" s="1"/>
  <c r="H47" i="146"/>
  <c r="H46" i="146" l="1"/>
  <c r="H9" i="146" s="1"/>
  <c r="C56" i="146" l="1"/>
  <c r="C67" i="146" s="1"/>
  <c r="D63" i="146" s="1"/>
  <c r="D67" i="146" s="1"/>
  <c r="E63" i="146" s="1"/>
  <c r="C64" i="146"/>
  <c r="C11" i="146" s="1"/>
  <c r="C22" i="146" s="1"/>
  <c r="D17" i="110" s="1"/>
  <c r="C23" i="146" l="1"/>
  <c r="E67" i="146"/>
  <c r="F63" i="146" s="1"/>
  <c r="E64" i="146"/>
  <c r="E11" i="146" s="1"/>
  <c r="D10" i="110" l="1"/>
  <c r="F67" i="146"/>
  <c r="G63" i="146" s="1"/>
  <c r="F64" i="146"/>
  <c r="F11" i="146" s="1"/>
  <c r="D16" i="110" l="1"/>
  <c r="G67" i="146"/>
  <c r="H63" i="146" s="1"/>
  <c r="G64" i="146"/>
  <c r="G11" i="146" s="1"/>
  <c r="D9" i="110"/>
  <c r="C12" i="1"/>
  <c r="H67" i="146" l="1"/>
  <c r="H64" i="146"/>
  <c r="H11" i="146" s="1"/>
  <c r="C11" i="1"/>
  <c r="R12" i="1"/>
  <c r="R11" i="1" l="1"/>
  <c r="C16" i="1"/>
  <c r="R16" i="1" l="1"/>
  <c r="D64" i="146" l="1"/>
  <c r="D11" i="146" s="1"/>
  <c r="D131" i="146" l="1"/>
  <c r="D139" i="146"/>
  <c r="D16" i="146"/>
  <c r="E143" i="146" l="1"/>
  <c r="E151" i="146"/>
  <c r="E17" i="146" s="1"/>
  <c r="H143" i="146" l="1"/>
  <c r="H151" i="146"/>
  <c r="H17" i="146" s="1"/>
  <c r="G143" i="146"/>
  <c r="G151" i="146"/>
  <c r="G17" i="146" s="1"/>
  <c r="F143" i="146"/>
  <c r="F151" i="146"/>
  <c r="F17" i="146" s="1"/>
  <c r="D32" i="146"/>
  <c r="D34" i="146"/>
  <c r="D8" i="146" s="1"/>
  <c r="D22" i="146" s="1"/>
  <c r="G17" i="110" s="1"/>
  <c r="D23" i="146" l="1"/>
  <c r="G10" i="110"/>
  <c r="F17" i="110"/>
  <c r="G16" i="110"/>
  <c r="F10" i="110" l="1"/>
  <c r="F16" i="110"/>
  <c r="F12" i="1"/>
  <c r="G9" i="110"/>
  <c r="F11" i="1" l="1"/>
  <c r="S12" i="1"/>
  <c r="L12" i="1"/>
  <c r="F9" i="110"/>
  <c r="E12" i="1"/>
  <c r="E11" i="1" s="1"/>
  <c r="E16" i="1" s="1"/>
  <c r="L11" i="1" l="1"/>
  <c r="F16" i="1"/>
  <c r="S11" i="1"/>
  <c r="S16" i="1" l="1"/>
  <c r="L16" i="1"/>
  <c r="G32" i="146" l="1"/>
  <c r="G34" i="146" s="1"/>
  <c r="G8" i="146" s="1"/>
  <c r="F32" i="146"/>
  <c r="F34" i="146" s="1"/>
  <c r="F8" i="146" s="1"/>
  <c r="H32" i="146"/>
  <c r="H34" i="146"/>
  <c r="H8" i="146" s="1"/>
  <c r="E32" i="146"/>
  <c r="E34" i="146" s="1"/>
  <c r="E8" i="146" s="1"/>
  <c r="E80" i="146"/>
  <c r="E12" i="146" s="1"/>
  <c r="F80" i="146"/>
  <c r="F12" i="146" s="1"/>
  <c r="H80" i="146"/>
  <c r="H12" i="146" s="1"/>
  <c r="H22" i="146" s="1"/>
  <c r="H23" i="146" s="1"/>
  <c r="H72" i="146"/>
  <c r="G80" i="146"/>
  <c r="G12" i="146" s="1"/>
  <c r="F72" i="146"/>
  <c r="E72" i="146"/>
  <c r="G22" i="146" l="1"/>
  <c r="J17" i="110" s="1"/>
  <c r="J10" i="110" s="1"/>
  <c r="I12" i="1" s="1"/>
  <c r="E22" i="146"/>
  <c r="H17" i="110" s="1"/>
  <c r="F22" i="146"/>
  <c r="F23" i="146" s="1"/>
  <c r="K17" i="110"/>
  <c r="K10" i="110" s="1"/>
  <c r="J16" i="110"/>
  <c r="G23" i="146"/>
  <c r="G72" i="146"/>
  <c r="I11" i="1" l="1"/>
  <c r="E46" i="8"/>
  <c r="E45" i="8" s="1"/>
  <c r="E49" i="8" s="1"/>
  <c r="E51" i="8" s="1"/>
  <c r="E54" i="8" s="1"/>
  <c r="E55" i="8" s="1"/>
  <c r="E56" i="8" s="1"/>
  <c r="E64" i="8" s="1"/>
  <c r="E63" i="8" s="1"/>
  <c r="E76" i="8" s="1"/>
  <c r="K104" i="3"/>
  <c r="U12" i="1"/>
  <c r="J9" i="110"/>
  <c r="J12" i="1"/>
  <c r="J11" i="1" s="1"/>
  <c r="J16" i="1" s="1"/>
  <c r="E23" i="146"/>
  <c r="I17" i="110"/>
  <c r="I16" i="110" s="1"/>
  <c r="K9" i="110"/>
  <c r="K16" i="110"/>
  <c r="H16" i="110"/>
  <c r="H10" i="110"/>
  <c r="U11" i="1"/>
  <c r="I16" i="1"/>
  <c r="L104" i="3" l="1"/>
  <c r="P12" i="1"/>
  <c r="V12" i="1"/>
  <c r="F46" i="8"/>
  <c r="F45" i="8" s="1"/>
  <c r="F49" i="8" s="1"/>
  <c r="F51" i="8" s="1"/>
  <c r="F54" i="8" s="1"/>
  <c r="F55" i="8" s="1"/>
  <c r="F56" i="8" s="1"/>
  <c r="F64" i="8" s="1"/>
  <c r="F63" i="8" s="1"/>
  <c r="F76" i="8" s="1"/>
  <c r="I10" i="110"/>
  <c r="P11" i="1"/>
  <c r="V11" i="1"/>
  <c r="V16" i="1"/>
  <c r="P16" i="1"/>
  <c r="H9" i="110"/>
  <c r="G12" i="1"/>
  <c r="U16" i="1"/>
  <c r="H12" i="1" l="1"/>
  <c r="I9" i="110"/>
  <c r="T12" i="1"/>
  <c r="D46" i="8"/>
  <c r="D45" i="8" s="1"/>
  <c r="D49" i="8" s="1"/>
  <c r="D51" i="8" s="1"/>
  <c r="D54" i="8" s="1"/>
  <c r="J104" i="3"/>
  <c r="M12" i="1"/>
  <c r="G11" i="1"/>
  <c r="N12" i="1"/>
  <c r="H11" i="1"/>
  <c r="O12" i="1"/>
  <c r="F68" i="8"/>
  <c r="L132" i="3"/>
  <c r="J132" i="3" l="1"/>
  <c r="D68" i="8"/>
  <c r="G16" i="1"/>
  <c r="T11" i="1"/>
  <c r="M11" i="1"/>
  <c r="N11" i="1"/>
  <c r="H16" i="1"/>
  <c r="O11" i="1"/>
  <c r="D55" i="8"/>
  <c r="D56" i="8" s="1"/>
  <c r="D32" i="8" l="1"/>
  <c r="D64" i="8"/>
  <c r="D63" i="8" s="1"/>
  <c r="D76" i="8" s="1"/>
  <c r="D78" i="8" s="1"/>
  <c r="N16" i="1"/>
  <c r="O16" i="1"/>
  <c r="E68" i="8"/>
  <c r="K132" i="3"/>
  <c r="T16" i="1"/>
  <c r="M16" i="1"/>
  <c r="E77" i="8" l="1"/>
  <c r="E78" i="8" s="1"/>
  <c r="D10" i="8"/>
  <c r="D9" i="8" s="1"/>
  <c r="D17" i="8" s="1"/>
  <c r="E32" i="8"/>
  <c r="D33" i="8"/>
  <c r="D34" i="8" s="1"/>
  <c r="D35" i="8" l="1"/>
  <c r="F32" i="8"/>
  <c r="E33" i="8"/>
  <c r="E34" i="8" s="1"/>
  <c r="F77" i="8"/>
  <c r="F78" i="8" s="1"/>
  <c r="E10" i="8"/>
  <c r="E9" i="8" s="1"/>
  <c r="E17" i="8" s="1"/>
  <c r="F10" i="8" l="1"/>
  <c r="F9" i="8" s="1"/>
  <c r="F17" i="8" s="1"/>
  <c r="G77" i="8"/>
  <c r="G78" i="8" s="1"/>
  <c r="E35" i="8"/>
  <c r="F33" i="8"/>
  <c r="F34" i="8" s="1"/>
  <c r="G32" i="8"/>
  <c r="F35" i="8" l="1"/>
  <c r="G33" i="8"/>
  <c r="G34" i="8" s="1"/>
  <c r="H32" i="8"/>
  <c r="H33" i="8" s="1"/>
  <c r="H34" i="8" s="1"/>
  <c r="G10" i="8"/>
  <c r="G9" i="8" s="1"/>
  <c r="G17" i="8" s="1"/>
  <c r="H77" i="8"/>
  <c r="H78" i="8" s="1"/>
  <c r="H10" i="8" s="1"/>
  <c r="H9" i="8" s="1"/>
  <c r="H17" i="8" s="1"/>
  <c r="G35" i="8" l="1"/>
  <c r="H35" i="8"/>
</calcChain>
</file>

<file path=xl/comments1.xml><?xml version="1.0" encoding="utf-8"?>
<comments xmlns="http://schemas.openxmlformats.org/spreadsheetml/2006/main">
  <authors>
    <author>tc={97C40276-20F8-4602-BC13-2CC3F45B5761}</author>
  </authors>
  <commentList>
    <comment ref="U34" authorId="0" shapeId="0">
      <text>
        <r>
          <rPr>
            <sz val="10"/>
            <color theme="1"/>
            <rFont val="맑은 고딕"/>
            <family val="2"/>
            <charset val="129"/>
            <scheme val="minor"/>
          </rPr>
          <t>[스레드 댓글]
사용 중인 버전의 Excel에서 이 스레드 댓글을 읽을 수 있지만 파일을 이후 버전의 Excel에서 열면 편집 내용이 모두 제거됩니다. 자세한 정보: https://go.microsoft.com/fwlink/?linkid=870924.
댓글:
    실제 계약기간 최초인식 시점기준</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<sst xmlns="http://schemas.openxmlformats.org/spreadsheetml/2006/main" count="4095" uniqueCount="873">
  <si>
    <t>영업이익</t>
    <phoneticPr fontId="9" type="noConversion"/>
  </si>
  <si>
    <t>가정</t>
    <phoneticPr fontId="9" type="noConversion"/>
  </si>
  <si>
    <t>구분 / 추정연차</t>
    <phoneticPr fontId="9" type="noConversion"/>
  </si>
  <si>
    <t>구분</t>
    <phoneticPr fontId="9" type="noConversion"/>
  </si>
  <si>
    <t>순운전자본증감</t>
    <phoneticPr fontId="9" type="noConversion"/>
  </si>
  <si>
    <t>순운전자본</t>
    <phoneticPr fontId="9" type="noConversion"/>
  </si>
  <si>
    <t>NWC</t>
    <phoneticPr fontId="9" type="noConversion"/>
  </si>
  <si>
    <t>합계</t>
    <phoneticPr fontId="9" type="noConversion"/>
  </si>
  <si>
    <t>비용추정</t>
    <phoneticPr fontId="9" type="noConversion"/>
  </si>
  <si>
    <t>수익추정</t>
    <phoneticPr fontId="9" type="noConversion"/>
  </si>
  <si>
    <t>합계</t>
    <phoneticPr fontId="10" type="noConversion"/>
  </si>
  <si>
    <t>구분</t>
  </si>
  <si>
    <t>상승률 index</t>
    <phoneticPr fontId="9" type="noConversion"/>
  </si>
  <si>
    <t>기간 index</t>
    <phoneticPr fontId="9" type="noConversion"/>
  </si>
  <si>
    <t>평가기준일</t>
    <phoneticPr fontId="9" type="noConversion"/>
  </si>
  <si>
    <t>비고</t>
    <phoneticPr fontId="10" type="noConversion"/>
  </si>
  <si>
    <t>방송매출</t>
  </si>
  <si>
    <t>영화매출</t>
  </si>
  <si>
    <t>기타매출</t>
  </si>
  <si>
    <t>기타원가</t>
  </si>
  <si>
    <t>CAPEX</t>
    <phoneticPr fontId="9" type="noConversion"/>
  </si>
  <si>
    <t>매출액</t>
    <phoneticPr fontId="9" type="noConversion"/>
  </si>
  <si>
    <t>평가대상기간 여부</t>
    <phoneticPr fontId="9" type="noConversion"/>
  </si>
  <si>
    <t>평가대상기간-누적</t>
    <phoneticPr fontId="9" type="noConversion"/>
  </si>
  <si>
    <t>평가기준일 이후 사업년도</t>
    <phoneticPr fontId="9" type="noConversion"/>
  </si>
  <si>
    <t>수익 index</t>
    <phoneticPr fontId="9" type="noConversion"/>
  </si>
  <si>
    <t>Q</t>
    <phoneticPr fontId="9" type="noConversion"/>
  </si>
  <si>
    <t>P</t>
    <phoneticPr fontId="9" type="noConversion"/>
  </si>
  <si>
    <t>비용 index</t>
    <phoneticPr fontId="9" type="noConversion"/>
  </si>
  <si>
    <t>기본사항</t>
    <phoneticPr fontId="10" type="noConversion"/>
  </si>
  <si>
    <t>Index</t>
    <phoneticPr fontId="10" type="noConversion"/>
  </si>
  <si>
    <t>매출원가</t>
    <phoneticPr fontId="9" type="noConversion"/>
  </si>
  <si>
    <t>매출채권</t>
    <phoneticPr fontId="9" type="noConversion"/>
  </si>
  <si>
    <t>매입채무</t>
    <phoneticPr fontId="9" type="noConversion"/>
  </si>
  <si>
    <t>■</t>
    <phoneticPr fontId="9" type="noConversion"/>
  </si>
  <si>
    <t>감가상각비</t>
    <phoneticPr fontId="9" type="noConversion"/>
  </si>
  <si>
    <t>FCF</t>
    <phoneticPr fontId="9" type="noConversion"/>
  </si>
  <si>
    <t>NWC증감</t>
    <phoneticPr fontId="9" type="noConversion"/>
  </si>
  <si>
    <t>지수(5%)</t>
    <phoneticPr fontId="9" type="noConversion"/>
  </si>
  <si>
    <t>지수(10%)</t>
    <phoneticPr fontId="9" type="noConversion"/>
  </si>
  <si>
    <t>지수(15%)</t>
    <phoneticPr fontId="9" type="noConversion"/>
  </si>
  <si>
    <t>지수(20%)</t>
    <phoneticPr fontId="9" type="noConversion"/>
  </si>
  <si>
    <t>가정</t>
    <phoneticPr fontId="10" type="noConversion"/>
  </si>
  <si>
    <t>Month</t>
    <phoneticPr fontId="9" type="noConversion"/>
  </si>
  <si>
    <t>BS</t>
    <phoneticPr fontId="9" type="noConversion"/>
  </si>
  <si>
    <t>2018년 12월</t>
    <phoneticPr fontId="9" type="noConversion"/>
  </si>
  <si>
    <t>PL</t>
    <phoneticPr fontId="9" type="noConversion"/>
  </si>
  <si>
    <t>CF</t>
    <phoneticPr fontId="9" type="noConversion"/>
  </si>
  <si>
    <t>유동자산</t>
    <phoneticPr fontId="9" type="noConversion"/>
  </si>
  <si>
    <t>비유동자산</t>
    <phoneticPr fontId="9" type="noConversion"/>
  </si>
  <si>
    <t>자산총계</t>
    <phoneticPr fontId="9" type="noConversion"/>
  </si>
  <si>
    <t>현금및현금성자산</t>
    <phoneticPr fontId="9" type="noConversion"/>
  </si>
  <si>
    <t>기타유동자산</t>
    <phoneticPr fontId="9" type="noConversion"/>
  </si>
  <si>
    <t>유형자산/무형자산</t>
    <phoneticPr fontId="9" type="noConversion"/>
  </si>
  <si>
    <t>기타비유동자산</t>
    <phoneticPr fontId="9" type="noConversion"/>
  </si>
  <si>
    <t>유동부채</t>
    <phoneticPr fontId="9" type="noConversion"/>
  </si>
  <si>
    <t>기타유동부채</t>
    <phoneticPr fontId="9" type="noConversion"/>
  </si>
  <si>
    <t>비유동부채</t>
    <phoneticPr fontId="9" type="noConversion"/>
  </si>
  <si>
    <t>퇴직급여충당부채</t>
    <phoneticPr fontId="9" type="noConversion"/>
  </si>
  <si>
    <t>퇴직연금운용자산</t>
    <phoneticPr fontId="9" type="noConversion"/>
  </si>
  <si>
    <t>기타비유동부채</t>
    <phoneticPr fontId="9" type="noConversion"/>
  </si>
  <si>
    <t>부채총계</t>
    <phoneticPr fontId="9" type="noConversion"/>
  </si>
  <si>
    <t>자본금</t>
    <phoneticPr fontId="9" type="noConversion"/>
  </si>
  <si>
    <t>기타자본</t>
    <phoneticPr fontId="9" type="noConversion"/>
  </si>
  <si>
    <t>이익잉여금</t>
    <phoneticPr fontId="9" type="noConversion"/>
  </si>
  <si>
    <t>자본총계</t>
    <phoneticPr fontId="9" type="noConversion"/>
  </si>
  <si>
    <t>부채및자본총계</t>
    <phoneticPr fontId="9" type="noConversion"/>
  </si>
  <si>
    <t>자산</t>
    <phoneticPr fontId="9" type="noConversion"/>
  </si>
  <si>
    <t>부채</t>
    <phoneticPr fontId="9" type="noConversion"/>
  </si>
  <si>
    <t>자본</t>
    <phoneticPr fontId="9" type="noConversion"/>
  </si>
  <si>
    <t>방송원가</t>
  </si>
  <si>
    <t>영화원가</t>
  </si>
  <si>
    <t>매출총이익</t>
    <phoneticPr fontId="9" type="noConversion"/>
  </si>
  <si>
    <t>판매비와관리비</t>
    <phoneticPr fontId="9" type="noConversion"/>
  </si>
  <si>
    <t>세전이익</t>
    <phoneticPr fontId="9" type="noConversion"/>
  </si>
  <si>
    <t>법인세비용</t>
    <phoneticPr fontId="9" type="noConversion"/>
  </si>
  <si>
    <t>당기순이익</t>
    <phoneticPr fontId="9" type="noConversion"/>
  </si>
  <si>
    <t>전환사채</t>
    <phoneticPr fontId="9" type="noConversion"/>
  </si>
  <si>
    <t>유동성전환사채 포함</t>
    <phoneticPr fontId="9" type="noConversion"/>
  </si>
  <si>
    <t>영업현금흐름</t>
    <phoneticPr fontId="9" type="noConversion"/>
  </si>
  <si>
    <t>투자현금흐름</t>
    <phoneticPr fontId="9" type="noConversion"/>
  </si>
  <si>
    <t>재무현금흐름</t>
    <phoneticPr fontId="9" type="noConversion"/>
  </si>
  <si>
    <t>현금의 증가감소</t>
    <phoneticPr fontId="9" type="noConversion"/>
  </si>
  <si>
    <t>기초현금및현금성자산</t>
    <phoneticPr fontId="9" type="noConversion"/>
  </si>
  <si>
    <t>기말현금및현금성자산</t>
    <phoneticPr fontId="9" type="noConversion"/>
  </si>
  <si>
    <t>유동성전환사채</t>
    <phoneticPr fontId="9" type="noConversion"/>
  </si>
  <si>
    <t>유무형자산취득</t>
    <phoneticPr fontId="9" type="noConversion"/>
  </si>
  <si>
    <t>단기금융상품</t>
    <phoneticPr fontId="9" type="noConversion"/>
  </si>
  <si>
    <t>유상증자</t>
    <phoneticPr fontId="9" type="noConversion"/>
  </si>
  <si>
    <t>전환사채상환</t>
    <phoneticPr fontId="9" type="noConversion"/>
  </si>
  <si>
    <t>단기금융상품 증감</t>
    <phoneticPr fontId="9" type="noConversion"/>
  </si>
  <si>
    <t>퇴직연금운용자산불입</t>
    <phoneticPr fontId="9" type="noConversion"/>
  </si>
  <si>
    <t>퇴직급여</t>
    <phoneticPr fontId="9" type="noConversion"/>
  </si>
  <si>
    <t>이자비용(현할차상각)</t>
    <phoneticPr fontId="9" type="noConversion"/>
  </si>
  <si>
    <t>유지 가정</t>
    <phoneticPr fontId="9" type="noConversion"/>
  </si>
  <si>
    <t>인건비</t>
    <phoneticPr fontId="9" type="noConversion"/>
  </si>
  <si>
    <t>영업외수익</t>
    <phoneticPr fontId="9" type="noConversion"/>
  </si>
  <si>
    <t>영업외비용</t>
    <phoneticPr fontId="9" type="noConversion"/>
  </si>
  <si>
    <t>영업이익</t>
    <phoneticPr fontId="9" type="noConversion"/>
  </si>
  <si>
    <t>Year</t>
    <phoneticPr fontId="9" type="noConversion"/>
  </si>
  <si>
    <t>인건비</t>
  </si>
  <si>
    <t>감가상각비</t>
    <phoneticPr fontId="10" type="noConversion"/>
  </si>
  <si>
    <t>매출</t>
    <phoneticPr fontId="9" type="noConversion"/>
  </si>
  <si>
    <t>구 분 </t>
  </si>
  <si>
    <t>유형자산</t>
    <phoneticPr fontId="10" type="noConversion"/>
  </si>
  <si>
    <t>무형자산</t>
    <phoneticPr fontId="10" type="noConversion"/>
  </si>
  <si>
    <t>광고선전비</t>
  </si>
  <si>
    <t>증가율</t>
    <phoneticPr fontId="9" type="noConversion"/>
  </si>
  <si>
    <t>미지급금</t>
    <phoneticPr fontId="9" type="noConversion"/>
  </si>
  <si>
    <t>매출대비</t>
    <phoneticPr fontId="9" type="noConversion"/>
  </si>
  <si>
    <t/>
  </si>
  <si>
    <t>2023년</t>
    <phoneticPr fontId="9" type="noConversion"/>
  </si>
  <si>
    <t>상품매출</t>
  </si>
  <si>
    <t>판관비</t>
  </si>
  <si>
    <t>지급수수료</t>
  </si>
  <si>
    <t>감가상각비</t>
  </si>
  <si>
    <t>기타변동비</t>
  </si>
  <si>
    <t>기타고정비</t>
  </si>
  <si>
    <t>물가상승률</t>
    <phoneticPr fontId="9" type="noConversion"/>
  </si>
  <si>
    <t>급여</t>
  </si>
  <si>
    <t>소프트웨어</t>
  </si>
  <si>
    <t>시설장치</t>
  </si>
  <si>
    <t>미수금</t>
    <phoneticPr fontId="9" type="noConversion"/>
  </si>
  <si>
    <t>매출</t>
  </si>
  <si>
    <t>매출원가</t>
  </si>
  <si>
    <t>명목임금 상승률</t>
  </si>
  <si>
    <t>소비자물가상승률</t>
  </si>
  <si>
    <t>추정연도</t>
    <phoneticPr fontId="9" type="noConversion"/>
  </si>
  <si>
    <t>EIU</t>
    <phoneticPr fontId="10" type="noConversion"/>
  </si>
  <si>
    <t>필러</t>
    <phoneticPr fontId="10" type="noConversion"/>
  </si>
  <si>
    <t>Youthfill(CE)</t>
    <phoneticPr fontId="10" type="noConversion"/>
  </si>
  <si>
    <t>SKIN BOOSTER</t>
  </si>
  <si>
    <t>상품매출원가</t>
    <phoneticPr fontId="10" type="noConversion"/>
  </si>
  <si>
    <t>판관비</t>
    <phoneticPr fontId="10" type="noConversion"/>
  </si>
  <si>
    <t>판관비 합계</t>
    <phoneticPr fontId="10" type="noConversion"/>
  </si>
  <si>
    <t>판매량 증가율</t>
    <phoneticPr fontId="9" type="noConversion"/>
  </si>
  <si>
    <t>회사계획</t>
    <phoneticPr fontId="10" type="noConversion"/>
  </si>
  <si>
    <t>재투자액</t>
    <phoneticPr fontId="10" type="noConversion"/>
  </si>
  <si>
    <t>구분 / 추정연차</t>
  </si>
  <si>
    <t>인원수 추정</t>
    <phoneticPr fontId="9" type="noConversion"/>
  </si>
  <si>
    <t>광고체감지수</t>
    <phoneticPr fontId="9" type="noConversion"/>
  </si>
  <si>
    <t>매출증가율</t>
    <phoneticPr fontId="9" type="noConversion"/>
  </si>
  <si>
    <t>SARDENYA</t>
    <phoneticPr fontId="10" type="noConversion"/>
  </si>
  <si>
    <t>YOUTHFILL</t>
    <phoneticPr fontId="10" type="noConversion"/>
  </si>
  <si>
    <t>OEM
(Dermalen)</t>
    <phoneticPr fontId="10" type="noConversion"/>
  </si>
  <si>
    <t>SKIN BOOSTER</t>
    <phoneticPr fontId="10" type="noConversion"/>
  </si>
  <si>
    <t>(단위: 천원)</t>
    <phoneticPr fontId="9" type="noConversion"/>
  </si>
  <si>
    <t>2024년</t>
  </si>
  <si>
    <t>2025년</t>
  </si>
  <si>
    <t>2026년</t>
  </si>
  <si>
    <t>2027년</t>
  </si>
  <si>
    <t>합 계</t>
    <phoneticPr fontId="9" type="noConversion"/>
  </si>
  <si>
    <t>2022년(A)</t>
    <phoneticPr fontId="9" type="noConversion"/>
  </si>
  <si>
    <t>상여</t>
  </si>
  <si>
    <t>잡급</t>
  </si>
  <si>
    <t>퇴직급여</t>
  </si>
  <si>
    <t>복리후생비</t>
  </si>
  <si>
    <t>비용항목</t>
    <phoneticPr fontId="9" type="noConversion"/>
  </si>
  <si>
    <t>여비교통비</t>
  </si>
  <si>
    <t>접대비</t>
  </si>
  <si>
    <t>세금과공과금</t>
  </si>
  <si>
    <t>보험료</t>
  </si>
  <si>
    <t>운반비</t>
  </si>
  <si>
    <t>도서인쇄비</t>
  </si>
  <si>
    <t>대손상각비</t>
  </si>
  <si>
    <t>견본비</t>
  </si>
  <si>
    <t>업무추진비</t>
  </si>
  <si>
    <t>구 분</t>
    <phoneticPr fontId="9" type="noConversion"/>
  </si>
  <si>
    <t>2023년말</t>
    <phoneticPr fontId="9" type="noConversion"/>
  </si>
  <si>
    <t>2024년말</t>
  </si>
  <si>
    <t>2025년말</t>
  </si>
  <si>
    <t>2026년말</t>
  </si>
  <si>
    <t>2027년말</t>
  </si>
  <si>
    <t>매출채권</t>
  </si>
  <si>
    <t>미수금</t>
  </si>
  <si>
    <t>상품</t>
  </si>
  <si>
    <t>선급금</t>
  </si>
  <si>
    <t>매입채무</t>
  </si>
  <si>
    <t>미지급금</t>
  </si>
  <si>
    <t>선수금</t>
  </si>
  <si>
    <t>기타보증금</t>
  </si>
  <si>
    <t>-</t>
    <phoneticPr fontId="9" type="noConversion"/>
  </si>
  <si>
    <t>JJH 보고서 표</t>
    <phoneticPr fontId="10" type="noConversion"/>
  </si>
  <si>
    <t>순운전자본-매출채권</t>
    <phoneticPr fontId="9" type="noConversion"/>
  </si>
  <si>
    <t>접대비/지급수수료체감지수</t>
    <phoneticPr fontId="9" type="noConversion"/>
  </si>
  <si>
    <t>명목임금 상승률 (급여)</t>
    <phoneticPr fontId="9" type="noConversion"/>
  </si>
  <si>
    <t>변동비</t>
  </si>
  <si>
    <t>고정비</t>
  </si>
  <si>
    <t>상품매출원가</t>
  </si>
  <si>
    <t>통신비</t>
  </si>
  <si>
    <t>교육훈련비</t>
  </si>
  <si>
    <t>수선비</t>
  </si>
  <si>
    <t>소모품비</t>
  </si>
  <si>
    <t>수도광열비</t>
  </si>
  <si>
    <t>지급임차료</t>
  </si>
  <si>
    <t>차량유지비</t>
  </si>
  <si>
    <t>고정비</t>
    <phoneticPr fontId="9" type="noConversion"/>
  </si>
  <si>
    <t>소비자물가상승률 (급여 외)</t>
    <phoneticPr fontId="9" type="noConversion"/>
  </si>
  <si>
    <t>&lt;가정&gt;</t>
    <phoneticPr fontId="9" type="noConversion"/>
  </si>
  <si>
    <t>추세</t>
    <phoneticPr fontId="9" type="noConversion"/>
  </si>
  <si>
    <t>2024년</t>
    <phoneticPr fontId="9" type="noConversion"/>
  </si>
  <si>
    <t>(단위 : 원)</t>
  </si>
  <si>
    <t>수도광열비</t>
    <phoneticPr fontId="10" type="noConversion"/>
  </si>
  <si>
    <t>전력비</t>
    <phoneticPr fontId="10" type="noConversion"/>
  </si>
  <si>
    <t>복리후생비</t>
    <phoneticPr fontId="10" type="noConversion"/>
  </si>
  <si>
    <t>폐점</t>
    <phoneticPr fontId="9" type="noConversion"/>
  </si>
  <si>
    <t>주방기구</t>
    <phoneticPr fontId="9" type="noConversion"/>
  </si>
  <si>
    <t>2028년</t>
  </si>
  <si>
    <t>과목</t>
    <phoneticPr fontId="10" type="noConversion"/>
  </si>
  <si>
    <t>To DCF</t>
    <phoneticPr fontId="9" type="noConversion"/>
  </si>
  <si>
    <t>2024년5개월(A)</t>
    <phoneticPr fontId="9" type="noConversion"/>
  </si>
  <si>
    <t>2024년7개월(F)</t>
    <phoneticPr fontId="9" type="noConversion"/>
  </si>
  <si>
    <t>음식매출</t>
  </si>
  <si>
    <t>하기 메모 참조.</t>
    <phoneticPr fontId="9" type="noConversion"/>
  </si>
  <si>
    <t>&lt;고려사항&gt;</t>
    <phoneticPr fontId="9" type="noConversion"/>
  </si>
  <si>
    <t>IR보고서상 매출 및 전기 평가보고서 사례와 비교 분석함.</t>
    <phoneticPr fontId="9" type="noConversion"/>
  </si>
  <si>
    <t>사업계획</t>
    <phoneticPr fontId="9" type="noConversion"/>
  </si>
  <si>
    <t>IR보고서</t>
    <phoneticPr fontId="9" type="noConversion"/>
  </si>
  <si>
    <t>전기 평가보고서 사례</t>
    <phoneticPr fontId="9" type="noConversion"/>
  </si>
  <si>
    <t>2024년 5월까지의 실적을 고려할 때, IR보고서로부터 역산한 매출추정액이 가장 현실적인 것으로 판단됨.</t>
    <phoneticPr fontId="9" type="noConversion"/>
  </si>
  <si>
    <t>조정 (Down) 비율</t>
    <phoneticPr fontId="9" type="noConversion"/>
  </si>
  <si>
    <t>추정치 조정</t>
    <phoneticPr fontId="9" type="noConversion"/>
  </si>
  <si>
    <t>음식매출원가</t>
  </si>
  <si>
    <t>하기 메모 참조</t>
    <phoneticPr fontId="9" type="noConversion"/>
  </si>
  <si>
    <t>구분</t>
    <phoneticPr fontId="9" type="noConversion"/>
  </si>
  <si>
    <t>전력비</t>
  </si>
  <si>
    <t>사업계획, IR보고서 및 전기평가보고서 사례와 비교분석하여 매출추정치 조정을 고려해야함. 하기 메모 참조.</t>
    <phoneticPr fontId="9" type="noConversion"/>
  </si>
  <si>
    <t>&lt;A&gt;</t>
    <phoneticPr fontId="9" type="noConversion"/>
  </si>
  <si>
    <t>&lt;B&gt;</t>
    <phoneticPr fontId="9" type="noConversion"/>
  </si>
  <si>
    <t>음식매출은 사실상 중단된 것으로 판단되어, 추정매출에서 제외함.</t>
    <phoneticPr fontId="9" type="noConversion"/>
  </si>
  <si>
    <t>사업계획</t>
    <phoneticPr fontId="9" type="noConversion"/>
  </si>
  <si>
    <t>광고비매출은 수익과 비용이 동일한 금액이 반영되어 있어, 영업이익에 영향을 주지 않고 있음. 매출비례 항목에 영향을 주지 않기 위해 제외함.</t>
    <phoneticPr fontId="9" type="noConversion"/>
  </si>
  <si>
    <t>직원급여</t>
    <phoneticPr fontId="9" type="noConversion"/>
  </si>
  <si>
    <t>복리후생비</t>
    <phoneticPr fontId="9" type="noConversion"/>
  </si>
  <si>
    <t>소모품비</t>
    <phoneticPr fontId="9" type="noConversion"/>
  </si>
  <si>
    <t>지급수수료</t>
    <phoneticPr fontId="9" type="noConversion"/>
  </si>
  <si>
    <t>판매촉진비</t>
  </si>
  <si>
    <t>건물관리비</t>
  </si>
  <si>
    <t>잡비</t>
  </si>
  <si>
    <t>제수당</t>
  </si>
  <si>
    <t>변동비</t>
    <phoneticPr fontId="9" type="noConversion"/>
  </si>
  <si>
    <t>본지점</t>
    <phoneticPr fontId="9" type="noConversion"/>
  </si>
  <si>
    <t>추정</t>
    <phoneticPr fontId="9" type="noConversion"/>
  </si>
  <si>
    <t>복구충당부채</t>
  </si>
  <si>
    <t>&lt;가정&gt;</t>
    <phoneticPr fontId="9" type="noConversion"/>
  </si>
  <si>
    <t>직전연도 감가상각비만큼 재투자되는 것으로 가정함.</t>
    <phoneticPr fontId="9" type="noConversion"/>
  </si>
  <si>
    <t>Capex</t>
    <phoneticPr fontId="9" type="noConversion"/>
  </si>
  <si>
    <t>상각비</t>
    <phoneticPr fontId="9" type="noConversion"/>
  </si>
  <si>
    <t>Spread</t>
    <phoneticPr fontId="9" type="noConversion"/>
  </si>
  <si>
    <t>차량운반구</t>
  </si>
  <si>
    <t>기타의유형자산</t>
  </si>
  <si>
    <t>사용권자산</t>
  </si>
  <si>
    <t>내용연수</t>
    <phoneticPr fontId="9" type="noConversion"/>
  </si>
  <si>
    <t>Various</t>
    <phoneticPr fontId="9" type="noConversion"/>
  </si>
  <si>
    <t>취득가액</t>
    <phoneticPr fontId="9" type="noConversion"/>
  </si>
  <si>
    <t>장부금액</t>
    <phoneticPr fontId="9" type="noConversion"/>
  </si>
  <si>
    <t>연 상각액</t>
    <phoneticPr fontId="9" type="noConversion"/>
  </si>
  <si>
    <t>신규투자</t>
    <phoneticPr fontId="9" type="noConversion"/>
  </si>
  <si>
    <t>2024년 상각비로 환산</t>
    <phoneticPr fontId="9" type="noConversion"/>
  </si>
  <si>
    <t>기존자산 상각비</t>
    <phoneticPr fontId="9" type="noConversion"/>
  </si>
  <si>
    <t>신규자산 상각비</t>
    <phoneticPr fontId="9" type="noConversion"/>
  </si>
  <si>
    <t>유형자산</t>
    <phoneticPr fontId="9" type="noConversion"/>
  </si>
  <si>
    <t>무형자산</t>
    <phoneticPr fontId="9" type="noConversion"/>
  </si>
  <si>
    <t>고객관리 상각액은 판관비 등으로 지출되므로, 재투자 가정에 포함하지 않음.</t>
    <phoneticPr fontId="9" type="noConversion"/>
  </si>
  <si>
    <t>1호점</t>
    <phoneticPr fontId="9" type="noConversion"/>
  </si>
  <si>
    <t>3호점</t>
  </si>
  <si>
    <t>4호점</t>
  </si>
  <si>
    <t>5호점</t>
  </si>
  <si>
    <t>6호점</t>
  </si>
  <si>
    <t>7호점</t>
  </si>
  <si>
    <t>8호점</t>
  </si>
  <si>
    <t>9호점</t>
  </si>
  <si>
    <t>10호점</t>
  </si>
  <si>
    <t>11호점</t>
  </si>
  <si>
    <t>12호점</t>
  </si>
  <si>
    <t>13호점</t>
  </si>
  <si>
    <t>실적</t>
    <phoneticPr fontId="9" type="noConversion"/>
  </si>
  <si>
    <t>손   익   계   산   서
(분할전 법인 전체)</t>
    <phoneticPr fontId="10" type="noConversion"/>
  </si>
  <si>
    <t>손   익   계   산   서
(식음료 사업 부문)</t>
    <phoneticPr fontId="10" type="noConversion"/>
  </si>
  <si>
    <t>제 25(당)기 2023년  1월  1일부터  2023년 12월 31일까지</t>
    <phoneticPr fontId="10" type="noConversion"/>
  </si>
  <si>
    <t>2023년  1월  1일부터  2023년 12월 31일까지</t>
    <phoneticPr fontId="10" type="noConversion"/>
  </si>
  <si>
    <t>회사명:진경산업(주)본점</t>
  </si>
  <si>
    <t xml:space="preserve"> </t>
    <phoneticPr fontId="10" type="noConversion"/>
  </si>
  <si>
    <t>회사명 : 고든램지 레스토랑</t>
    <phoneticPr fontId="10" type="noConversion"/>
  </si>
  <si>
    <t>과목</t>
  </si>
  <si>
    <t>회사 전체</t>
    <phoneticPr fontId="10" type="noConversion"/>
  </si>
  <si>
    <t>R&amp;D dep.</t>
    <phoneticPr fontId="10" type="noConversion"/>
  </si>
  <si>
    <t>식음료 사업 부문</t>
    <phoneticPr fontId="10" type="noConversion"/>
  </si>
  <si>
    <t>대사 검증</t>
    <phoneticPr fontId="10" type="noConversion"/>
  </si>
  <si>
    <t>2023.12.31</t>
    <phoneticPr fontId="10" type="noConversion"/>
  </si>
  <si>
    <t>HQ</t>
    <phoneticPr fontId="10" type="noConversion"/>
  </si>
  <si>
    <t>1호점(잠실)</t>
    <phoneticPr fontId="10" type="noConversion"/>
  </si>
  <si>
    <t>2호점(서울숲)</t>
    <phoneticPr fontId="10" type="noConversion"/>
  </si>
  <si>
    <t>3호점(삼성동)</t>
    <phoneticPr fontId="10" type="noConversion"/>
  </si>
  <si>
    <t>4호점(부산)</t>
    <phoneticPr fontId="10" type="noConversion"/>
  </si>
  <si>
    <t>5호점(인천)</t>
    <phoneticPr fontId="10" type="noConversion"/>
  </si>
  <si>
    <t>영업점별IS 금액</t>
    <phoneticPr fontId="10" type="noConversion"/>
  </si>
  <si>
    <t>차이</t>
    <phoneticPr fontId="10" type="noConversion"/>
  </si>
  <si>
    <t>Ⅰ.매출액</t>
  </si>
  <si>
    <t>별첨5 참조</t>
    <phoneticPr fontId="10" type="noConversion"/>
  </si>
  <si>
    <t>임대료수입</t>
  </si>
  <si>
    <t>Ⅱ.매출원가</t>
  </si>
  <si>
    <t>Ⅱ.매출원가</t>
    <phoneticPr fontId="10" type="noConversion"/>
  </si>
  <si>
    <t>기초상품재고액</t>
  </si>
  <si>
    <t>당기상품매입액</t>
  </si>
  <si>
    <t>상품평가손실환입</t>
  </si>
  <si>
    <t>기말상품재고액</t>
  </si>
  <si>
    <t xml:space="preserve">  식재료 매출원가</t>
    <phoneticPr fontId="10" type="noConversion"/>
  </si>
  <si>
    <t>기초음식재고액</t>
  </si>
  <si>
    <t>기초식재료재고액</t>
    <phoneticPr fontId="10" type="noConversion"/>
  </si>
  <si>
    <t>당기음식제조원가</t>
  </si>
  <si>
    <t>당기 식재료 매입액</t>
    <phoneticPr fontId="10" type="noConversion"/>
  </si>
  <si>
    <t>기말음식재고액</t>
  </si>
  <si>
    <t>기말식재료재고액</t>
    <phoneticPr fontId="10" type="noConversion"/>
  </si>
  <si>
    <t>Ⅲ.매출총이익</t>
  </si>
  <si>
    <t>Ⅳ.판매비와관리비</t>
  </si>
  <si>
    <t>Ⅳ.판매비와관리비
(+제조 노무비,경비)</t>
    <phoneticPr fontId="10" type="noConversion"/>
  </si>
  <si>
    <t>직원급여</t>
    <phoneticPr fontId="10" type="noConversion"/>
  </si>
  <si>
    <t>상여금</t>
    <phoneticPr fontId="10" type="noConversion"/>
  </si>
  <si>
    <t>상여금,제수당,잡급,퇴직연금,퇴직급여 소계</t>
    <phoneticPr fontId="10" type="noConversion"/>
  </si>
  <si>
    <t>제수당</t>
    <phoneticPr fontId="10" type="noConversion"/>
  </si>
  <si>
    <t>잡급</t>
    <phoneticPr fontId="10" type="noConversion"/>
  </si>
  <si>
    <t>직원급여 대비 비중</t>
    <phoneticPr fontId="10" type="noConversion"/>
  </si>
  <si>
    <t>퇴직연금</t>
  </si>
  <si>
    <t>퇴직연금</t>
    <phoneticPr fontId="10" type="noConversion"/>
  </si>
  <si>
    <t>퇴직급여</t>
    <phoneticPr fontId="10" type="noConversion"/>
  </si>
  <si>
    <t>2024년도 인건비 추정 근거로 사용</t>
    <phoneticPr fontId="10" type="noConversion"/>
  </si>
  <si>
    <t>(To. 2024년 영업점별 실적 sheet)</t>
    <phoneticPr fontId="10" type="noConversion"/>
  </si>
  <si>
    <t>여비교통비</t>
    <phoneticPr fontId="10" type="noConversion"/>
  </si>
  <si>
    <t>접대비</t>
    <phoneticPr fontId="10" type="noConversion"/>
  </si>
  <si>
    <t>통신비</t>
    <phoneticPr fontId="10" type="noConversion"/>
  </si>
  <si>
    <t>세금과공과금</t>
    <phoneticPr fontId="10" type="noConversion"/>
  </si>
  <si>
    <t>지급임차료</t>
    <phoneticPr fontId="10" type="noConversion"/>
  </si>
  <si>
    <t>수선비</t>
    <phoneticPr fontId="10" type="noConversion"/>
  </si>
  <si>
    <t>보험료</t>
    <phoneticPr fontId="10" type="noConversion"/>
  </si>
  <si>
    <t>차량유지비</t>
    <phoneticPr fontId="10" type="noConversion"/>
  </si>
  <si>
    <t>경상연구개발비</t>
  </si>
  <si>
    <t>경상연구개발비</t>
    <phoneticPr fontId="10" type="noConversion"/>
  </si>
  <si>
    <t>운반비</t>
    <phoneticPr fontId="10" type="noConversion"/>
  </si>
  <si>
    <t>교육훈련비</t>
    <phoneticPr fontId="10" type="noConversion"/>
  </si>
  <si>
    <t>도서인쇄비</t>
    <phoneticPr fontId="10" type="noConversion"/>
  </si>
  <si>
    <t>포장비</t>
  </si>
  <si>
    <t>포장비</t>
    <phoneticPr fontId="10" type="noConversion"/>
  </si>
  <si>
    <t>사무용품비</t>
  </si>
  <si>
    <t>사무용품비</t>
    <phoneticPr fontId="10" type="noConversion"/>
  </si>
  <si>
    <t>소모품비</t>
    <phoneticPr fontId="10" type="noConversion"/>
  </si>
  <si>
    <t>지급수수료</t>
    <phoneticPr fontId="10" type="noConversion"/>
  </si>
  <si>
    <t>광고선전비</t>
    <phoneticPr fontId="10" type="noConversion"/>
  </si>
  <si>
    <t>판매촉진비</t>
    <phoneticPr fontId="10" type="noConversion"/>
  </si>
  <si>
    <t>대손상각비</t>
    <phoneticPr fontId="10" type="noConversion"/>
  </si>
  <si>
    <t>건물관리비</t>
    <phoneticPr fontId="10" type="noConversion"/>
  </si>
  <si>
    <t>수출제비용</t>
  </si>
  <si>
    <t>수출제비용</t>
    <phoneticPr fontId="10" type="noConversion"/>
  </si>
  <si>
    <t>판매수수료</t>
  </si>
  <si>
    <t>판매수수료</t>
    <phoneticPr fontId="10" type="noConversion"/>
  </si>
  <si>
    <t>무형고정자산상각</t>
  </si>
  <si>
    <t>무형고정자산상각</t>
    <phoneticPr fontId="10" type="noConversion"/>
  </si>
  <si>
    <t>견본비</t>
    <phoneticPr fontId="10" type="noConversion"/>
  </si>
  <si>
    <t>해외접대비</t>
  </si>
  <si>
    <t>해외접대비</t>
    <phoneticPr fontId="10" type="noConversion"/>
  </si>
  <si>
    <t>해외출장비</t>
  </si>
  <si>
    <t>해외출장비</t>
    <phoneticPr fontId="10" type="noConversion"/>
  </si>
  <si>
    <t>잡비</t>
    <phoneticPr fontId="10" type="noConversion"/>
  </si>
  <si>
    <t>차량리스료</t>
  </si>
  <si>
    <t>차량리스료</t>
    <phoneticPr fontId="10" type="noConversion"/>
  </si>
  <si>
    <t>Ⅴ.영업이익</t>
  </si>
  <si>
    <t>Ⅵ.영업외수익</t>
  </si>
  <si>
    <t>이자수익</t>
  </si>
  <si>
    <t>단기투자자산평가익</t>
  </si>
  <si>
    <t>외환차익</t>
  </si>
  <si>
    <t>외화환산이익</t>
  </si>
  <si>
    <t>유형자산처분이익</t>
  </si>
  <si>
    <t>투자자산처분이익</t>
    <phoneticPr fontId="10" type="noConversion"/>
  </si>
  <si>
    <t>잡이익</t>
  </si>
  <si>
    <t>Ⅶ.영업외비용</t>
  </si>
  <si>
    <t>이자비용</t>
  </si>
  <si>
    <t>외환차손</t>
  </si>
  <si>
    <t>기부금</t>
  </si>
  <si>
    <t>외화환산손실</t>
  </si>
  <si>
    <t>유형자산처분손실</t>
  </si>
  <si>
    <t>잡손실</t>
  </si>
  <si>
    <t>Ⅷ.법인세차감전이익</t>
  </si>
  <si>
    <t>Ⅸ.법인세등</t>
  </si>
  <si>
    <t>법인세비용</t>
  </si>
  <si>
    <t>Ⅹ.당기순이익</t>
  </si>
  <si>
    <t>Ⅹ. (가) 당기순이익</t>
    <phoneticPr fontId="10" type="noConversion"/>
  </si>
  <si>
    <t>2023년 식음료사업부문 결산 실적 분석</t>
    <phoneticPr fontId="10" type="noConversion"/>
  </si>
  <si>
    <t>(단위 : 원)</t>
    <phoneticPr fontId="10" type="noConversion"/>
  </si>
  <si>
    <t>구분</t>
    <phoneticPr fontId="10" type="noConversion"/>
  </si>
  <si>
    <t>식음료사업 계</t>
    <phoneticPr fontId="10" type="noConversion"/>
  </si>
  <si>
    <t>2호점(성수)</t>
    <phoneticPr fontId="10" type="noConversion"/>
  </si>
  <si>
    <t xml:space="preserve">  결산서상의 당기순이익</t>
    <phoneticPr fontId="10" type="noConversion"/>
  </si>
  <si>
    <t>(가산) 감가상각변경효과
        (정률법 --&gt; 정액법)</t>
    <phoneticPr fontId="10" type="noConversion"/>
  </si>
  <si>
    <t xml:space="preserve">  상각비 조정후 당기순이익</t>
    <phoneticPr fontId="10" type="noConversion"/>
  </si>
  <si>
    <t xml:space="preserve">Burger </t>
  </si>
  <si>
    <t>Side</t>
  </si>
  <si>
    <t>Drinks</t>
  </si>
  <si>
    <t>Others</t>
  </si>
  <si>
    <t>판매량합계</t>
    <phoneticPr fontId="9" type="noConversion"/>
  </si>
  <si>
    <t>판매단가</t>
    <phoneticPr fontId="9" type="noConversion"/>
  </si>
  <si>
    <t>2024년 제품별 판매단가는 2023년 제품별 판매단가 수준으로 유지됨을 가정하였으며, 2025년 이후 제품별 판매단가는 평가대상 회사의 영업 특성상 인건비가 영업비용에서 차지</t>
    <phoneticPr fontId="9" type="noConversion"/>
  </si>
  <si>
    <t>하는 비중이 크므로 제품별 판매단가가 2025년 이후 EIU 제시 명목임금상승율만큼 증가함을 가정하였습니다.</t>
    <phoneticPr fontId="9" type="noConversion"/>
  </si>
  <si>
    <t>(단위: 원)</t>
    <phoneticPr fontId="9" type="noConversion"/>
  </si>
  <si>
    <t>판매량</t>
    <phoneticPr fontId="9" type="noConversion"/>
  </si>
  <si>
    <t>정하였습니다.</t>
  </si>
  <si>
    <t>평가기준일 기준 1호점은 오픈 3년차로 2024년 판매량은 2024년 1분기 판매량 수준으로 발생함을 가정하였으며, 2025년부터 2028년 판매량은 2024년 판매량 수준으로 유지됨을 가정하였습니다.</t>
    <phoneticPr fontId="9" type="noConversion"/>
  </si>
  <si>
    <t>1호점매출액</t>
    <phoneticPr fontId="9" type="noConversion"/>
  </si>
  <si>
    <t>(단위: 백만원)</t>
    <phoneticPr fontId="9" type="noConversion"/>
  </si>
  <si>
    <t>매출합계</t>
    <phoneticPr fontId="9" type="noConversion"/>
  </si>
  <si>
    <t>2호점_페점</t>
    <phoneticPr fontId="9" type="noConversion"/>
  </si>
  <si>
    <t>3호점매출액</t>
    <phoneticPr fontId="9" type="noConversion"/>
  </si>
  <si>
    <t>2028년 판매량은 2024년 판매량 수준으로 유지됨을 가정하였습니다.</t>
  </si>
  <si>
    <t>평가기준일 기준 3호점은 오픈 2년차로 2023년 3월~12월 오픈효과 후 판매량 감소세에 있어, 2024년 판매량은 2024년 1분기 판매량 수준으로 발생함을 가정하였으며, 2025년부터 2028년 판매량은 2024년 판매량 수준으로 유지됨을 가정하였습니다.</t>
    <phoneticPr fontId="9" type="noConversion"/>
  </si>
  <si>
    <t>Burger set</t>
  </si>
  <si>
    <t>Burger set</t>
    <phoneticPr fontId="9" type="noConversion"/>
  </si>
  <si>
    <t>EIU 제시 명목임금상승율만큼 증가함을 가정하였습니다.</t>
  </si>
  <si>
    <t>2024년 제품별 판매단가는 2023년 4월부터 2024년 3월까지의 오픈이후 최근 제품별 판매단가 수준으로 유지됨을 가정하였으며, 2025년 이후 제품별 판매단가는 평가대상 회사의 영업 특성상 인건비가 영업비용에서 차지하는 비중이 크므로 제품별 판매단가가 2025년 이후</t>
    <phoneticPr fontId="9" type="noConversion"/>
  </si>
  <si>
    <t>2호점</t>
    <phoneticPr fontId="9" type="noConversion"/>
  </si>
  <si>
    <t>2024년(F)</t>
    <phoneticPr fontId="9" type="noConversion"/>
  </si>
  <si>
    <t>4호점매출액</t>
    <phoneticPr fontId="9" type="noConversion"/>
  </si>
  <si>
    <t>평가기준일 기준 4호점은 오픈 2년차로 2023년 6월~12월 오픈효과 후 판매량 감소세에 있어, 2024년 판매량은 2024년 1분기 판매량 수준으로 발생함을 가정하였으며, 2025년부터</t>
    <phoneticPr fontId="9" type="noConversion"/>
  </si>
  <si>
    <t>2024년 제품별 판매단가는 2023년 7월부터 2024년 3월까지의 오픈이후 최근 제품별 판매단가 수준으로 유지됨을 가정하였으며, 2025년 이후 제품별 판매단가는 평가대상 회사의 영업 특성상 인건비가 영업비용에서 차지하는 비중이 크므로 제품별 판매단가가 2025년 이후</t>
    <phoneticPr fontId="9" type="noConversion"/>
  </si>
  <si>
    <t>5호점매출액</t>
    <phoneticPr fontId="9" type="noConversion"/>
  </si>
  <si>
    <t>습니다. 이후 2026년부터 2028년까지는 2025년 판매량 수준으로 유지됨을 가정하였습니다</t>
  </si>
  <si>
    <t>평가기준일 기준 5호점은 오픈 2년차나 2023년 12월 중 오픈으로 2024년 판매량은 오픈효과 반영하기 위해 2024년 1분기 판매량 수준으로 발생함을 가정하였습니다. 다만, 5호점은</t>
    <phoneticPr fontId="9" type="noConversion"/>
  </si>
  <si>
    <t>2023년 12월 중 오픈으로 오픈효과 후 판매량 감소를 2025년에 반영하였으며, 2025년 판매량은 Street Burger 매장인 3호점의 오픈 2년차 제품별 판매량 감소율 반영하여 추정하였</t>
    <phoneticPr fontId="9" type="noConversion"/>
  </si>
  <si>
    <t>2024년 제품별 판매단가는 2024년 1분기 제품별 판매단가 수준을 가정하였으며, 2025년</t>
  </si>
  <si>
    <t>이후 제품별 판매단가는 평가대상 회사의 영업 특성상 인건비가 영업비용에서 차지하는 비</t>
  </si>
  <si>
    <t>중이 크므로 제품별 판매단가가 2025년 이후 EIU 제시 명목임금상승율만큼 증가함을 가정</t>
  </si>
  <si>
    <t>하였습니다.</t>
  </si>
  <si>
    <t>6호점매출액</t>
    <phoneticPr fontId="9" type="noConversion"/>
  </si>
  <si>
    <t>6호점은 Street Burger 매장으로 운영될 예정입니다. 판매량은 5호점의 오픈 연차별 판매량</t>
  </si>
  <si>
    <t>을 준용하였으며, 오픈 2년차에 오픈효과 감소에 따른 판매량 감소와 이후기간 판매량 정상</t>
  </si>
  <si>
    <t>화를 가정하였습니다. 이에따라, 오픈 1년차 판매량은 6호점의 판매량 준용 지점인 5호점의</t>
  </si>
  <si>
    <t>오픈 1년차 판매량에 오픈연도 운영월수(5개월)에 따른 월할 추정을 가정하였으며, 오픈 2년</t>
  </si>
  <si>
    <t>차 판매량은 5호점의 오픈 1년차 판매량에 운영월수(7개월)에 따른 판매량과 5호점의 오픈</t>
  </si>
  <si>
    <t>2년차 판매량에 운영월수(5개월)에 따른 판매량의 합으로 가정하였습니다. 오픈 3년차 이후</t>
  </si>
  <si>
    <t>판매량 추정 또한 5호점 오픈연차별 판매량에 운영월수에 따른 판매량의 합으로 가정하였습</t>
  </si>
  <si>
    <t>니다.</t>
  </si>
  <si>
    <t>6호점 제품별 판매단가는 5호점 연도별 판매단가를 준용하였으며, 향후(2024년~2028년)</t>
  </si>
  <si>
    <t>판매단가 추정내역은 다음과 같습니다.</t>
  </si>
  <si>
    <t>7호점매출액</t>
    <phoneticPr fontId="9" type="noConversion"/>
  </si>
  <si>
    <t>7호점은 Premium Burger 매장으로 운영될 예정입니다. 판매량은 1호점의 오픈 연차별 판</t>
  </si>
  <si>
    <t>매량을 준용하였으며, 오픈 2년차에 오픈효과 감소에 따른 판매량 감소와 이후기간 판매량</t>
  </si>
  <si>
    <t>정상화를 가정하였습니다. 이에따라, 오픈 1년차 판매량은 7호점의 판매량 준용 지점인 1호</t>
  </si>
  <si>
    <t>점의 오픈 1년차 판매량에 오픈연도 운영월수(1개월)에 따른 월할 추정을 가정하였으며, 오</t>
  </si>
  <si>
    <t>픈 2년차 판매량은 1호점의 오픈 1년차 판매량에 운영월수(11개월)에 따른 판매량과 1호점</t>
  </si>
  <si>
    <t>의 오픈 2년차 판매량에 운영월수(1개월)에 따른 판매량의 합으로 가정하였습니다. 오픈 3년</t>
  </si>
  <si>
    <t>차 이후 판매량 추정 또한 1호점 오픈연차별 판매량에 운영월수에 따른 판매량의 합으로 가</t>
  </si>
  <si>
    <t>7호점 제품별 판매단가는 1호점 연도별 판매단가를 준용하였으며, 향후(2024년~2028년)</t>
  </si>
  <si>
    <t>8호점매출액</t>
    <phoneticPr fontId="9" type="noConversion"/>
  </si>
  <si>
    <t>8호점은 Street Burger 매장으로 운영될 예정입니다. 판매량은 5호점의 오픈 연차별 판매량</t>
  </si>
  <si>
    <t>화를 가정하였습니다. 이에따라, 오픈 1년차 판매량은 8호점의 판매량 준용 지점인 5호점의</t>
  </si>
  <si>
    <t>오픈 1년차 판매량에 오픈연도 운영월수(7개월)에 따른 월할 추정을 가정하였으며, 오픈 2년</t>
  </si>
  <si>
    <t>차 판매량은 5호점의 오픈 1년차 판매량에 운영월수(5개월)에 따른 판매량과 5호점의 오픈</t>
  </si>
  <si>
    <t>2년차 판매량에 운영월수(7개월)에 따른 판매량의 합으로 가정하였습니다. 오픈 3년차 이후</t>
  </si>
  <si>
    <t>8호점 제품별 판매단가는 5호점 연도별 판매단가를 준용하였으며, 향후(2024년~2028년)</t>
  </si>
  <si>
    <t>9호점매출액</t>
    <phoneticPr fontId="9" type="noConversion"/>
  </si>
  <si>
    <t>9호점은 Street Burger 매장으로 운영될 예정입니다. 판매량은 5호점의 오픈 연차별 판매량</t>
  </si>
  <si>
    <t>화를 가정하였습니다. 이에따라, 오픈 1년차 판매량은 9호점의 판매량 준용 지점인 5호점의</t>
  </si>
  <si>
    <t>오픈 1년차 판매량에 오픈연도 운영월수(1개월)에 따른 월할 추정을 가정하였으며, 오픈 2년</t>
  </si>
  <si>
    <t>차 판매량은 5호점의 오픈 1년차 판매량에 운영월수(11개월)에 따른 판매량과 5호점의 오픈</t>
  </si>
  <si>
    <t>2년차 판매량에 운영월수(1개월)에 따른 판매량의 합으로 가정하였습니다. 오픈 3년차 이후</t>
  </si>
  <si>
    <t>9호점 제품별 판매단가는 5호점 연도별 판매단가를 준용하였으며, 향후(2024년~2028년)</t>
  </si>
  <si>
    <t>10호점매출액</t>
    <phoneticPr fontId="9" type="noConversion"/>
  </si>
  <si>
    <t>10호점은 Street Burger 매장으로 운영될 예정입니다. 판매량은 5호점의 오픈 연차별 판매</t>
  </si>
  <si>
    <t>량을 준용하였으며, 오픈 2년차에 오픈효과 감소에 따른 판매량 감소와 이후기간 판매량 정</t>
  </si>
  <si>
    <t>상화를 가정하였습니다. 이에따라, 오픈 1년차 판매량은 10호점의 판매량 준용 지점인 5호</t>
  </si>
  <si>
    <t>점의 오픈 1년차 판매량에 오픈연도 운영월수(7개월)에 따른 월할 추정을 가정하였으며, 오</t>
  </si>
  <si>
    <t>픈 2년차 판매량은 5호점의 오픈 1년차 판매량에 운영월수(5개월)에 따른 판매량과 5호점의</t>
  </si>
  <si>
    <t>오픈 2년차 판매량에 운영월수(7개월)에 따른 판매량의 합으로 가정하였습니다. 오픈 3년차</t>
  </si>
  <si>
    <t>이후 판매량 추정 또한 5호점 오픈연차별 판매량에 운영월수에 따른 판매량의 합으로 가정</t>
  </si>
  <si>
    <t>10호점 제품별 판매단가는 5호점 연도별 판매단가를 준용하였으며, 향후(2024년~2028년)</t>
  </si>
  <si>
    <t>11호점매출액</t>
    <phoneticPr fontId="9" type="noConversion"/>
  </si>
  <si>
    <t>11호점은 Street Burger 매장으로 운영될 예정입니다. 판매량은 5호점의 오픈 연차별 판매</t>
  </si>
  <si>
    <t>상화를 가정하였습니다. 이에따라, 오픈 1년차 판매량은 11호점의 판매량 준용 지점인 5호</t>
  </si>
  <si>
    <t>픈 2년차 판매량은 5호점의 오픈 1년차 판매량에 운영월수(11개월)에 따른 판매량과 5호점</t>
  </si>
  <si>
    <t>차 이후 판매량 추정 또한 5호점 오픈연차별 판매량에 운영월수에 따른 판매량의 합으로 가</t>
  </si>
  <si>
    <t>11호점 제품별 판매단가는 5호점 연도별 판매단가를 준용하였으며, 향후(2024년~2028년)</t>
  </si>
  <si>
    <t>12호점매출액</t>
    <phoneticPr fontId="9" type="noConversion"/>
  </si>
  <si>
    <t>12호점은 Street Burger 매장으로 운영될 예정입니다. 판매량은 5호점의 오픈 연차별 판매</t>
  </si>
  <si>
    <t>상화를 가정하였습니다. 이에따라, 오픈 1년차 판매량은 12호점의 판매량 준용 지점인 5호</t>
  </si>
  <si>
    <t>13호점매출액</t>
    <phoneticPr fontId="9" type="noConversion"/>
  </si>
  <si>
    <t>13호점은 Street Burger 매장으로 운영될 예정입니다. 판매량은 5호점의 오픈 연차별 판매</t>
  </si>
  <si>
    <t>상화를 가정하였습니다. 이에따라, 오픈 1년차 판매량은 13호점의 판매량 준용 지점인 5호</t>
  </si>
  <si>
    <t>13호점 제품별 판매단가는 5호점 연도별 판매단가를 준용하였으며, 향후(2024년~2028년)</t>
  </si>
  <si>
    <t>12호점 제품별 판매단가는 5호점 연도별 판매단가를 준용하였으며, 향후(2024년~2028년)</t>
  </si>
  <si>
    <t>지점별 매출</t>
    <phoneticPr fontId="9" type="noConversion"/>
  </si>
  <si>
    <t>1호점</t>
  </si>
  <si>
    <t>2호점</t>
  </si>
  <si>
    <t>평가기준일현재 폐점하였습니다.</t>
    <phoneticPr fontId="9" type="noConversion"/>
  </si>
  <si>
    <t>평가기준일 기준 3호점은 오픈 2년차로 2023년 3월~12월 오픈효과 후 판매량 감소세에 있어, 2024년 판매량은 2024년 1분기 판매량 수준으로 발생함을 가정하였으며, 2025년부터 2028년 판매량은 2024년 판매량 수준으로 유지됨을 가정하였습니다.</t>
  </si>
  <si>
    <t>평가기준일 기준 4호점은 오픈 2년차로 2023년 6월~12월 오픈효과 후 판매량 감소세에 있어, 2024년 판매량은 2024년 1분기 판매량 수준으로 발생함을 가정하였으며, 2025년부터 2028년 판매량은 2024년 판매량 수준으로 유지됨을 가정하였습니다.</t>
    <phoneticPr fontId="9" type="noConversion"/>
  </si>
  <si>
    <t>평가기준일 기준 5호점은 오픈 2년차나 2023년 12월 중 오픈으로 2024년 판매량은 오픈효과 반영하기 위해 2024년 1분기 판매량 수준으로 발생함을 가정하였습니다. 다만, 5호점은 2023년 12월 중 오픈으로 오픈효과 후 판매량 감소를 2025년에 반영하였으며, 2025년 판매량은 Street Burger 매장인 3호점의 오픈 2년차 제품별 판매량 감소율 반영하여 추정하였</t>
    <phoneticPr fontId="9" type="noConversion"/>
  </si>
  <si>
    <t>습니다. 이후 2026년부터 2028년까지는 2025년 판매량 수준으로 유지됨을 가정하였습니다</t>
    <phoneticPr fontId="9" type="noConversion"/>
  </si>
  <si>
    <t xml:space="preserve">평가대상 회사의 매출원가는 전액 식재료비로 구성되며, Premium Burger 매장, StreetBurger 매장 모두 2024년 1분기 매출액대비 식재료 비율이 추정기간 유지됨을 가정하였습니다. </t>
  </si>
  <si>
    <t>신규오픈 매장(6호점~13호점) 중 7호점은 Premium Burger 매장으로 1호점 식재료비율을 준용하였으며, 기타 매장은 Street Burger 매장으로 5호점 식재료 비율을 준용하였습니다.</t>
  </si>
  <si>
    <t>신규오픈 매장(6호점~13호점) 중 7호점은 Premium Burger 매장으로 1호점 식재료비율을 준용하였으며, 기타 매장은 Street Burger 매장으로 5호점 식재료 비율을 준용하였습니다.</t>
    <phoneticPr fontId="9" type="noConversion"/>
  </si>
  <si>
    <t>매출원가합계</t>
    <phoneticPr fontId="9" type="noConversion"/>
  </si>
  <si>
    <t>매출원가율</t>
    <phoneticPr fontId="9" type="noConversion"/>
  </si>
  <si>
    <t>평가대상 회사의 판매관리비는 인건비, 변동비, 고정비, 상각비로 구분하여 추정하였으며, 평</t>
  </si>
  <si>
    <t>가대상 회사의 2023년 실적 및 향후(2024년~2028년) 판매관리비 추정내역은 다음과 같습</t>
  </si>
  <si>
    <t>상각비</t>
  </si>
  <si>
    <t>본사</t>
    <phoneticPr fontId="9" type="noConversion"/>
  </si>
  <si>
    <t>정규직급여</t>
    <phoneticPr fontId="9" type="noConversion"/>
  </si>
  <si>
    <t>작원수</t>
    <phoneticPr fontId="9" type="noConversion"/>
  </si>
  <si>
    <t>인당급여</t>
    <phoneticPr fontId="9" type="noConversion"/>
  </si>
  <si>
    <t>인건비합계</t>
    <phoneticPr fontId="9" type="noConversion"/>
  </si>
  <si>
    <t>잡급</t>
    <phoneticPr fontId="9" type="noConversion"/>
  </si>
  <si>
    <t>상여금</t>
    <phoneticPr fontId="9" type="noConversion"/>
  </si>
  <si>
    <t>3호점</t>
    <phoneticPr fontId="9" type="noConversion"/>
  </si>
  <si>
    <t>4호점</t>
    <phoneticPr fontId="9" type="noConversion"/>
  </si>
  <si>
    <t>5호점</t>
    <phoneticPr fontId="9" type="noConversion"/>
  </si>
  <si>
    <t>6호점</t>
    <phoneticPr fontId="9" type="noConversion"/>
  </si>
  <si>
    <t>7호점</t>
    <phoneticPr fontId="9" type="noConversion"/>
  </si>
  <si>
    <t>8호점</t>
    <phoneticPr fontId="9" type="noConversion"/>
  </si>
  <si>
    <t>9호점</t>
    <phoneticPr fontId="9" type="noConversion"/>
  </si>
  <si>
    <t>10호점</t>
    <phoneticPr fontId="9" type="noConversion"/>
  </si>
  <si>
    <t>11호점</t>
    <phoneticPr fontId="9" type="noConversion"/>
  </si>
  <si>
    <t>12호점</t>
    <phoneticPr fontId="9" type="noConversion"/>
  </si>
  <si>
    <t>13호점</t>
    <phoneticPr fontId="9" type="noConversion"/>
  </si>
  <si>
    <t>평가대상 회사의 변동비는 로열티, 지급임차료, 소모품비로 구성되어 있습니다. 추정기간동</t>
  </si>
  <si>
    <t>안 지점별 로열티는 계약에 따라 변동로열티와 고정로열티 중 큰 금액으로 추정하였으며, 지</t>
  </si>
  <si>
    <t>점별 지급임차료는 계약에 따라 임대료와 관리비의 합으로 추정하였습니다. 소모품비는</t>
  </si>
  <si>
    <t>2023년 매출액 대비 비율이 추정기간 유지됨을 가정하였습니다.</t>
  </si>
  <si>
    <t>평가대상 회사의 2023년 실적 및 향후(2024년~2028년) 변동비 추정내역은 다음과 같습니</t>
  </si>
  <si>
    <t>다.</t>
  </si>
  <si>
    <t>지급임차료</t>
    <phoneticPr fontId="9" type="noConversion"/>
  </si>
  <si>
    <t>변동비합계</t>
    <phoneticPr fontId="9" type="noConversion"/>
  </si>
  <si>
    <t>로열티</t>
    <phoneticPr fontId="9" type="noConversion"/>
  </si>
  <si>
    <t>평가대상회사의 고정비는 광고선전비, 건물관리비, 지급수수료, 세금과공과, 전력비, 수선비</t>
  </si>
  <si>
    <t>등의 항목으로 구성되며, 고정비는 EIU 명목임금상승율만큼 증가함을 가정하였습니다. 평가</t>
  </si>
  <si>
    <t>대상회사의 2023년 실제 고정비 및 향후(2024년~2028년) 고정비 추정내역은 다음과 같습</t>
  </si>
  <si>
    <t>고정비합계</t>
  </si>
  <si>
    <t>고정비합계</t>
    <phoneticPr fontId="9" type="noConversion"/>
  </si>
  <si>
    <t>평가대상 회사의 유형자산은 주방기구, 비품 및 시설장치으로 구성되어 있으며, 무형자산은</t>
  </si>
  <si>
    <t>영업권(가맹점)으로 구성되어 있습니다. 추정기간 유형자산 CAPEX 중 유지 CAPEX는 고정</t>
  </si>
  <si>
    <t>비 중 수선비 성격으로 보아 수선비에 포함하여 별도로 추정하지 않았습니다. 확장</t>
  </si>
  <si>
    <t>CAPEX는 신규 오픈매장에 대하여만 발생 가정하며, 신규 오픈매장 중 7호점은 2023년 기</t>
  </si>
  <si>
    <t>준 1호점 면적(제곱미터)당 CAPEX 준용하였으며, 기타매장(6호점, 8호점~13호점)은</t>
  </si>
  <si>
    <t>2023년 기준 5호점 면적(제곱미터)당 CAPEX를 준용하였습니다. 신규 오픈매장 면적(제곱</t>
  </si>
  <si>
    <t>미터)당 CAPEX는 추정기간 EIU 소비자물가상승율만큼 증가함을 가정하였습니다. 무형자산</t>
  </si>
  <si>
    <t>CAPEX는 계약에 따라 2024년부터 오픈되는 매장에 대하여 계약기간 오픈매장 갯수에 상관</t>
  </si>
  <si>
    <t>없이 1백만달러 일괄 Signing fee지급조건에 따라 2024년 1백만달러에 대하여 EIU 원달러</t>
  </si>
  <si>
    <t>환율 적용하여 추정하였습니다.</t>
  </si>
  <si>
    <t>비품</t>
    <phoneticPr fontId="9" type="noConversion"/>
  </si>
  <si>
    <t>시설장치</t>
    <phoneticPr fontId="9" type="noConversion"/>
  </si>
  <si>
    <t>영업권(가맹점)</t>
    <phoneticPr fontId="9" type="noConversion"/>
  </si>
  <si>
    <t>CAPEX 합계</t>
    <phoneticPr fontId="9" type="noConversion"/>
  </si>
  <si>
    <t>유무형자산상각비는 기존자산에 대한 감가상각비와 신규 취득자산에 대한 감가상각비로 구</t>
  </si>
  <si>
    <t>분하여 추정하였습니다. 기존자산의 경우 내용연수 및 상각방법을 반영하여 추정하였습니다.</t>
  </si>
  <si>
    <t>신규 취득자산의 경우 기존자산의 내용연수는 유지되는 것으로 가정하였습니다</t>
  </si>
  <si>
    <t>주방가구</t>
    <phoneticPr fontId="9" type="noConversion"/>
  </si>
  <si>
    <t>방법</t>
    <phoneticPr fontId="9" type="noConversion"/>
  </si>
  <si>
    <t>정액법</t>
    <phoneticPr fontId="9" type="noConversion"/>
  </si>
  <si>
    <t>8년</t>
    <phoneticPr fontId="9" type="noConversion"/>
  </si>
  <si>
    <t>5년</t>
    <phoneticPr fontId="9" type="noConversion"/>
  </si>
  <si>
    <t>감가상각비합계</t>
    <phoneticPr fontId="9" type="noConversion"/>
  </si>
  <si>
    <t>기존 유무형자산</t>
    <phoneticPr fontId="9" type="noConversion"/>
  </si>
  <si>
    <t>신규 유무형자산</t>
    <phoneticPr fontId="9" type="noConversion"/>
  </si>
  <si>
    <t>주방기구</t>
  </si>
  <si>
    <t>비품</t>
  </si>
  <si>
    <t>영업권(가맹점)</t>
  </si>
  <si>
    <t>2024년6개월(A)</t>
    <phoneticPr fontId="9" type="noConversion"/>
  </si>
  <si>
    <t>▣ 조정분개 요약</t>
    <phoneticPr fontId="9" type="noConversion"/>
  </si>
  <si>
    <t>Description</t>
  </si>
  <si>
    <t>Account</t>
  </si>
  <si>
    <t>본사</t>
    <phoneticPr fontId="54" type="noConversion"/>
  </si>
  <si>
    <t>1호점</t>
    <phoneticPr fontId="54" type="noConversion"/>
  </si>
  <si>
    <t>2호점(폐쇄)</t>
    <phoneticPr fontId="9" type="noConversion"/>
  </si>
  <si>
    <t>주다호두</t>
    <phoneticPr fontId="9" type="noConversion"/>
  </si>
  <si>
    <t>Amount</t>
    <phoneticPr fontId="54" type="noConversion"/>
  </si>
  <si>
    <t>Dr</t>
  </si>
  <si>
    <t>Cr</t>
  </si>
  <si>
    <t>6월 퇴직급여 누락</t>
    <phoneticPr fontId="9" type="noConversion"/>
  </si>
  <si>
    <t>본점</t>
  </si>
  <si>
    <t>예수금_국민연금</t>
  </si>
  <si>
    <t>6월 4대보험 누락</t>
    <phoneticPr fontId="9" type="noConversion"/>
  </si>
  <si>
    <t>예수금_건강보험</t>
  </si>
  <si>
    <t>예수금</t>
    <phoneticPr fontId="9" type="noConversion"/>
  </si>
  <si>
    <t>예수금_고용보험</t>
  </si>
  <si>
    <t>복리후생_국민연금</t>
  </si>
  <si>
    <t>복리후생비_건강보험</t>
  </si>
  <si>
    <t>복리후생비_고용보험</t>
  </si>
  <si>
    <t>2호점 임대계약 중도해지(5/31)</t>
    <phoneticPr fontId="9" type="noConversion"/>
  </si>
  <si>
    <t>임차보증금</t>
    <phoneticPr fontId="9" type="noConversion"/>
  </si>
  <si>
    <t>복리후생비_산재보험</t>
  </si>
  <si>
    <t>위약금</t>
    <phoneticPr fontId="9" type="noConversion"/>
  </si>
  <si>
    <t>잡손실</t>
    <phoneticPr fontId="9" type="noConversion"/>
  </si>
  <si>
    <t>미지급금_일반</t>
  </si>
  <si>
    <t>미지급금(전대료 및 관리비) 상계</t>
    <phoneticPr fontId="9" type="noConversion"/>
  </si>
  <si>
    <t>2호점 유형자산폐기 계정오류</t>
    <phoneticPr fontId="9" type="noConversion"/>
  </si>
  <si>
    <t>유형자산폐기손실</t>
    <phoneticPr fontId="9" type="noConversion"/>
  </si>
  <si>
    <t>유형자산처분손실</t>
    <phoneticPr fontId="9" type="noConversion"/>
  </si>
  <si>
    <t>4차년도 1분기(6월~8월) 로열티 계상</t>
    <phoneticPr fontId="9" type="noConversion"/>
  </si>
  <si>
    <t>해외로열티</t>
    <phoneticPr fontId="9" type="noConversion"/>
  </si>
  <si>
    <t>로열티(외화)</t>
  </si>
  <si>
    <t>선급비용</t>
    <phoneticPr fontId="9" type="noConversion"/>
  </si>
  <si>
    <t>6/1 환율</t>
  </si>
  <si>
    <t>&gt;&gt;기타보증금과 반제처리</t>
    <phoneticPr fontId="9" type="noConversion"/>
  </si>
  <si>
    <t>원화환산</t>
  </si>
  <si>
    <t>6월분</t>
  </si>
  <si>
    <t>7~8월분</t>
  </si>
  <si>
    <t>1호점 추가 로열티정산</t>
    <phoneticPr fontId="9" type="noConversion"/>
  </si>
  <si>
    <t>6/13 환율</t>
    <phoneticPr fontId="9" type="noConversion"/>
  </si>
  <si>
    <t>가맹비(24.06.01~28.05.31) 계상</t>
    <phoneticPr fontId="9" type="noConversion"/>
  </si>
  <si>
    <t>기타의 무형자산</t>
    <phoneticPr fontId="9" type="noConversion"/>
  </si>
  <si>
    <t>가맹비(외화)</t>
    <phoneticPr fontId="9" type="noConversion"/>
  </si>
  <si>
    <t>6/1 환율</t>
    <phoneticPr fontId="9" type="noConversion"/>
  </si>
  <si>
    <t>원화환산</t>
    <phoneticPr fontId="9" type="noConversion"/>
  </si>
  <si>
    <t>1/2 물적분할 시 회사제시 상각누계액과 재계산 차이 조정</t>
    <phoneticPr fontId="9" type="noConversion"/>
  </si>
  <si>
    <t>회사 제시 제거</t>
    <phoneticPr fontId="9" type="noConversion"/>
  </si>
  <si>
    <t>시설장치 감가상각누계액</t>
    <phoneticPr fontId="9" type="noConversion"/>
  </si>
  <si>
    <t>주방기구 감가상각누계액</t>
    <phoneticPr fontId="9" type="noConversion"/>
  </si>
  <si>
    <t>비품 감가상각누계액</t>
    <phoneticPr fontId="9" type="noConversion"/>
  </si>
  <si>
    <t>재계산 반영</t>
    <phoneticPr fontId="9" type="noConversion"/>
  </si>
  <si>
    <t>주식발행초과금</t>
    <phoneticPr fontId="9" type="noConversion"/>
  </si>
  <si>
    <t>본사 유형자산 지점으로 재분류</t>
    <phoneticPr fontId="9" type="noConversion"/>
  </si>
  <si>
    <t>본지점(부채)</t>
    <phoneticPr fontId="9" type="noConversion"/>
  </si>
  <si>
    <t>6월누적 감가상각 차이조정</t>
    <phoneticPr fontId="9" type="noConversion"/>
  </si>
  <si>
    <t>회사제시 제거</t>
    <phoneticPr fontId="9" type="noConversion"/>
  </si>
  <si>
    <t>미처리결손금</t>
    <phoneticPr fontId="9" type="noConversion"/>
  </si>
  <si>
    <t>무형자산상각비</t>
    <phoneticPr fontId="9" type="noConversion"/>
  </si>
  <si>
    <t>카드대금 차이 추가 반영</t>
    <phoneticPr fontId="9" type="noConversion"/>
  </si>
  <si>
    <t>미지급비용 -&gt; 미지급금으로 계정재분류</t>
    <phoneticPr fontId="9" type="noConversion"/>
  </si>
  <si>
    <t>미지급비용</t>
    <phoneticPr fontId="9" type="noConversion"/>
  </si>
  <si>
    <t>본사 매출계정 수정</t>
    <phoneticPr fontId="9" type="noConversion"/>
  </si>
  <si>
    <t>음식수입</t>
    <phoneticPr fontId="9" type="noConversion"/>
  </si>
  <si>
    <t>상품매출</t>
    <phoneticPr fontId="9" type="noConversion"/>
  </si>
  <si>
    <t>본사 미지급금 오류 수정</t>
    <phoneticPr fontId="9" type="noConversion"/>
  </si>
  <si>
    <t>4대보험 복리후생비 계정 재분류</t>
    <phoneticPr fontId="9" type="noConversion"/>
  </si>
  <si>
    <t>보험료</t>
    <phoneticPr fontId="9" type="noConversion"/>
  </si>
  <si>
    <t>세금과공과금</t>
    <phoneticPr fontId="9" type="noConversion"/>
  </si>
  <si>
    <t>리스회계처리 반영(최초 인식시점)</t>
    <phoneticPr fontId="9" type="noConversion"/>
  </si>
  <si>
    <t>사용권자산</t>
    <phoneticPr fontId="9" type="noConversion"/>
  </si>
  <si>
    <t>리스부채(유동)</t>
  </si>
  <si>
    <t>임차보증금현재가치할인차금</t>
    <phoneticPr fontId="9" type="noConversion"/>
  </si>
  <si>
    <t>리스회계처리 반영(감가상각)</t>
    <phoneticPr fontId="9" type="noConversion"/>
  </si>
  <si>
    <t>복구충당부채전입액</t>
  </si>
  <si>
    <t>복구충당부채</t>
    <phoneticPr fontId="9" type="noConversion"/>
  </si>
  <si>
    <t>이자수익</t>
    <phoneticPr fontId="9" type="noConversion"/>
  </si>
  <si>
    <t>사용권자산 감가상각누계액</t>
    <phoneticPr fontId="9" type="noConversion"/>
  </si>
  <si>
    <t>재 무 상 태 표</t>
    <phoneticPr fontId="10" type="noConversion"/>
  </si>
  <si>
    <t>제 1 (당) 기   2024년 06월 30일 현재</t>
    <phoneticPr fontId="10" type="noConversion"/>
  </si>
  <si>
    <t>제이케이엔터프라이즈(주)</t>
    <phoneticPr fontId="9" type="noConversion"/>
  </si>
  <si>
    <t>과 목</t>
  </si>
  <si>
    <t>회사 제시</t>
    <phoneticPr fontId="9" type="noConversion"/>
  </si>
  <si>
    <t>조정금액</t>
    <phoneticPr fontId="9" type="noConversion"/>
  </si>
  <si>
    <t>조정 후</t>
    <phoneticPr fontId="9" type="noConversion"/>
  </si>
  <si>
    <t>차변</t>
    <phoneticPr fontId="9" type="noConversion"/>
  </si>
  <si>
    <t>대변</t>
    <phoneticPr fontId="16" type="noConversion"/>
  </si>
  <si>
    <t>자산</t>
  </si>
  <si>
    <t xml:space="preserve">    Ⅰ. 유동자산</t>
  </si>
  <si>
    <t xml:space="preserve">        (1)  당좌자산</t>
  </si>
  <si>
    <t xml:space="preserve">            현금</t>
  </si>
  <si>
    <t xml:space="preserve">            보통예금</t>
  </si>
  <si>
    <t xml:space="preserve">            외상매출금</t>
  </si>
  <si>
    <t xml:space="preserve">            미수금</t>
  </si>
  <si>
    <t xml:space="preserve">            선급금</t>
  </si>
  <si>
    <t xml:space="preserve">            선급비용</t>
  </si>
  <si>
    <t xml:space="preserve">            본지점</t>
  </si>
  <si>
    <t xml:space="preserve">        (2)  재고자산</t>
  </si>
  <si>
    <t xml:space="preserve">    Ⅱ. 비유동자산</t>
  </si>
  <si>
    <t xml:space="preserve">        (1)  투자자산</t>
  </si>
  <si>
    <t xml:space="preserve">        (2)  유형자산</t>
  </si>
  <si>
    <t xml:space="preserve">            시설장치</t>
  </si>
  <si>
    <t xml:space="preserve">            시설장치 감가상각누계액</t>
    <phoneticPr fontId="9" type="noConversion"/>
  </si>
  <si>
    <t xml:space="preserve">            주방기구</t>
  </si>
  <si>
    <t xml:space="preserve">            주방기구 감가상각누계액</t>
    <phoneticPr fontId="9" type="noConversion"/>
  </si>
  <si>
    <t xml:space="preserve">            비품</t>
  </si>
  <si>
    <t xml:space="preserve">            비품 감가상각누계액</t>
    <phoneticPr fontId="9" type="noConversion"/>
  </si>
  <si>
    <t xml:space="preserve">            사용권자산</t>
    <phoneticPr fontId="9" type="noConversion"/>
  </si>
  <si>
    <t xml:space="preserve">            사용권자산 감가상각누계액</t>
    <phoneticPr fontId="9" type="noConversion"/>
  </si>
  <si>
    <t xml:space="preserve">        (3)  무형자산</t>
  </si>
  <si>
    <t xml:space="preserve">            기타의 무형자산</t>
    <phoneticPr fontId="9" type="noConversion"/>
  </si>
  <si>
    <t xml:space="preserve">        (4)  기타비유동자산</t>
  </si>
  <si>
    <t xml:space="preserve">            임차보증금</t>
  </si>
  <si>
    <t xml:space="preserve">            임차보증금현재가치할인차금</t>
    <phoneticPr fontId="9" type="noConversion"/>
  </si>
  <si>
    <t xml:space="preserve">            기타보증금</t>
  </si>
  <si>
    <t>자산총계</t>
  </si>
  <si>
    <t>부채</t>
  </si>
  <si>
    <t xml:space="preserve">    Ⅰ. 유동부채</t>
  </si>
  <si>
    <t xml:space="preserve">            외상매입금</t>
  </si>
  <si>
    <t xml:space="preserve">            미지급금</t>
  </si>
  <si>
    <t xml:space="preserve">            예수금</t>
  </si>
  <si>
    <t xml:space="preserve">            단기차입금</t>
  </si>
  <si>
    <t xml:space="preserve">            선수금</t>
  </si>
  <si>
    <t xml:space="preserve">            미지급세금</t>
  </si>
  <si>
    <t xml:space="preserve">            미지급비용</t>
  </si>
  <si>
    <t xml:space="preserve">            선수수익</t>
  </si>
  <si>
    <t xml:space="preserve">            리스부채(유동)</t>
    <phoneticPr fontId="9" type="noConversion"/>
  </si>
  <si>
    <t xml:space="preserve">            본지점(부채)</t>
  </si>
  <si>
    <t xml:space="preserve">    Ⅱ. 비유동부채</t>
  </si>
  <si>
    <t xml:space="preserve">            복구충당부채</t>
    <phoneticPr fontId="9" type="noConversion"/>
  </si>
  <si>
    <t>부채총계</t>
  </si>
  <si>
    <t>자본</t>
  </si>
  <si>
    <t xml:space="preserve">    Ⅰ. 자본금</t>
  </si>
  <si>
    <t xml:space="preserve">            자본금</t>
  </si>
  <si>
    <t xml:space="preserve">    Ⅱ. 자본잉여금</t>
  </si>
  <si>
    <t xml:space="preserve">            주식발행초과금</t>
  </si>
  <si>
    <t xml:space="preserve">    Ⅲ. 자본조정</t>
  </si>
  <si>
    <t xml:space="preserve">    Ⅳ. 기타포괄손익누계액</t>
  </si>
  <si>
    <t xml:space="preserve">    Ⅴ. 결손금</t>
  </si>
  <si>
    <t xml:space="preserve">            미처분이익잉여금</t>
  </si>
  <si>
    <t xml:space="preserve">            미처리결손금</t>
  </si>
  <si>
    <t>자본총계</t>
  </si>
  <si>
    <t>부채및자본총계</t>
  </si>
  <si>
    <t>손 익 계 산 서</t>
    <phoneticPr fontId="10" type="noConversion"/>
  </si>
  <si>
    <t>Ⅰ. 매출액</t>
  </si>
  <si>
    <t xml:space="preserve">           음식수입</t>
    <phoneticPr fontId="9" type="noConversion"/>
  </si>
  <si>
    <t xml:space="preserve">           상품매출</t>
    <phoneticPr fontId="10" type="noConversion"/>
  </si>
  <si>
    <t>&gt;&gt; 주다호두 팝업매장 판매 - 음식수입</t>
  </si>
  <si>
    <t>Ⅱ. 매출원가</t>
  </si>
  <si>
    <t xml:space="preserve">           상품매출원가</t>
  </si>
  <si>
    <t xml:space="preserve">           기초 상품 재고액</t>
  </si>
  <si>
    <t xml:space="preserve">           당기 상품 매입액</t>
  </si>
  <si>
    <t xml:space="preserve">           기말 상품 재고액</t>
  </si>
  <si>
    <t>Ⅲ. 매출총이익</t>
    <phoneticPr fontId="10" type="noConversion"/>
  </si>
  <si>
    <t>Ⅳ. 판매비와 관리비</t>
  </si>
  <si>
    <t xml:space="preserve">           직원급여</t>
  </si>
  <si>
    <t xml:space="preserve">           상여금</t>
  </si>
  <si>
    <t xml:space="preserve">           잡급</t>
  </si>
  <si>
    <t xml:space="preserve">           퇴직급여</t>
  </si>
  <si>
    <t xml:space="preserve">           복리후생비</t>
  </si>
  <si>
    <t xml:space="preserve">           여비교통비</t>
  </si>
  <si>
    <t xml:space="preserve">           접대비(기업업무추진비)</t>
  </si>
  <si>
    <t xml:space="preserve">           통신비</t>
  </si>
  <si>
    <t xml:space="preserve">           전력비</t>
  </si>
  <si>
    <t xml:space="preserve">           수도광열비</t>
  </si>
  <si>
    <t xml:space="preserve">           세금과공과금</t>
  </si>
  <si>
    <t xml:space="preserve">           감가상각비</t>
  </si>
  <si>
    <t xml:space="preserve">           지급임차료</t>
  </si>
  <si>
    <t xml:space="preserve">           수선비</t>
  </si>
  <si>
    <t xml:space="preserve">           보험료</t>
  </si>
  <si>
    <t xml:space="preserve">           운반비</t>
  </si>
  <si>
    <t xml:space="preserve">           도서인쇄비</t>
  </si>
  <si>
    <t xml:space="preserve">           포장비</t>
  </si>
  <si>
    <t xml:space="preserve">           사무용품비</t>
  </si>
  <si>
    <t xml:space="preserve">           소모품비</t>
  </si>
  <si>
    <t xml:space="preserve">           지급수수료</t>
  </si>
  <si>
    <t xml:space="preserve">           광고선전비</t>
  </si>
  <si>
    <t xml:space="preserve">           무형자산상각비</t>
    <phoneticPr fontId="9" type="noConversion"/>
  </si>
  <si>
    <t xml:space="preserve">           잡비</t>
  </si>
  <si>
    <t xml:space="preserve">           해외로열티</t>
  </si>
  <si>
    <t xml:space="preserve">           외주비 </t>
  </si>
  <si>
    <t>Ⅴ. 영업이익</t>
  </si>
  <si>
    <t>Ⅵ. 영업외수익</t>
  </si>
  <si>
    <t xml:space="preserve">           이자수익</t>
  </si>
  <si>
    <t xml:space="preserve">           잡이익</t>
  </si>
  <si>
    <t>Ⅶ. 영업외비용</t>
  </si>
  <si>
    <t xml:space="preserve">           이자비용</t>
    <phoneticPr fontId="9" type="noConversion"/>
  </si>
  <si>
    <t xml:space="preserve">           유형자산처분손실</t>
  </si>
  <si>
    <t xml:space="preserve">           유형자산폐기손실</t>
    <phoneticPr fontId="9" type="noConversion"/>
  </si>
  <si>
    <t xml:space="preserve">           복구충당부채전입액</t>
    <phoneticPr fontId="9" type="noConversion"/>
  </si>
  <si>
    <t xml:space="preserve">           잡손실</t>
  </si>
  <si>
    <t>Ⅷ. 법인세차감전이익</t>
  </si>
  <si>
    <t>Ⅸ. 법인세등</t>
  </si>
  <si>
    <t>Ⅹ. 당기순이익</t>
    <phoneticPr fontId="10" type="noConversion"/>
  </si>
  <si>
    <t>본점</t>
    <phoneticPr fontId="9" type="noConversion"/>
  </si>
  <si>
    <t>제 1(당)기[2024/01/01 ~ 2024/06/30]</t>
  </si>
  <si>
    <t>금 액</t>
  </si>
  <si>
    <t xml:space="preserve">            비품 감가상각누계액</t>
  </si>
  <si>
    <t xml:space="preserve">            시설장치 감가상각누계액</t>
  </si>
  <si>
    <t>추가</t>
    <phoneticPr fontId="9" type="noConversion"/>
  </si>
  <si>
    <t xml:space="preserve">            미지급비용</t>
    <phoneticPr fontId="9" type="noConversion"/>
  </si>
  <si>
    <t xml:space="preserve">            본지점(부채)</t>
    <phoneticPr fontId="10" type="noConversion"/>
  </si>
  <si>
    <t>(당기순손실)</t>
  </si>
  <si>
    <t xml:space="preserve">            당기 :         685,484,832 원</t>
  </si>
  <si>
    <t xml:space="preserve">            전기 :                   0 원</t>
  </si>
  <si>
    <t xml:space="preserve">            선급비용</t>
    <phoneticPr fontId="9" type="noConversion"/>
  </si>
  <si>
    <t xml:space="preserve">            주방기구 감가상각누계액</t>
  </si>
  <si>
    <t xml:space="preserve">    Ⅴ. 이익잉여금</t>
  </si>
  <si>
    <t>(당기순이익)</t>
  </si>
  <si>
    <t xml:space="preserve">            당기 :         320,692,331 원</t>
  </si>
  <si>
    <t xml:space="preserve">            당기 :       1,387,109,677 원</t>
  </si>
  <si>
    <t xml:space="preserve">            기타의 무형자산</t>
  </si>
  <si>
    <t xml:space="preserve">            당기 :         100,107,952 원</t>
  </si>
  <si>
    <t xml:space="preserve">            당기 :         366,624,200 원</t>
  </si>
  <si>
    <t xml:space="preserve">            당기 :         151,845,513 원</t>
  </si>
  <si>
    <t>제 1(당)기[2024/05/23 ~ 2024/06/30]</t>
    <phoneticPr fontId="10" type="noConversion"/>
  </si>
  <si>
    <t xml:space="preserve">            당기 :           9,429,325 원</t>
  </si>
  <si>
    <t>본점</t>
    <phoneticPr fontId="10" type="noConversion"/>
  </si>
  <si>
    <t xml:space="preserve">           상품매출</t>
  </si>
  <si>
    <t>Ⅲ. 매출총손실</t>
  </si>
  <si>
    <t xml:space="preserve">           무형자산상각비</t>
  </si>
  <si>
    <t>Ⅴ. 영업손실</t>
  </si>
  <si>
    <t xml:space="preserve">&gt; 관계사선수금 166,837,563원 포함 </t>
  </si>
  <si>
    <t>Ⅷ. 법인세차감전손실</t>
  </si>
  <si>
    <t>Ⅹ. 당기순이익</t>
  </si>
  <si>
    <t>1호점</t>
    <phoneticPr fontId="10" type="noConversion"/>
  </si>
  <si>
    <t>Ⅲ. 매출총이익</t>
  </si>
  <si>
    <t>2호점</t>
    <phoneticPr fontId="10" type="noConversion"/>
  </si>
  <si>
    <t>3호점</t>
    <phoneticPr fontId="10" type="noConversion"/>
  </si>
  <si>
    <t>4호점</t>
    <phoneticPr fontId="10" type="noConversion"/>
  </si>
  <si>
    <t>5호점</t>
    <phoneticPr fontId="10" type="noConversion"/>
  </si>
  <si>
    <t xml:space="preserve">           해외로열티</t>
    <phoneticPr fontId="10" type="noConversion"/>
  </si>
  <si>
    <t>주다</t>
    <phoneticPr fontId="10" type="noConversion"/>
  </si>
  <si>
    <t>( 기간 : 2024.01.02 ~ 2024.06.30 )</t>
    <phoneticPr fontId="10" type="noConversion"/>
  </si>
  <si>
    <t>롯데월드몰점</t>
    <phoneticPr fontId="9" type="noConversion"/>
  </si>
  <si>
    <t>서울숲점(폐지)</t>
    <phoneticPr fontId="9" type="noConversion"/>
  </si>
  <si>
    <t>현대무역센터점</t>
  </si>
  <si>
    <t>신세계센텀시티점</t>
  </si>
  <si>
    <t>롯데인천점</t>
  </si>
  <si>
    <t>주다호두</t>
  </si>
  <si>
    <t>연결</t>
    <phoneticPr fontId="9" type="noConversion"/>
  </si>
  <si>
    <t>본사 업무용역비 월 5백 외, 1호점 도급비 59백 포함, 2호점 철거비 1.5억, 3호점 배민, 4호점 관리비 및 전기세 포함, 5호점 배민</t>
    <phoneticPr fontId="9" type="noConversion"/>
  </si>
  <si>
    <t>본사 주다호두 팝업스토어/오픈마케팅, 지점 네이버/온라인 검색광고, 영상촬영</t>
    <phoneticPr fontId="9" type="noConversion"/>
  </si>
  <si>
    <t>&gt;&gt; 지급수수료</t>
    <phoneticPr fontId="9" type="noConversion"/>
  </si>
  <si>
    <t>본사 : 사업소득, 매장 : 도급비</t>
    <phoneticPr fontId="9" type="noConversion"/>
  </si>
  <si>
    <t>본사 : 관계사 선수금 차액 잡이익 처리</t>
    <phoneticPr fontId="9" type="noConversion"/>
  </si>
  <si>
    <t xml:space="preserve">           복구충당부채전입액</t>
  </si>
  <si>
    <t>2024년6개월(F)</t>
    <phoneticPr fontId="9" type="noConversion"/>
  </si>
  <si>
    <t>평가기준일 기준 1호점은 오픈 3년차로 2024년 판매량은 2024년 1분기 판매량 수준으로 발생함을 가정하였으며, 2025년부터 2028년 판매량은 2024년 판매량 수준으로 유지됨을 가정함</t>
    <phoneticPr fontId="9" type="noConversion"/>
  </si>
  <si>
    <t>2024년 제품별 판매단가는 2023년 제품별 판매단가 수준으로 유지됨을 가정하였으며, 2025년 이후 제품별 판매단가는 평가대상 회사의 영업 특성상 인건비가 영업비용에서 차지하는 비중이 크므로</t>
    <phoneticPr fontId="9" type="noConversion"/>
  </si>
  <si>
    <t>2025년 이후에는 EIU 제시 명목임금상승률만큼 증가함을 가정함</t>
    <phoneticPr fontId="9" type="noConversion"/>
  </si>
  <si>
    <t>1년차</t>
    <phoneticPr fontId="9" type="noConversion"/>
  </si>
  <si>
    <t>2년차</t>
    <phoneticPr fontId="9" type="noConversion"/>
  </si>
  <si>
    <t>3년차</t>
    <phoneticPr fontId="9" type="noConversion"/>
  </si>
  <si>
    <t>본사</t>
  </si>
  <si>
    <t xml:space="preserve">평가대상 회사의 매출원가는 전액 식재료비로 구성되며, Premium Burger 매장, StreetBurger 매장 모두 2024년 2분기 매출액대비 식재료 비율이 추정기간 유지됨을 가정하였습니다. </t>
    <phoneticPr fontId="9" type="noConversion"/>
  </si>
  <si>
    <t>&gt;&gt; 1호점 벤치마크</t>
    <phoneticPr fontId="9" type="noConversion"/>
  </si>
  <si>
    <t>&gt;&gt;5호점 벤치마크</t>
    <phoneticPr fontId="9" type="noConversion"/>
  </si>
  <si>
    <t>&gt;&gt; 5호점 비율 반영</t>
    <phoneticPr fontId="9" type="noConversion"/>
  </si>
  <si>
    <t>&gt;&gt; 1호점 비율 반영</t>
    <phoneticPr fontId="9" type="noConversion"/>
  </si>
  <si>
    <t>매출액대비비율</t>
    <phoneticPr fontId="9" type="noConversion"/>
  </si>
  <si>
    <t>&gt;&gt; 월 임대료 0.88+월 관리비 0.76</t>
    <phoneticPr fontId="9" type="noConversion"/>
  </si>
  <si>
    <t>임대료</t>
    <phoneticPr fontId="9" type="noConversion"/>
  </si>
  <si>
    <t>관리비</t>
    <phoneticPr fontId="9" type="noConversion"/>
  </si>
  <si>
    <t>변동(a)</t>
    <phoneticPr fontId="9" type="noConversion"/>
  </si>
  <si>
    <t>고정(b)</t>
    <phoneticPr fontId="9" type="noConversion"/>
  </si>
  <si>
    <t>max(a,b)</t>
    <phoneticPr fontId="9" type="noConversion"/>
  </si>
  <si>
    <t>유형자산 CAPEX</t>
    <phoneticPr fontId="9" type="noConversion"/>
  </si>
  <si>
    <t>점유면적</t>
    <phoneticPr fontId="9" type="noConversion"/>
  </si>
  <si>
    <t>정액법</t>
  </si>
  <si>
    <t>2024년6개월(A)</t>
  </si>
  <si>
    <t>2024년6개월(F)</t>
  </si>
  <si>
    <t>인건비는 직원급여, 상여금, 퇴직급여, 복리후생비로 구분하여 추정하였습니다. 직원급여는 정규직급여와 잡급으로 구성되며, 정규직급여는 지점별 인원수와 인당급여의 곱으로 추정하였고</t>
    <phoneticPr fontId="9" type="noConversion"/>
  </si>
  <si>
    <t>잡급은 2023년 지점별 정규직급여 대비 비율이 추정기간 유지됨을 가정하였습니다.</t>
    <phoneticPr fontId="9" type="noConversion"/>
  </si>
  <si>
    <t xml:space="preserve">상여금은 2023년 지점별 정규직급여 대비 비율이 추정기간 유지됨을 가정하였으며, 퇴직급여는 지점별 직원급여의 1/12 수준으로 발생함을 가정하였으며, </t>
    <phoneticPr fontId="9" type="noConversion"/>
  </si>
  <si>
    <t>복리후생비는 2023년 지점별 직원급여 대비 비율이 추정기간 유지됨을 가정하였습니다.</t>
    <phoneticPr fontId="9" type="noConversion"/>
  </si>
  <si>
    <t>평가대상 회사의 변동비는 로열티, 지급임차료, 소모품비로 구성되어 있습니다. 추정기간동안 지점별 로열티는 계약에 따라 변동로열티와 고정로열티 중 큰 금액으로 추정하였으며,</t>
    <phoneticPr fontId="9" type="noConversion"/>
  </si>
  <si>
    <t>지점별 지급임차료는 계약에 따라 임대료와 관리비의 합으로 추정하였습니다. 소모품비는 2023년 매출액 대비 비율이 추정기간 유지됨을 가정하였습니다.</t>
    <phoneticPr fontId="9" type="noConversion"/>
  </si>
  <si>
    <t>평가대상회사의 고정비는 광고선전비, 건물관리비, 지급수수료, 세금과공과, 전력비, 수선비등의 항목으로 구성되며, 고정비는 EIU 소비자물가상승율만큼 증가함을 가정하였습니다.</t>
    <phoneticPr fontId="9" type="noConversion"/>
  </si>
  <si>
    <t>인건비</t>
    <phoneticPr fontId="9" type="noConversion"/>
  </si>
  <si>
    <t>2024년6월(A)</t>
    <phoneticPr fontId="9" type="noConversion"/>
  </si>
  <si>
    <t>2024년6월(F)</t>
    <phoneticPr fontId="9" type="noConversion"/>
  </si>
  <si>
    <t>감가상각비 집계표</t>
    <phoneticPr fontId="10" type="noConversion"/>
  </si>
  <si>
    <t>계정과목</t>
    <phoneticPr fontId="10" type="noConversion"/>
  </si>
  <si>
    <t>취득가액</t>
    <phoneticPr fontId="10" type="noConversion"/>
  </si>
  <si>
    <t>전기</t>
    <phoneticPr fontId="10" type="noConversion"/>
  </si>
  <si>
    <t>당기</t>
    <phoneticPr fontId="10" type="noConversion"/>
  </si>
  <si>
    <t>전기말잔액</t>
    <phoneticPr fontId="10" type="noConversion"/>
  </si>
  <si>
    <t>당기증가액</t>
    <phoneticPr fontId="10" type="noConversion"/>
  </si>
  <si>
    <t>당기감소액</t>
    <phoneticPr fontId="10" type="noConversion"/>
  </si>
  <si>
    <t>당기말잔액</t>
    <phoneticPr fontId="10" type="noConversion"/>
  </si>
  <si>
    <t>전기말
상각누계액</t>
    <phoneticPr fontId="10" type="noConversion"/>
  </si>
  <si>
    <t>전기말
미상각잔액</t>
    <phoneticPr fontId="10" type="noConversion"/>
  </si>
  <si>
    <t>당기상각액
(증가)</t>
    <phoneticPr fontId="10" type="noConversion"/>
  </si>
  <si>
    <t>당기상각액
(감소)</t>
    <phoneticPr fontId="10" type="noConversion"/>
  </si>
  <si>
    <t>당기말
상각누계액</t>
    <phoneticPr fontId="10" type="noConversion"/>
  </si>
  <si>
    <t>당기말
미상각잔액</t>
    <phoneticPr fontId="10" type="noConversion"/>
  </si>
  <si>
    <t>시설장치</t>
    <phoneticPr fontId="10" type="noConversion"/>
  </si>
  <si>
    <t>주방기구</t>
    <phoneticPr fontId="10" type="noConversion"/>
  </si>
  <si>
    <t>비품</t>
    <phoneticPr fontId="10" type="noConversion"/>
  </si>
  <si>
    <t>계</t>
    <phoneticPr fontId="10" type="noConversion"/>
  </si>
  <si>
    <t>무형</t>
    <phoneticPr fontId="10" type="noConversion"/>
  </si>
  <si>
    <t>기타</t>
    <phoneticPr fontId="10" type="noConversion"/>
  </si>
  <si>
    <t>주다호두</t>
    <phoneticPr fontId="10" type="noConversion"/>
  </si>
  <si>
    <t>매출총이익</t>
    <phoneticPr fontId="9" type="noConversion"/>
  </si>
  <si>
    <t>매출총이익율(%)</t>
    <phoneticPr fontId="9" type="noConversion"/>
  </si>
  <si>
    <t>&gt;&gt; 프리미엄매장으로 매출액에 5%가정</t>
    <phoneticPr fontId="9" type="noConversion"/>
  </si>
  <si>
    <t>&gt;&gt; 비정규직 급여로 구성되어 있으며 대부분 FOH(Front of House, 홀) 서빙 인력으로 매출액대비 약 4~5%발생함을 가정하여 추정하였음</t>
    <phoneticPr fontId="9" type="noConversion"/>
  </si>
  <si>
    <t>&gt;&gt; 매출액대비 2.76%</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</si>
</sst>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5">
    <numFmt numFmtId="41" formatCode="_-* #,##0_-;\-* #,##0_-;_-* &quot;-&quot;_-;_-@_-"/>
    <numFmt numFmtId="43" formatCode="_-* #,##0.00_-;\-* #,##0.00_-;_-* &quot;-&quot;??_-;_-@_-"/>
    <numFmt numFmtId="176" formatCode="#,##0_);[Red]\(#,##0\);\-_-"/>
    <numFmt numFmtId="177" formatCode="yyyy&quot;년&quot;\ m&quot;월&quot;;@"/>
    <numFmt numFmtId="178" formatCode="0.0%"/>
    <numFmt numFmtId="179" formatCode="_-* #,##0.000_-;\-* #,##0.000_-;_-* &quot;-&quot;_-;_-@_-"/>
    <numFmt numFmtId="180" formatCode="#,##0.000"/>
    <numFmt numFmtId="181" formatCode="yy&quot;-&quot;m&quot;-&quot;d;@"/>
    <numFmt numFmtId="182" formatCode="0_);[Red]\(0\)"/>
    <numFmt numFmtId="183" formatCode="#,##0.0"/>
    <numFmt numFmtId="184" formatCode="#,###;[Red]\(#,###\);0"/>
    <numFmt numFmtId="185" formatCode="0.0000%"/>
    <numFmt numFmtId="186" formatCode="#,###;[Red]\(#,###\);\-"/>
    <numFmt numFmtId="187" formatCode="General&quot;년&quot;"/>
    <numFmt numFmtId="188" formatCode="General&quot;월&quot;"/>
    <numFmt numFmtId="189" formatCode="_(* #,##0_);_(* \(#,##0\);_(* &quot;-&quot;_);@_)"/>
    <numFmt numFmtId="190" formatCode="#,##0\ ;\(#,##0\)\ ;&quot;- &quot;"/>
    <numFmt numFmtId="191" formatCode="#,##0;[Red]#,##0"/>
    <numFmt numFmtId="192" formatCode="General&quot;년(F)&quot;"/>
    <numFmt numFmtId="193" formatCode="General&quot;년(A)&quot;"/>
    <numFmt numFmtId="194" formatCode="#,##0.000000"/>
    <numFmt numFmtId="195" formatCode="#,##0_);\(#,##0\)"/>
    <numFmt numFmtId="196" formatCode="#,##0_);[Red]\(#,##0\)"/>
    <numFmt numFmtId="197" formatCode="[DBNum4]\(&quot;단&quot;&quot;위&quot;\:\ [$-412]General&quot;원&quot;\)"/>
    <numFmt numFmtId="198" formatCode="_(* #,##0_);_(* \(#,##0\);_(* &quot;-&quot;_);_(@_)"/>
    <numFmt numFmtId="199" formatCode="##,##0"/>
    <numFmt numFmtId="200" formatCode="_-* #,##0.00_-;\-* #,##0.00_-;_-* &quot;-&quot;_-;_-@_-"/>
    <numFmt numFmtId="201" formatCode="_ * #,##0.00_ ;_ * \-#,##0.00_ ;_ * &quot;-&quot;??_ ;_ @_ "/>
    <numFmt numFmtId="202" formatCode="#,###_0;&quot;(&quot;&quot;-&quot;&quot;)&quot;#,###_0"/>
    <numFmt numFmtId="203" formatCode="_-* #,##0_-;[Red]\(#,##0\);_-* &quot;-&quot;_-;_-@_-"/>
    <numFmt numFmtId="204" formatCode="_-* #,##0.0_-;\-* #,##0.0_-;_-* &quot;-&quot;_-;_-@_-"/>
    <numFmt numFmtId="205" formatCode="&quot;(&quot;\ yyyy&quot;년&quot;\ m&quot;월&quot;\ d&quot;일&quot;\ &quot;)&quot;;@"/>
    <numFmt numFmtId="206" formatCode="_-* #,##0.0000_-;\-* #,##0.0000_-;_-* &quot;-&quot;_-;_-@_-"/>
    <numFmt numFmtId="207" formatCode="0.00%_);\(0.00%\)"/>
    <numFmt numFmtId="208" formatCode="#,##0.0_);[Red]\(#,##0.0\)"/>
  </numFmts>
  <fonts count="80">
    <font>
      <sz val="10"/>
      <color theme="1"/>
      <name val="맑은 고딕"/>
      <family val="2"/>
      <charset val="129"/>
      <scheme val="minor"/>
    </font>
    <font>
      <sz val="11"/>
      <color theme="1"/>
      <name val="맑은 고딕"/>
      <family val="2"/>
      <charset val="129"/>
      <scheme val="minor"/>
    </font>
    <font>
      <sz val="10"/>
      <color theme="1"/>
      <name val="맑은 고딕"/>
      <family val="2"/>
      <charset val="129"/>
    </font>
    <font>
      <sz val="10"/>
      <color theme="1"/>
      <name val="맑은 고딕"/>
      <family val="2"/>
      <charset val="129"/>
    </font>
    <font>
      <sz val="11"/>
      <color theme="1"/>
      <name val="맑은 고딕"/>
      <family val="2"/>
      <charset val="129"/>
      <scheme val="minor"/>
    </font>
    <font>
      <sz val="11"/>
      <color theme="1"/>
      <name val="맑은 고딕"/>
      <family val="2"/>
      <charset val="129"/>
      <scheme val="minor"/>
    </font>
    <font>
      <sz val="10"/>
      <color theme="1"/>
      <name val="맑은 고딕"/>
      <family val="2"/>
      <charset val="129"/>
      <scheme val="minor"/>
    </font>
    <font>
      <sz val="11"/>
      <color theme="1"/>
      <name val="맑은 고딕"/>
      <family val="2"/>
      <charset val="129"/>
      <scheme val="minor"/>
    </font>
    <font>
      <sz val="10"/>
      <color theme="1"/>
      <name val="맑은 고딕"/>
      <family val="3"/>
      <charset val="129"/>
      <scheme val="minor"/>
    </font>
    <font>
      <sz val="8"/>
      <name val="맑은 고딕"/>
      <family val="2"/>
      <charset val="129"/>
      <scheme val="minor"/>
    </font>
    <font>
      <sz val="8"/>
      <name val="돋움"/>
      <family val="3"/>
      <charset val="129"/>
    </font>
    <font>
      <sz val="10"/>
      <name val="맑은 고딕"/>
      <family val="3"/>
      <charset val="129"/>
      <scheme val="minor"/>
    </font>
    <font>
      <sz val="14"/>
      <color theme="0"/>
      <name val="맑은 고딕"/>
      <family val="3"/>
      <charset val="129"/>
      <scheme val="minor"/>
    </font>
    <font>
      <sz val="14"/>
      <color theme="1"/>
      <name val="맑은 고딕"/>
      <family val="3"/>
      <charset val="129"/>
      <scheme val="minor"/>
    </font>
    <font>
      <sz val="14"/>
      <name val="맑은 고딕"/>
      <family val="3"/>
      <charset val="129"/>
      <scheme val="minor"/>
    </font>
    <font>
      <b/>
      <sz val="14"/>
      <color theme="0"/>
      <name val="맑은 고딕"/>
      <family val="3"/>
      <charset val="129"/>
      <scheme val="minor"/>
    </font>
    <font>
      <sz val="8"/>
      <name val="맑은 고딕"/>
      <family val="3"/>
      <charset val="129"/>
    </font>
    <font>
      <sz val="10"/>
      <color theme="1"/>
      <name val="맑은 고딕"/>
      <family val="2"/>
      <charset val="129"/>
    </font>
    <font>
      <b/>
      <sz val="11"/>
      <color theme="1"/>
      <name val="맑은 고딕"/>
      <family val="3"/>
      <charset val="129"/>
      <scheme val="minor"/>
    </font>
    <font>
      <sz val="11"/>
      <name val="돋움"/>
      <family val="3"/>
      <charset val="129"/>
    </font>
    <font>
      <sz val="9"/>
      <color indexed="8"/>
      <name val="굴림체"/>
      <family val="3"/>
      <charset val="129"/>
    </font>
    <font>
      <sz val="10"/>
      <name val="Arial"/>
      <family val="2"/>
    </font>
    <font>
      <sz val="11"/>
      <color theme="1"/>
      <name val="맑은 고딕"/>
      <family val="3"/>
      <charset val="129"/>
      <scheme val="minor"/>
    </font>
    <font>
      <sz val="11"/>
      <color theme="0"/>
      <name val="맑은 고딕"/>
      <family val="3"/>
      <charset val="129"/>
      <scheme val="minor"/>
    </font>
    <font>
      <b/>
      <sz val="11"/>
      <name val="맑은 고딕"/>
      <family val="3"/>
      <charset val="129"/>
      <scheme val="minor"/>
    </font>
    <font>
      <sz val="11"/>
      <name val="맑은 고딕"/>
      <family val="3"/>
      <charset val="129"/>
      <scheme val="minor"/>
    </font>
    <font>
      <sz val="11"/>
      <name val="맑은 고딕"/>
      <family val="3"/>
      <charset val="129"/>
    </font>
    <font>
      <sz val="11"/>
      <color rgb="FF0070C0"/>
      <name val="맑은 고딕"/>
      <family val="3"/>
      <charset val="129"/>
      <scheme val="minor"/>
    </font>
    <font>
      <sz val="10"/>
      <color theme="1"/>
      <name val="맑은 고딕"/>
      <family val="3"/>
      <charset val="129"/>
      <scheme val="major"/>
    </font>
    <font>
      <sz val="11"/>
      <name val="굴림체"/>
      <family val="3"/>
      <charset val="129"/>
    </font>
    <font>
      <b/>
      <sz val="10"/>
      <name val="맑은 고딕"/>
      <family val="3"/>
      <charset val="129"/>
      <scheme val="minor"/>
    </font>
    <font>
      <b/>
      <sz val="10"/>
      <color theme="0"/>
      <name val="맑은 고딕"/>
      <family val="3"/>
      <charset val="129"/>
      <scheme val="minor"/>
    </font>
    <font>
      <b/>
      <sz val="10"/>
      <color theme="1"/>
      <name val="맑은 고딕"/>
      <family val="3"/>
      <charset val="129"/>
      <scheme val="minor"/>
    </font>
    <font>
      <sz val="10"/>
      <name val="맑은 고딕"/>
      <family val="3"/>
      <charset val="129"/>
    </font>
    <font>
      <sz val="10"/>
      <color rgb="FFFF0000"/>
      <name val="맑은 고딕"/>
      <family val="3"/>
      <charset val="129"/>
      <scheme val="minor"/>
    </font>
    <font>
      <i/>
      <sz val="10"/>
      <color theme="1"/>
      <name val="맑은 고딕"/>
      <family val="3"/>
      <charset val="129"/>
      <scheme val="minor"/>
    </font>
    <font>
      <b/>
      <sz val="11"/>
      <color theme="4"/>
      <name val="맑은 고딕"/>
      <family val="2"/>
      <scheme val="minor"/>
    </font>
    <font>
      <sz val="9"/>
      <color theme="1"/>
      <name val="맑은 고딕"/>
      <family val="2"/>
      <scheme val="minor"/>
    </font>
    <font>
      <b/>
      <sz val="9"/>
      <color theme="4"/>
      <name val="맑은 고딕"/>
      <family val="2"/>
      <scheme val="minor"/>
    </font>
    <font>
      <sz val="11"/>
      <color theme="1"/>
      <name val="맑은 고딕"/>
      <family val="2"/>
      <scheme val="minor"/>
    </font>
    <font>
      <sz val="11"/>
      <color theme="0"/>
      <name val="맑은 고딕"/>
      <family val="2"/>
      <charset val="129"/>
      <scheme val="minor"/>
    </font>
    <font>
      <sz val="10"/>
      <color rgb="FF006100"/>
      <name val="맑은 고딕"/>
      <family val="2"/>
      <charset val="129"/>
      <scheme val="minor"/>
    </font>
    <font>
      <sz val="10"/>
      <color rgb="FF9C0006"/>
      <name val="맑은 고딕"/>
      <family val="3"/>
      <charset val="129"/>
      <scheme val="minor"/>
    </font>
    <font>
      <sz val="9"/>
      <name val="굴림"/>
      <family val="3"/>
      <charset val="129"/>
    </font>
    <font>
      <sz val="11"/>
      <color indexed="8"/>
      <name val="맑은 고딕"/>
      <family val="2"/>
      <scheme val="minor"/>
    </font>
    <font>
      <sz val="10"/>
      <color indexed="8"/>
      <name val="Arial"/>
      <family val="2"/>
    </font>
    <font>
      <b/>
      <sz val="10"/>
      <color rgb="FFFF0000"/>
      <name val="맑은 고딕"/>
      <family val="3"/>
      <charset val="129"/>
      <scheme val="minor"/>
    </font>
    <font>
      <sz val="10"/>
      <color rgb="FF0070C0"/>
      <name val="맑은 고딕"/>
      <family val="3"/>
      <charset val="129"/>
      <scheme val="minor"/>
    </font>
    <font>
      <sz val="10"/>
      <color theme="3" tint="0.39997558519241921"/>
      <name val="맑은 고딕"/>
      <family val="3"/>
      <charset val="129"/>
      <scheme val="minor"/>
    </font>
    <font>
      <sz val="10"/>
      <color theme="1"/>
      <name val="가는각진제목체"/>
      <family val="1"/>
      <charset val="129"/>
    </font>
    <font>
      <sz val="9"/>
      <color theme="1"/>
      <name val="가는각진제목체"/>
      <family val="1"/>
      <charset val="129"/>
    </font>
    <font>
      <b/>
      <sz val="14"/>
      <name val="맑은 고딕"/>
      <family val="3"/>
      <charset val="129"/>
      <scheme val="minor"/>
    </font>
    <font>
      <sz val="9"/>
      <name val="굴림체"/>
      <family val="3"/>
      <charset val="129"/>
    </font>
    <font>
      <b/>
      <i/>
      <sz val="10"/>
      <name val="Arial"/>
      <family val="2"/>
    </font>
    <font>
      <sz val="10"/>
      <name val="Times New Roman"/>
      <family val="1"/>
    </font>
    <font>
      <sz val="10"/>
      <color rgb="FFFF0000"/>
      <name val="맑은 고딕"/>
      <family val="2"/>
      <charset val="129"/>
      <scheme val="minor"/>
    </font>
    <font>
      <b/>
      <sz val="10"/>
      <color theme="1"/>
      <name val="맑은 고딕"/>
      <family val="3"/>
      <charset val="129"/>
    </font>
    <font>
      <sz val="10"/>
      <color theme="1"/>
      <name val="맑은 고딕"/>
      <family val="3"/>
      <charset val="129"/>
    </font>
    <font>
      <b/>
      <sz val="10"/>
      <name val="맑은 고딕"/>
      <family val="3"/>
      <charset val="129"/>
    </font>
    <font>
      <sz val="12"/>
      <name val="바탕체"/>
      <family val="1"/>
      <charset val="129"/>
    </font>
    <font>
      <b/>
      <u/>
      <sz val="15"/>
      <name val="맑은 고딕"/>
      <family val="3"/>
      <charset val="129"/>
    </font>
    <font>
      <b/>
      <sz val="10"/>
      <color rgb="FF000000"/>
      <name val="맑은 고딕"/>
      <family val="3"/>
      <charset val="129"/>
    </font>
    <font>
      <sz val="10"/>
      <color rgb="FF000000"/>
      <name val="맑은 고딕"/>
      <family val="3"/>
      <charset val="129"/>
    </font>
    <font>
      <sz val="9"/>
      <color rgb="FF000000"/>
      <name val="맑은 고딕"/>
      <family val="3"/>
      <charset val="129"/>
    </font>
    <font>
      <sz val="9"/>
      <color rgb="FF000FFF"/>
      <name val="맑은 고딕"/>
      <family val="3"/>
      <charset val="129"/>
    </font>
    <font>
      <b/>
      <sz val="9"/>
      <color rgb="FF000000"/>
      <name val="맑은 고딕"/>
      <family val="3"/>
      <charset val="129"/>
    </font>
    <font>
      <b/>
      <sz val="10"/>
      <color rgb="FF000000"/>
      <name val="맑은 고딕"/>
      <family val="3"/>
      <charset val="129"/>
      <scheme val="minor"/>
    </font>
    <font>
      <sz val="10"/>
      <color rgb="FF000000"/>
      <name val="맑은 고딕"/>
      <family val="3"/>
      <charset val="129"/>
      <scheme val="minor"/>
    </font>
    <font>
      <sz val="10"/>
      <color rgb="FF000FFF"/>
      <name val="맑은 고딕"/>
      <family val="3"/>
      <charset val="129"/>
      <scheme val="minor"/>
    </font>
    <font>
      <sz val="10"/>
      <color rgb="FF000FFF"/>
      <name val="맑은 고딕"/>
      <family val="3"/>
      <charset val="129"/>
    </font>
    <font>
      <i/>
      <sz val="10"/>
      <color rgb="FF000000"/>
      <name val="맑은 고딕"/>
      <family val="3"/>
      <charset val="129"/>
    </font>
    <font>
      <sz val="10"/>
      <name val="돋움"/>
      <family val="3"/>
      <charset val="129"/>
    </font>
    <font>
      <b/>
      <u/>
      <sz val="10"/>
      <name val="맑은 고딕"/>
      <family val="3"/>
      <charset val="129"/>
      <scheme val="minor"/>
    </font>
    <font>
      <sz val="9"/>
      <name val="Arial"/>
      <family val="2"/>
    </font>
    <font>
      <sz val="9"/>
      <name val="맑은 고딕"/>
      <family val="3"/>
      <charset val="129"/>
      <scheme val="minor"/>
    </font>
    <font>
      <b/>
      <sz val="9"/>
      <color indexed="8"/>
      <name val="맑은 고딕"/>
      <family val="3"/>
      <charset val="129"/>
      <scheme val="minor"/>
    </font>
    <font>
      <sz val="9"/>
      <color theme="1"/>
      <name val="맑은 고딕"/>
      <family val="3"/>
      <charset val="129"/>
      <scheme val="minor"/>
    </font>
    <font>
      <sz val="9"/>
      <color indexed="8"/>
      <name val="맑은 고딕"/>
      <family val="3"/>
      <charset val="129"/>
      <scheme val="minor"/>
    </font>
    <font>
      <b/>
      <sz val="9"/>
      <color theme="0"/>
      <name val="맑은 고딕"/>
      <family val="3"/>
      <charset val="129"/>
      <scheme val="minor"/>
    </font>
    <font>
      <b/>
      <sz val="9"/>
      <color theme="1"/>
      <name val="맑은 고딕"/>
      <family val="3"/>
      <charset val="129"/>
      <scheme val="minor"/>
    </font>
  </fonts>
  <fills count="2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1"/>
        <bgColor indexed="64"/>
      </patternFill>
    </fill>
    <fill>
      <patternFill patternType="solid">
        <fgColor rgb="FFC6EFCE"/>
      </patternFill>
    </fill>
    <fill>
      <patternFill patternType="solid">
        <fgColor theme="7" tint="0.39997558519241921"/>
        <bgColor indexed="65"/>
      </patternFill>
    </fill>
    <fill>
      <patternFill patternType="solid">
        <fgColor rgb="FFFFC7CE"/>
        <bgColor indexed="64"/>
      </patternFill>
    </fill>
    <fill>
      <patternFill patternType="solid">
        <fgColor rgb="FFFFC000"/>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indexed="9"/>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indexed="43"/>
        <bgColor indexed="64"/>
      </patternFill>
    </fill>
    <fill>
      <patternFill patternType="solid">
        <fgColor rgb="FFF0F0F0"/>
      </patternFill>
    </fill>
    <fill>
      <patternFill patternType="solid">
        <fgColor rgb="FFFFFFFF"/>
      </patternFill>
    </fill>
    <fill>
      <patternFill patternType="solid">
        <fgColor rgb="FFE0F6DF"/>
      </patternFill>
    </fill>
    <fill>
      <patternFill patternType="solid">
        <fgColor rgb="FF00B0F0"/>
        <bgColor indexed="64"/>
      </patternFill>
    </fill>
  </fills>
  <borders count="50">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indexed="64"/>
      </left>
      <right style="thin">
        <color indexed="64"/>
      </right>
      <top/>
      <bottom style="thin">
        <color indexed="64"/>
      </bottom>
      <diagonal/>
    </border>
    <border>
      <left/>
      <right/>
      <top/>
      <bottom style="thin">
        <color auto="1"/>
      </bottom>
      <diagonal/>
    </border>
    <border>
      <left/>
      <right/>
      <top/>
      <bottom style="medium">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auto="1"/>
      </left>
      <right/>
      <top/>
      <bottom style="thin">
        <color auto="1"/>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style="thin">
        <color rgb="FFB3B3B3"/>
      </left>
      <right style="thin">
        <color rgb="FFB3B3B3"/>
      </right>
      <top style="thin">
        <color rgb="FFB3B3B3"/>
      </top>
      <bottom style="thin">
        <color rgb="FFB3B3B3"/>
      </bottom>
      <diagonal/>
    </border>
    <border>
      <left style="thin">
        <color rgb="FFB3B3B3"/>
      </left>
      <right/>
      <top style="thin">
        <color rgb="FFB3B3B3"/>
      </top>
      <bottom/>
      <diagonal/>
    </border>
    <border>
      <left/>
      <right style="thin">
        <color rgb="FFB3B3B3"/>
      </right>
      <top style="thin">
        <color rgb="FFB3B3B3"/>
      </top>
      <bottom/>
      <diagonal/>
    </border>
    <border>
      <left style="thin">
        <color rgb="FFB3B3B3"/>
      </left>
      <right style="thin">
        <color rgb="FFB3B3B3"/>
      </right>
      <top style="thin">
        <color rgb="FFFFFFFF"/>
      </top>
      <bottom style="thin">
        <color rgb="FFB3B3B3"/>
      </bottom>
      <diagonal/>
    </border>
    <border>
      <left style="thin">
        <color rgb="FFB3B3B3"/>
      </left>
      <right/>
      <top/>
      <bottom style="thin">
        <color rgb="FFB3B3B3"/>
      </bottom>
      <diagonal/>
    </border>
    <border>
      <left/>
      <right style="thin">
        <color rgb="FFB3B3B3"/>
      </right>
      <top/>
      <bottom style="thin">
        <color rgb="FFB3B3B3"/>
      </bottom>
      <diagonal/>
    </border>
    <border>
      <left style="thin">
        <color rgb="FFB3B3B3"/>
      </left>
      <right/>
      <top style="thin">
        <color rgb="FFFFFFFF"/>
      </top>
      <bottom style="thin">
        <color rgb="FFB3B3B3"/>
      </bottom>
      <diagonal/>
    </border>
    <border>
      <left style="thin">
        <color rgb="FFB3B3B3"/>
      </left>
      <right style="thin">
        <color rgb="FFB3B3B3"/>
      </right>
      <top/>
      <bottom style="thin">
        <color rgb="FFB3B3B3"/>
      </bottom>
      <diagonal/>
    </border>
  </borders>
  <cellStyleXfs count="78">
    <xf numFmtId="0" fontId="0" fillId="0" borderId="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0" borderId="0">
      <alignment vertical="center"/>
    </xf>
    <xf numFmtId="0" fontId="7" fillId="0" borderId="0">
      <alignment vertical="center"/>
    </xf>
    <xf numFmtId="0" fontId="17" fillId="0" borderId="0">
      <alignment vertical="center"/>
    </xf>
    <xf numFmtId="41" fontId="17" fillId="0" borderId="0" applyFont="0" applyFill="0" applyBorder="0" applyAlignment="0" applyProtection="0">
      <alignment vertical="center"/>
    </xf>
    <xf numFmtId="41" fontId="7" fillId="0" borderId="0" applyFont="0" applyFill="0" applyBorder="0" applyAlignment="0" applyProtection="0">
      <alignment vertical="center"/>
    </xf>
    <xf numFmtId="9" fontId="7" fillId="0" borderId="0" applyFont="0" applyFill="0" applyBorder="0" applyAlignment="0" applyProtection="0">
      <alignment vertical="center"/>
    </xf>
    <xf numFmtId="9" fontId="17" fillId="0" borderId="0" applyFont="0" applyFill="0" applyBorder="0" applyAlignment="0" applyProtection="0">
      <alignment vertical="center"/>
    </xf>
    <xf numFmtId="0" fontId="19" fillId="0" borderId="0">
      <alignment vertical="center"/>
    </xf>
    <xf numFmtId="0" fontId="20" fillId="0" borderId="0"/>
    <xf numFmtId="41" fontId="20" fillId="0" borderId="0" applyFont="0" applyFill="0" applyBorder="0" applyAlignment="0" applyProtection="0">
      <alignment vertical="center"/>
    </xf>
    <xf numFmtId="41" fontId="20" fillId="0" borderId="0" applyFont="0" applyFill="0" applyBorder="0" applyAlignment="0" applyProtection="0"/>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19" fillId="0" borderId="0" applyFont="0" applyFill="0" applyBorder="0" applyAlignment="0" applyProtection="0">
      <alignment vertical="center"/>
    </xf>
    <xf numFmtId="0" fontId="17" fillId="0" borderId="0">
      <alignment vertical="center"/>
    </xf>
    <xf numFmtId="9" fontId="20" fillId="0" borderId="0" applyFont="0" applyFill="0" applyBorder="0" applyAlignment="0" applyProtection="0">
      <alignment vertical="center"/>
    </xf>
    <xf numFmtId="0" fontId="21" fillId="0" borderId="0" applyNumberFormat="0" applyFill="0" applyBorder="0" applyAlignment="0" applyProtection="0"/>
    <xf numFmtId="41" fontId="21" fillId="0" borderId="0" applyFont="0" applyFill="0" applyBorder="0" applyAlignment="0" applyProtection="0">
      <alignment vertical="center"/>
    </xf>
    <xf numFmtId="41" fontId="21" fillId="0" borderId="0" applyFont="0" applyFill="0" applyBorder="0" applyAlignment="0" applyProtection="0">
      <alignment vertical="center"/>
    </xf>
    <xf numFmtId="9" fontId="21" fillId="0" borderId="0" applyFont="0" applyFill="0" applyBorder="0" applyAlignment="0" applyProtection="0">
      <alignment vertical="center"/>
    </xf>
    <xf numFmtId="0" fontId="6" fillId="0" borderId="0">
      <alignment vertical="center"/>
    </xf>
    <xf numFmtId="0" fontId="5" fillId="0" borderId="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0" fontId="29" fillId="0" borderId="0">
      <alignment vertical="center"/>
    </xf>
    <xf numFmtId="41"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5" fillId="0" borderId="0" applyFont="0" applyFill="0" applyBorder="0" applyAlignment="0" applyProtection="0">
      <alignment vertical="center"/>
    </xf>
    <xf numFmtId="9" fontId="5" fillId="0" borderId="0" applyFont="0" applyFill="0" applyBorder="0" applyAlignment="0" applyProtection="0">
      <alignment vertical="center"/>
    </xf>
    <xf numFmtId="0" fontId="21" fillId="0" borderId="0"/>
    <xf numFmtId="0" fontId="36" fillId="0" borderId="0" applyAlignment="0" applyProtection="0"/>
    <xf numFmtId="189" fontId="37" fillId="0" borderId="0"/>
    <xf numFmtId="0" fontId="37" fillId="0" borderId="0" applyFill="0" applyBorder="0" applyProtection="0"/>
    <xf numFmtId="178" fontId="37" fillId="0" borderId="0" applyFont="0" applyFill="0" applyBorder="0" applyAlignment="0" applyProtection="0"/>
    <xf numFmtId="0" fontId="38" fillId="0" borderId="17" applyFill="0" applyProtection="0">
      <alignment horizontal="left" wrapText="1"/>
    </xf>
    <xf numFmtId="0" fontId="39" fillId="0" borderId="0"/>
    <xf numFmtId="41" fontId="39" fillId="0" borderId="0" applyFont="0" applyFill="0" applyBorder="0" applyAlignment="0" applyProtection="0">
      <alignment vertical="center"/>
    </xf>
    <xf numFmtId="41" fontId="5" fillId="0" borderId="0" applyFont="0" applyFill="0" applyBorder="0" applyAlignment="0" applyProtection="0">
      <alignment vertical="center"/>
    </xf>
    <xf numFmtId="0" fontId="40" fillId="11" borderId="0" applyNumberFormat="0" applyBorder="0" applyAlignment="0" applyProtection="0">
      <alignment vertical="center"/>
    </xf>
    <xf numFmtId="190" fontId="41" fillId="10" borderId="0" applyBorder="0" applyAlignment="0" applyProtection="0">
      <alignment vertical="center"/>
    </xf>
    <xf numFmtId="191" fontId="42" fillId="12" borderId="0">
      <alignment vertical="center"/>
    </xf>
    <xf numFmtId="9" fontId="19" fillId="0" borderId="0" applyFont="0" applyFill="0" applyBorder="0" applyAlignment="0" applyProtection="0">
      <alignment vertical="center"/>
    </xf>
    <xf numFmtId="0" fontId="5" fillId="0" borderId="0">
      <alignment vertical="center"/>
    </xf>
    <xf numFmtId="0" fontId="43" fillId="0" borderId="0">
      <alignment vertical="top"/>
      <protection locked="0"/>
    </xf>
    <xf numFmtId="0" fontId="44" fillId="0" borderId="0">
      <alignment vertical="center"/>
    </xf>
    <xf numFmtId="0" fontId="4" fillId="0" borderId="0">
      <alignment vertical="center"/>
    </xf>
    <xf numFmtId="41" fontId="4" fillId="0" borderId="0" applyFont="0" applyFill="0" applyBorder="0" applyAlignment="0" applyProtection="0">
      <alignment vertical="center"/>
    </xf>
    <xf numFmtId="9" fontId="4" fillId="0" borderId="0" applyFont="0" applyFill="0" applyBorder="0" applyAlignment="0" applyProtection="0">
      <alignment vertical="center"/>
    </xf>
    <xf numFmtId="0" fontId="45" fillId="0" borderId="0"/>
    <xf numFmtId="0" fontId="45" fillId="0" borderId="0"/>
    <xf numFmtId="41" fontId="45" fillId="0" borderId="0" applyFont="0" applyFill="0" applyBorder="0" applyAlignment="0" applyProtection="0"/>
    <xf numFmtId="0" fontId="21" fillId="0" borderId="0"/>
    <xf numFmtId="0" fontId="4" fillId="0" borderId="0">
      <alignment vertical="center"/>
    </xf>
    <xf numFmtId="41" fontId="3" fillId="0" borderId="0" applyFont="0" applyFill="0" applyBorder="0" applyAlignment="0" applyProtection="0">
      <alignment vertical="center"/>
    </xf>
    <xf numFmtId="0" fontId="4" fillId="0" borderId="0">
      <alignment vertical="center"/>
    </xf>
    <xf numFmtId="41" fontId="44" fillId="0" borderId="0" applyFont="0" applyFill="0" applyBorder="0" applyAlignment="0" applyProtection="0">
      <alignment vertical="center"/>
    </xf>
    <xf numFmtId="9" fontId="44" fillId="0" borderId="0" applyFont="0" applyFill="0" applyBorder="0" applyAlignment="0" applyProtection="0">
      <alignment vertical="center"/>
    </xf>
    <xf numFmtId="0" fontId="2" fillId="0" borderId="0">
      <alignment vertical="center"/>
    </xf>
    <xf numFmtId="9" fontId="21" fillId="0" borderId="0" applyFont="0" applyFill="0" applyBorder="0" applyAlignment="0" applyProtection="0"/>
    <xf numFmtId="0" fontId="4" fillId="0" borderId="0">
      <alignment vertical="center"/>
    </xf>
    <xf numFmtId="3" fontId="21" fillId="0" borderId="0" applyFont="0" applyFill="0" applyBorder="0" applyAlignment="0" applyProtection="0"/>
    <xf numFmtId="0" fontId="4" fillId="0" borderId="0">
      <alignment vertical="center"/>
    </xf>
    <xf numFmtId="9" fontId="4" fillId="0" borderId="0" applyFont="0" applyFill="0" applyBorder="0" applyAlignment="0" applyProtection="0">
      <alignment vertical="center"/>
    </xf>
    <xf numFmtId="198" fontId="53" fillId="0" borderId="0" applyFont="0" applyFill="0" applyBorder="0" applyAlignment="0" applyProtection="0"/>
    <xf numFmtId="41" fontId="4" fillId="0" borderId="0" applyFont="0" applyFill="0" applyBorder="0" applyAlignment="0" applyProtection="0">
      <alignment vertical="center"/>
    </xf>
    <xf numFmtId="0" fontId="52" fillId="0" borderId="0"/>
    <xf numFmtId="41" fontId="19" fillId="0" borderId="0" applyFont="0" applyFill="0" applyBorder="0" applyAlignment="0" applyProtection="0">
      <alignment vertical="center"/>
    </xf>
    <xf numFmtId="0" fontId="20" fillId="0" borderId="0"/>
    <xf numFmtId="201" fontId="59" fillId="0" borderId="0" applyFont="0" applyFill="0" applyBorder="0" applyAlignment="0" applyProtection="0"/>
    <xf numFmtId="0" fontId="71" fillId="0" borderId="0"/>
    <xf numFmtId="41" fontId="71" fillId="0" borderId="0" applyFont="0" applyFill="0" applyBorder="0" applyAlignment="0" applyProtection="0">
      <alignment vertical="center"/>
    </xf>
    <xf numFmtId="0" fontId="1" fillId="0" borderId="0">
      <alignment vertical="center"/>
    </xf>
    <xf numFmtId="207" fontId="37" fillId="0" borderId="0" applyFont="0" applyFill="0" applyBorder="0" applyAlignment="0" applyProtection="0"/>
    <xf numFmtId="41" fontId="37" fillId="0" borderId="0" applyFont="0" applyFill="0" applyBorder="0" applyAlignment="0" applyProtection="0">
      <alignment vertical="center"/>
    </xf>
    <xf numFmtId="208" fontId="73" fillId="0" borderId="0" applyAlignment="0" applyProtection="0"/>
  </cellStyleXfs>
  <cellXfs count="482">
    <xf numFmtId="0" fontId="0" fillId="0" borderId="0" xfId="0">
      <alignment vertical="center"/>
    </xf>
    <xf numFmtId="0" fontId="8" fillId="0" borderId="0" xfId="3" applyFont="1">
      <alignment vertical="center"/>
    </xf>
    <xf numFmtId="0" fontId="13" fillId="5" borderId="0" xfId="3" applyFont="1" applyFill="1">
      <alignment vertical="center"/>
    </xf>
    <xf numFmtId="0" fontId="14" fillId="5" borderId="0" xfId="3" applyFont="1" applyFill="1">
      <alignment vertical="center"/>
    </xf>
    <xf numFmtId="0" fontId="12" fillId="5" borderId="0" xfId="3" applyFont="1" applyFill="1">
      <alignment vertical="center"/>
    </xf>
    <xf numFmtId="0" fontId="15" fillId="5" borderId="0" xfId="3" applyFont="1" applyFill="1">
      <alignment vertical="center"/>
    </xf>
    <xf numFmtId="0" fontId="22" fillId="0" borderId="0" xfId="0" applyFont="1">
      <alignment vertical="center"/>
    </xf>
    <xf numFmtId="3" fontId="8" fillId="0" borderId="1" xfId="3" applyNumberFormat="1" applyFont="1" applyBorder="1">
      <alignment vertical="center"/>
    </xf>
    <xf numFmtId="0" fontId="8" fillId="0" borderId="3" xfId="3" applyFont="1" applyBorder="1" applyAlignment="1">
      <alignment vertical="center" shrinkToFit="1"/>
    </xf>
    <xf numFmtId="0" fontId="8" fillId="0" borderId="4" xfId="3" applyFont="1" applyBorder="1" applyAlignment="1">
      <alignment vertical="center" shrinkToFit="1"/>
    </xf>
    <xf numFmtId="0" fontId="8" fillId="0" borderId="2" xfId="3" applyFont="1" applyBorder="1">
      <alignment vertical="center"/>
    </xf>
    <xf numFmtId="41" fontId="8" fillId="0" borderId="4" xfId="3" applyNumberFormat="1" applyFont="1" applyBorder="1">
      <alignment vertical="center"/>
    </xf>
    <xf numFmtId="10" fontId="11" fillId="0" borderId="3" xfId="3" applyNumberFormat="1" applyFont="1" applyBorder="1">
      <alignment vertical="center"/>
    </xf>
    <xf numFmtId="0" fontId="7" fillId="0" borderId="0" xfId="0" applyFont="1">
      <alignment vertical="center"/>
    </xf>
    <xf numFmtId="0" fontId="22" fillId="0" borderId="0" xfId="3" applyFont="1">
      <alignment vertical="center"/>
    </xf>
    <xf numFmtId="0" fontId="22" fillId="0" borderId="1" xfId="3" applyFont="1" applyBorder="1" applyAlignment="1">
      <alignment horizontal="center" vertical="center"/>
    </xf>
    <xf numFmtId="177" fontId="24" fillId="4" borderId="1" xfId="3" applyNumberFormat="1" applyFont="1" applyFill="1" applyBorder="1" applyAlignment="1">
      <alignment horizontal="center" vertical="center"/>
    </xf>
    <xf numFmtId="0" fontId="25" fillId="4" borderId="1" xfId="3" applyFont="1" applyFill="1" applyBorder="1" applyAlignment="1">
      <alignment horizontal="center" vertical="center"/>
    </xf>
    <xf numFmtId="0" fontId="22" fillId="2" borderId="1" xfId="3" applyFont="1" applyFill="1" applyBorder="1">
      <alignment vertical="center"/>
    </xf>
    <xf numFmtId="0" fontId="22" fillId="0" borderId="1" xfId="3" applyFont="1" applyBorder="1" applyAlignment="1">
      <alignment horizontal="left" vertical="center" indent="1"/>
    </xf>
    <xf numFmtId="176" fontId="22" fillId="0" borderId="1" xfId="3" applyNumberFormat="1" applyFont="1" applyBorder="1">
      <alignment vertical="center"/>
    </xf>
    <xf numFmtId="0" fontId="22" fillId="0" borderId="1" xfId="3" applyFont="1" applyBorder="1">
      <alignment vertical="center"/>
    </xf>
    <xf numFmtId="176" fontId="22" fillId="2" borderId="1" xfId="3" applyNumberFormat="1" applyFont="1" applyFill="1" applyBorder="1">
      <alignment vertical="center"/>
    </xf>
    <xf numFmtId="41" fontId="22" fillId="0" borderId="0" xfId="3" applyNumberFormat="1" applyFont="1" applyAlignment="1">
      <alignment horizontal="center" vertical="center"/>
    </xf>
    <xf numFmtId="41" fontId="22" fillId="0" borderId="0" xfId="3" applyNumberFormat="1" applyFont="1">
      <alignment vertical="center"/>
    </xf>
    <xf numFmtId="181" fontId="23" fillId="7" borderId="1" xfId="3" applyNumberFormat="1" applyFont="1" applyFill="1" applyBorder="1" applyAlignment="1">
      <alignment horizontal="centerContinuous" vertical="center"/>
    </xf>
    <xf numFmtId="181" fontId="23" fillId="7" borderId="1" xfId="3" applyNumberFormat="1" applyFont="1" applyFill="1" applyBorder="1" applyAlignment="1">
      <alignment horizontal="center" vertical="center"/>
    </xf>
    <xf numFmtId="181" fontId="22" fillId="0" borderId="0" xfId="3" applyNumberFormat="1" applyFont="1">
      <alignment vertical="center"/>
    </xf>
    <xf numFmtId="181" fontId="18" fillId="4" borderId="1" xfId="3" applyNumberFormat="1" applyFont="1" applyFill="1" applyBorder="1">
      <alignment vertical="center"/>
    </xf>
    <xf numFmtId="181" fontId="22" fillId="4" borderId="1" xfId="3" applyNumberFormat="1" applyFont="1" applyFill="1" applyBorder="1">
      <alignment vertical="center"/>
    </xf>
    <xf numFmtId="181" fontId="22" fillId="4" borderId="1" xfId="3" applyNumberFormat="1" applyFont="1" applyFill="1" applyBorder="1" applyAlignment="1">
      <alignment horizontal="center" vertical="center"/>
    </xf>
    <xf numFmtId="181" fontId="18" fillId="0" borderId="1" xfId="3" applyNumberFormat="1" applyFont="1" applyBorder="1">
      <alignment vertical="center"/>
    </xf>
    <xf numFmtId="181" fontId="22" fillId="0" borderId="1" xfId="3" applyNumberFormat="1" applyFont="1" applyBorder="1" applyAlignment="1">
      <alignment horizontal="center" vertical="center"/>
    </xf>
    <xf numFmtId="181" fontId="27" fillId="0" borderId="1" xfId="3" applyNumberFormat="1" applyFont="1" applyBorder="1" applyAlignment="1">
      <alignment horizontal="center" vertical="center"/>
    </xf>
    <xf numFmtId="181" fontId="22" fillId="0" borderId="1" xfId="3" applyNumberFormat="1" applyFont="1" applyBorder="1">
      <alignment vertical="center"/>
    </xf>
    <xf numFmtId="14" fontId="27" fillId="0" borderId="1" xfId="3" applyNumberFormat="1" applyFont="1" applyBorder="1" applyAlignment="1">
      <alignment horizontal="center" vertical="center"/>
    </xf>
    <xf numFmtId="41" fontId="22" fillId="0" borderId="1" xfId="3" applyNumberFormat="1" applyFont="1" applyBorder="1">
      <alignment vertical="center"/>
    </xf>
    <xf numFmtId="0" fontId="27" fillId="0" borderId="1" xfId="3" applyFont="1" applyBorder="1" applyAlignment="1">
      <alignment horizontal="center" vertical="center"/>
    </xf>
    <xf numFmtId="14" fontId="22" fillId="0" borderId="1" xfId="3" applyNumberFormat="1" applyFont="1" applyBorder="1" applyAlignment="1">
      <alignment horizontal="center" vertical="center"/>
    </xf>
    <xf numFmtId="181" fontId="27" fillId="4" borderId="1" xfId="3" applyNumberFormat="1" applyFont="1" applyFill="1" applyBorder="1" applyAlignment="1">
      <alignment horizontal="center" vertical="center"/>
    </xf>
    <xf numFmtId="0" fontId="18" fillId="0" borderId="1" xfId="3" applyFont="1" applyBorder="1">
      <alignment vertical="center"/>
    </xf>
    <xf numFmtId="10" fontId="27" fillId="0" borderId="1" xfId="3" applyNumberFormat="1" applyFont="1" applyBorder="1" applyAlignment="1">
      <alignment horizontal="center" vertical="center"/>
    </xf>
    <xf numFmtId="178" fontId="22" fillId="0" borderId="1" xfId="3" applyNumberFormat="1" applyFont="1" applyBorder="1">
      <alignment vertical="center"/>
    </xf>
    <xf numFmtId="178" fontId="22" fillId="0" borderId="1" xfId="3" applyNumberFormat="1" applyFont="1" applyBorder="1" applyAlignment="1">
      <alignment horizontal="center" vertical="center"/>
    </xf>
    <xf numFmtId="178" fontId="27" fillId="0" borderId="1" xfId="3" applyNumberFormat="1" applyFont="1" applyBorder="1" applyAlignment="1">
      <alignment horizontal="center" vertical="center"/>
    </xf>
    <xf numFmtId="0" fontId="18" fillId="0" borderId="0" xfId="3" applyFont="1">
      <alignment vertical="center"/>
    </xf>
    <xf numFmtId="0" fontId="8" fillId="0" borderId="2" xfId="0" applyFont="1" applyBorder="1">
      <alignment vertical="center"/>
    </xf>
    <xf numFmtId="0" fontId="8" fillId="0" borderId="0" xfId="0" applyFont="1">
      <alignment vertical="center"/>
    </xf>
    <xf numFmtId="0" fontId="26" fillId="0" borderId="0" xfId="0" applyFont="1" applyAlignment="1">
      <alignment horizontal="center" vertical="center"/>
    </xf>
    <xf numFmtId="0" fontId="18" fillId="2" borderId="1" xfId="3" applyFont="1" applyFill="1" applyBorder="1" applyAlignment="1">
      <alignment horizontal="center" vertical="center"/>
    </xf>
    <xf numFmtId="0" fontId="7" fillId="0" borderId="1" xfId="0" applyFont="1" applyBorder="1">
      <alignment vertical="center"/>
    </xf>
    <xf numFmtId="176" fontId="7" fillId="0" borderId="0" xfId="0" applyNumberFormat="1" applyFont="1">
      <alignment vertical="center"/>
    </xf>
    <xf numFmtId="3" fontId="7" fillId="0" borderId="0" xfId="0" applyNumberFormat="1" applyFont="1">
      <alignment vertical="center"/>
    </xf>
    <xf numFmtId="0" fontId="8" fillId="0" borderId="1" xfId="3" applyFont="1" applyBorder="1">
      <alignment vertical="center"/>
    </xf>
    <xf numFmtId="9" fontId="8" fillId="0" borderId="1" xfId="2" applyFont="1" applyBorder="1">
      <alignment vertical="center"/>
    </xf>
    <xf numFmtId="185" fontId="22" fillId="0" borderId="1" xfId="3" applyNumberFormat="1" applyFont="1" applyBorder="1">
      <alignment vertical="center"/>
    </xf>
    <xf numFmtId="3" fontId="0" fillId="0" borderId="0" xfId="0" applyNumberFormat="1">
      <alignment vertical="center"/>
    </xf>
    <xf numFmtId="0" fontId="28" fillId="0" borderId="0" xfId="0" applyFont="1">
      <alignment vertical="center"/>
    </xf>
    <xf numFmtId="3" fontId="8" fillId="0" borderId="0" xfId="0" applyNumberFormat="1" applyFont="1">
      <alignment vertical="center"/>
    </xf>
    <xf numFmtId="0" fontId="11" fillId="0" borderId="0" xfId="0" applyFont="1">
      <alignment vertical="center"/>
    </xf>
    <xf numFmtId="0" fontId="33" fillId="0" borderId="0" xfId="0" applyFont="1" applyAlignment="1">
      <alignment horizontal="center" vertical="center"/>
    </xf>
    <xf numFmtId="0" fontId="32" fillId="0" borderId="0" xfId="3" applyFont="1">
      <alignment vertical="center"/>
    </xf>
    <xf numFmtId="0" fontId="11" fillId="0" borderId="0" xfId="3" applyFont="1">
      <alignment vertical="center"/>
    </xf>
    <xf numFmtId="0" fontId="11" fillId="0" borderId="1" xfId="0" applyFont="1" applyBorder="1" applyAlignment="1">
      <alignment vertical="center" shrinkToFit="1"/>
    </xf>
    <xf numFmtId="0" fontId="11" fillId="0" borderId="1" xfId="0" applyFont="1" applyBorder="1" applyAlignment="1">
      <alignment horizontal="center" vertical="center" wrapText="1"/>
    </xf>
    <xf numFmtId="187" fontId="22" fillId="0" borderId="1" xfId="3" applyNumberFormat="1" applyFont="1" applyBorder="1">
      <alignment vertical="center"/>
    </xf>
    <xf numFmtId="188" fontId="22" fillId="0" borderId="1" xfId="3" applyNumberFormat="1" applyFont="1" applyBorder="1">
      <alignment vertical="center"/>
    </xf>
    <xf numFmtId="0" fontId="35" fillId="0" borderId="0" xfId="0" applyFont="1">
      <alignment vertical="center"/>
    </xf>
    <xf numFmtId="184" fontId="8" fillId="0" borderId="0" xfId="0" applyNumberFormat="1" applyFont="1">
      <alignment vertical="center"/>
    </xf>
    <xf numFmtId="0" fontId="11" fillId="4" borderId="1" xfId="3" applyFont="1" applyFill="1" applyBorder="1" applyAlignment="1">
      <alignment horizontal="center" vertical="center"/>
    </xf>
    <xf numFmtId="0" fontId="35" fillId="0" borderId="16" xfId="0" applyFont="1" applyBorder="1">
      <alignment vertical="center"/>
    </xf>
    <xf numFmtId="0" fontId="8" fillId="2" borderId="1" xfId="3" applyFont="1" applyFill="1" applyBorder="1">
      <alignment vertical="center"/>
    </xf>
    <xf numFmtId="178" fontId="35" fillId="0" borderId="0" xfId="2" applyNumberFormat="1" applyFont="1">
      <alignment vertical="center"/>
    </xf>
    <xf numFmtId="0" fontId="8" fillId="0" borderId="1" xfId="3" applyFont="1" applyBorder="1" applyAlignment="1">
      <alignment horizontal="left" vertical="center" indent="1"/>
    </xf>
    <xf numFmtId="0" fontId="8" fillId="0" borderId="1" xfId="0" applyFont="1" applyBorder="1">
      <alignment vertical="center"/>
    </xf>
    <xf numFmtId="0" fontId="11" fillId="0" borderId="0" xfId="0" applyFont="1" applyAlignment="1">
      <alignment horizontal="right" vertical="center"/>
    </xf>
    <xf numFmtId="3" fontId="30" fillId="4" borderId="1" xfId="3" applyNumberFormat="1" applyFont="1" applyFill="1" applyBorder="1" applyAlignment="1">
      <alignment horizontal="center" vertical="center"/>
    </xf>
    <xf numFmtId="192" fontId="30" fillId="4" borderId="1" xfId="3" applyNumberFormat="1" applyFont="1" applyFill="1" applyBorder="1" applyAlignment="1">
      <alignment horizontal="center" vertical="center"/>
    </xf>
    <xf numFmtId="193" fontId="30" fillId="4" borderId="1" xfId="3" applyNumberFormat="1" applyFont="1" applyFill="1" applyBorder="1" applyAlignment="1">
      <alignment horizontal="center" vertical="center"/>
    </xf>
    <xf numFmtId="3" fontId="11" fillId="0" borderId="1" xfId="3" applyNumberFormat="1" applyFont="1" applyBorder="1" applyAlignment="1">
      <alignment horizontal="center" vertical="center"/>
    </xf>
    <xf numFmtId="192" fontId="11" fillId="0" borderId="1" xfId="3" applyNumberFormat="1" applyFont="1" applyBorder="1" applyAlignment="1">
      <alignment horizontal="center" vertical="center"/>
    </xf>
    <xf numFmtId="0" fontId="8" fillId="0" borderId="0" xfId="3" applyFont="1" applyAlignment="1">
      <alignment vertical="center" shrinkToFit="1"/>
    </xf>
    <xf numFmtId="41" fontId="8" fillId="0" borderId="0" xfId="3" applyNumberFormat="1" applyFont="1">
      <alignment vertical="center"/>
    </xf>
    <xf numFmtId="181" fontId="31" fillId="7" borderId="1" xfId="3" applyNumberFormat="1" applyFont="1" applyFill="1" applyBorder="1" applyAlignment="1">
      <alignment horizontal="centerContinuous" vertical="center"/>
    </xf>
    <xf numFmtId="181" fontId="31" fillId="7" borderId="1" xfId="3" applyNumberFormat="1" applyFont="1" applyFill="1" applyBorder="1" applyAlignment="1">
      <alignment horizontal="center" vertical="center"/>
    </xf>
    <xf numFmtId="181" fontId="31" fillId="7" borderId="7" xfId="3" applyNumberFormat="1" applyFont="1" applyFill="1" applyBorder="1" applyAlignment="1">
      <alignment horizontal="centerContinuous" vertical="center"/>
    </xf>
    <xf numFmtId="181" fontId="31" fillId="7" borderId="8" xfId="3" applyNumberFormat="1" applyFont="1" applyFill="1" applyBorder="1" applyAlignment="1">
      <alignment horizontal="centerContinuous" vertical="center"/>
    </xf>
    <xf numFmtId="181" fontId="31" fillId="7" borderId="9" xfId="3" applyNumberFormat="1" applyFont="1" applyFill="1" applyBorder="1" applyAlignment="1">
      <alignment horizontal="centerContinuous" vertical="center"/>
    </xf>
    <xf numFmtId="41" fontId="31" fillId="7" borderId="1" xfId="3" applyNumberFormat="1" applyFont="1" applyFill="1" applyBorder="1" applyAlignment="1">
      <alignment horizontal="center" vertical="center"/>
    </xf>
    <xf numFmtId="3" fontId="31" fillId="7" borderId="1" xfId="1" applyNumberFormat="1" applyFont="1" applyFill="1" applyBorder="1" applyAlignment="1">
      <alignment horizontal="center" vertical="center" shrinkToFit="1"/>
    </xf>
    <xf numFmtId="181" fontId="31" fillId="7" borderId="13" xfId="3" applyNumberFormat="1" applyFont="1" applyFill="1" applyBorder="1" applyAlignment="1">
      <alignment horizontal="centerContinuous" vertical="center"/>
    </xf>
    <xf numFmtId="181" fontId="31" fillId="7" borderId="0" xfId="3" applyNumberFormat="1" applyFont="1" applyFill="1" applyAlignment="1">
      <alignment horizontal="centerContinuous" vertical="center"/>
    </xf>
    <xf numFmtId="181" fontId="31" fillId="7" borderId="14" xfId="3" applyNumberFormat="1" applyFont="1" applyFill="1" applyBorder="1" applyAlignment="1">
      <alignment horizontal="centerContinuous" vertical="center"/>
    </xf>
    <xf numFmtId="182" fontId="31" fillId="7" borderId="1" xfId="1" applyNumberFormat="1" applyFont="1" applyFill="1" applyBorder="1" applyAlignment="1">
      <alignment horizontal="center" vertical="center" shrinkToFit="1"/>
    </xf>
    <xf numFmtId="181" fontId="31" fillId="7" borderId="10" xfId="3" applyNumberFormat="1" applyFont="1" applyFill="1" applyBorder="1" applyAlignment="1">
      <alignment horizontal="centerContinuous" vertical="center"/>
    </xf>
    <xf numFmtId="181" fontId="31" fillId="7" borderId="11" xfId="3" applyNumberFormat="1" applyFont="1" applyFill="1" applyBorder="1" applyAlignment="1">
      <alignment horizontal="centerContinuous" vertical="center"/>
    </xf>
    <xf numFmtId="181" fontId="31" fillId="7" borderId="12" xfId="3" applyNumberFormat="1" applyFont="1" applyFill="1" applyBorder="1" applyAlignment="1">
      <alignment horizontal="centerContinuous" vertical="center"/>
    </xf>
    <xf numFmtId="0" fontId="31" fillId="7" borderId="1" xfId="3" applyFont="1" applyFill="1" applyBorder="1" applyAlignment="1">
      <alignment horizontal="center" vertical="center" wrapText="1"/>
    </xf>
    <xf numFmtId="0" fontId="32" fillId="4" borderId="1" xfId="3" applyFont="1" applyFill="1" applyBorder="1">
      <alignment vertical="center"/>
    </xf>
    <xf numFmtId="0" fontId="32" fillId="4" borderId="1" xfId="3" applyFont="1" applyFill="1" applyBorder="1" applyAlignment="1">
      <alignment vertical="center" shrinkToFit="1"/>
    </xf>
    <xf numFmtId="0" fontId="30" fillId="4" borderId="1" xfId="3" applyFont="1" applyFill="1" applyBorder="1">
      <alignment vertical="center"/>
    </xf>
    <xf numFmtId="41" fontId="32" fillId="4" borderId="1" xfId="3" applyNumberFormat="1" applyFont="1" applyFill="1" applyBorder="1">
      <alignment vertical="center"/>
    </xf>
    <xf numFmtId="0" fontId="32" fillId="0" borderId="1" xfId="3" applyFont="1" applyBorder="1">
      <alignment vertical="center"/>
    </xf>
    <xf numFmtId="0" fontId="32" fillId="0" borderId="1" xfId="3" applyFont="1" applyBorder="1" applyAlignment="1">
      <alignment vertical="center" shrinkToFit="1"/>
    </xf>
    <xf numFmtId="0" fontId="30" fillId="0" borderId="1" xfId="3" applyFont="1" applyBorder="1">
      <alignment vertical="center"/>
    </xf>
    <xf numFmtId="3" fontId="32" fillId="0" borderId="1" xfId="3" applyNumberFormat="1" applyFont="1" applyBorder="1">
      <alignment vertical="center"/>
    </xf>
    <xf numFmtId="0" fontId="47" fillId="0" borderId="1" xfId="3" applyFont="1" applyBorder="1">
      <alignment vertical="center"/>
    </xf>
    <xf numFmtId="3" fontId="47" fillId="0" borderId="1" xfId="3" applyNumberFormat="1" applyFont="1" applyBorder="1" applyAlignment="1">
      <alignment horizontal="center" vertical="center"/>
    </xf>
    <xf numFmtId="183" fontId="47" fillId="0" borderId="1" xfId="3" applyNumberFormat="1" applyFont="1" applyBorder="1" applyAlignment="1">
      <alignment horizontal="center" vertical="center"/>
    </xf>
    <xf numFmtId="194" fontId="47" fillId="0" borderId="1" xfId="3" applyNumberFormat="1" applyFont="1" applyBorder="1" applyAlignment="1">
      <alignment horizontal="center" vertical="center"/>
    </xf>
    <xf numFmtId="0" fontId="47" fillId="2" borderId="1" xfId="3" applyFont="1" applyFill="1" applyBorder="1">
      <alignment vertical="center"/>
    </xf>
    <xf numFmtId="3" fontId="47" fillId="2" borderId="1" xfId="3" applyNumberFormat="1" applyFont="1" applyFill="1" applyBorder="1" applyAlignment="1">
      <alignment horizontal="center" vertical="center"/>
    </xf>
    <xf numFmtId="3" fontId="8" fillId="2" borderId="1" xfId="3" applyNumberFormat="1" applyFont="1" applyFill="1" applyBorder="1">
      <alignment vertical="center"/>
    </xf>
    <xf numFmtId="3" fontId="8" fillId="0" borderId="1" xfId="3" applyNumberFormat="1" applyFont="1" applyBorder="1" applyAlignment="1">
      <alignment vertical="center" shrinkToFit="1"/>
    </xf>
    <xf numFmtId="3" fontId="48" fillId="0" borderId="1" xfId="3" applyNumberFormat="1" applyFont="1" applyBorder="1" applyAlignment="1">
      <alignment horizontal="center" vertical="center"/>
    </xf>
    <xf numFmtId="3" fontId="32" fillId="4" borderId="1" xfId="3" applyNumberFormat="1" applyFont="1" applyFill="1" applyBorder="1">
      <alignment vertical="center"/>
    </xf>
    <xf numFmtId="9" fontId="30" fillId="0" borderId="1" xfId="2" applyFont="1" applyFill="1" applyBorder="1" applyAlignment="1">
      <alignment horizontal="center" vertical="center"/>
    </xf>
    <xf numFmtId="3" fontId="30" fillId="0" borderId="1" xfId="3" applyNumberFormat="1" applyFont="1" applyBorder="1" applyAlignment="1">
      <alignment horizontal="center" vertical="center"/>
    </xf>
    <xf numFmtId="181" fontId="47" fillId="0" borderId="1" xfId="3" applyNumberFormat="1" applyFont="1" applyBorder="1">
      <alignment vertical="center"/>
    </xf>
    <xf numFmtId="3" fontId="47" fillId="0" borderId="1" xfId="2" applyNumberFormat="1" applyFont="1" applyFill="1" applyBorder="1" applyAlignment="1">
      <alignment horizontal="center" vertical="center"/>
    </xf>
    <xf numFmtId="178" fontId="47" fillId="0" borderId="1" xfId="2" applyNumberFormat="1" applyFont="1" applyFill="1" applyBorder="1" applyAlignment="1">
      <alignment horizontal="center" vertical="center"/>
    </xf>
    <xf numFmtId="9" fontId="47" fillId="0" borderId="1" xfId="2" applyFont="1" applyFill="1" applyBorder="1" applyAlignment="1">
      <alignment horizontal="center" vertical="center"/>
    </xf>
    <xf numFmtId="4" fontId="47" fillId="0" borderId="1" xfId="2" applyNumberFormat="1" applyFont="1" applyFill="1" applyBorder="1" applyAlignment="1">
      <alignment horizontal="center" vertical="center"/>
    </xf>
    <xf numFmtId="178" fontId="47" fillId="7" borderId="1" xfId="2" applyNumberFormat="1" applyFont="1" applyFill="1" applyBorder="1" applyAlignment="1">
      <alignment horizontal="center" vertical="center"/>
    </xf>
    <xf numFmtId="3" fontId="47" fillId="7" borderId="1" xfId="2" applyNumberFormat="1" applyFont="1" applyFill="1" applyBorder="1" applyAlignment="1">
      <alignment horizontal="center" vertical="center"/>
    </xf>
    <xf numFmtId="183" fontId="47" fillId="0" borderId="1" xfId="2" applyNumberFormat="1" applyFont="1" applyFill="1" applyBorder="1" applyAlignment="1">
      <alignment horizontal="center" vertical="center"/>
    </xf>
    <xf numFmtId="180" fontId="47" fillId="0" borderId="1" xfId="2" applyNumberFormat="1" applyFont="1" applyFill="1" applyBorder="1" applyAlignment="1">
      <alignment horizontal="center" vertical="center"/>
    </xf>
    <xf numFmtId="184" fontId="8" fillId="0" borderId="1" xfId="3" applyNumberFormat="1" applyFont="1" applyBorder="1">
      <alignment vertical="center"/>
    </xf>
    <xf numFmtId="0" fontId="8" fillId="0" borderId="1" xfId="3" applyFont="1" applyBorder="1" applyAlignment="1">
      <alignment vertical="center" shrinkToFit="1"/>
    </xf>
    <xf numFmtId="41" fontId="8" fillId="0" borderId="1" xfId="3" applyNumberFormat="1" applyFont="1" applyBorder="1">
      <alignment vertical="center"/>
    </xf>
    <xf numFmtId="184" fontId="8" fillId="0" borderId="1" xfId="3" quotePrefix="1" applyNumberFormat="1" applyFont="1" applyBorder="1">
      <alignment vertical="center"/>
    </xf>
    <xf numFmtId="0" fontId="13" fillId="0" borderId="0" xfId="0" applyFont="1">
      <alignment vertical="center"/>
    </xf>
    <xf numFmtId="3" fontId="8" fillId="7" borderId="1" xfId="3" applyNumberFormat="1" applyFont="1" applyFill="1" applyBorder="1">
      <alignment vertical="center"/>
    </xf>
    <xf numFmtId="14" fontId="11" fillId="0" borderId="3" xfId="3" applyNumberFormat="1" applyFont="1" applyBorder="1">
      <alignment vertical="center"/>
    </xf>
    <xf numFmtId="14" fontId="8" fillId="0" borderId="4" xfId="3" applyNumberFormat="1" applyFont="1" applyBorder="1">
      <alignment vertical="center"/>
    </xf>
    <xf numFmtId="0" fontId="8" fillId="0" borderId="1" xfId="0" applyFont="1" applyBorder="1" applyAlignment="1">
      <alignment horizontal="left" vertical="center" indent="1"/>
    </xf>
    <xf numFmtId="4" fontId="8" fillId="0" borderId="1" xfId="3" quotePrefix="1" applyNumberFormat="1" applyFont="1" applyBorder="1">
      <alignment vertical="center"/>
    </xf>
    <xf numFmtId="186" fontId="8" fillId="2" borderId="1" xfId="3" applyNumberFormat="1" applyFont="1" applyFill="1" applyBorder="1">
      <alignment vertical="center"/>
    </xf>
    <xf numFmtId="186" fontId="8" fillId="0" borderId="1" xfId="3" applyNumberFormat="1" applyFont="1" applyBorder="1">
      <alignment vertical="center"/>
    </xf>
    <xf numFmtId="0" fontId="30" fillId="4" borderId="5" xfId="3" applyFont="1" applyFill="1" applyBorder="1" applyAlignment="1">
      <alignment horizontal="center" vertical="center"/>
    </xf>
    <xf numFmtId="0" fontId="30" fillId="4" borderId="6" xfId="3" applyFont="1" applyFill="1" applyBorder="1" applyAlignment="1">
      <alignment horizontal="center" vertical="center"/>
    </xf>
    <xf numFmtId="3" fontId="8" fillId="0" borderId="4" xfId="3" applyNumberFormat="1" applyFont="1" applyBorder="1" applyAlignment="1">
      <alignment vertical="center" shrinkToFit="1"/>
    </xf>
    <xf numFmtId="3" fontId="22" fillId="0" borderId="1" xfId="3" applyNumberFormat="1" applyFont="1" applyBorder="1" applyAlignment="1">
      <alignment horizontal="center" vertical="center"/>
    </xf>
    <xf numFmtId="3" fontId="22" fillId="0" borderId="1" xfId="3" applyNumberFormat="1" applyFont="1" applyBorder="1">
      <alignment vertical="center"/>
    </xf>
    <xf numFmtId="3" fontId="47" fillId="0" borderId="1" xfId="3" applyNumberFormat="1" applyFont="1" applyBorder="1">
      <alignment vertical="center"/>
    </xf>
    <xf numFmtId="3" fontId="47" fillId="2" borderId="1" xfId="3" applyNumberFormat="1" applyFont="1" applyFill="1" applyBorder="1">
      <alignment vertical="center"/>
    </xf>
    <xf numFmtId="0" fontId="47" fillId="0" borderId="1" xfId="3" applyFont="1" applyBorder="1" applyAlignment="1">
      <alignment vertical="center" wrapText="1"/>
    </xf>
    <xf numFmtId="0" fontId="49" fillId="0" borderId="0" xfId="0" applyFont="1">
      <alignment vertical="center"/>
    </xf>
    <xf numFmtId="0" fontId="49" fillId="0" borderId="0" xfId="0" applyFont="1" applyAlignment="1">
      <alignment horizontal="right" vertical="center"/>
    </xf>
    <xf numFmtId="0" fontId="49" fillId="0" borderId="18" xfId="0" applyFont="1" applyBorder="1" applyAlignment="1">
      <alignment horizontal="center" vertical="center"/>
    </xf>
    <xf numFmtId="0" fontId="49" fillId="0" borderId="18" xfId="0" applyFont="1" applyBorder="1">
      <alignment vertical="center"/>
    </xf>
    <xf numFmtId="41" fontId="49" fillId="0" borderId="18" xfId="1" applyFont="1" applyBorder="1" applyAlignment="1">
      <alignment horizontal="right" vertical="center"/>
    </xf>
    <xf numFmtId="41" fontId="49" fillId="0" borderId="0" xfId="1" applyFont="1">
      <alignment vertical="center"/>
    </xf>
    <xf numFmtId="0" fontId="49" fillId="2" borderId="18" xfId="0" applyFont="1" applyFill="1" applyBorder="1" applyAlignment="1">
      <alignment horizontal="center" vertical="center"/>
    </xf>
    <xf numFmtId="0" fontId="46" fillId="0" borderId="0" xfId="0" applyFont="1" applyAlignment="1">
      <alignment horizontal="center" vertical="center"/>
    </xf>
    <xf numFmtId="181" fontId="47" fillId="3" borderId="1" xfId="3" applyNumberFormat="1" applyFont="1" applyFill="1" applyBorder="1">
      <alignment vertical="center"/>
    </xf>
    <xf numFmtId="181" fontId="47" fillId="14" borderId="1" xfId="3" applyNumberFormat="1" applyFont="1" applyFill="1" applyBorder="1">
      <alignment vertical="center"/>
    </xf>
    <xf numFmtId="41" fontId="49" fillId="0" borderId="18" xfId="1" applyFont="1" applyBorder="1">
      <alignment vertical="center"/>
    </xf>
    <xf numFmtId="195" fontId="49" fillId="0" borderId="18" xfId="1" applyNumberFormat="1" applyFont="1" applyBorder="1" applyAlignment="1">
      <alignment horizontal="right" vertical="center"/>
    </xf>
    <xf numFmtId="41" fontId="50" fillId="0" borderId="18" xfId="1" applyFont="1" applyBorder="1" applyAlignment="1">
      <alignment horizontal="right" vertical="center"/>
    </xf>
    <xf numFmtId="195" fontId="50" fillId="0" borderId="18" xfId="1" applyNumberFormat="1" applyFont="1" applyBorder="1" applyAlignment="1">
      <alignment horizontal="right" vertical="center"/>
    </xf>
    <xf numFmtId="0" fontId="32" fillId="3" borderId="0" xfId="0" applyFont="1" applyFill="1">
      <alignment vertical="center"/>
    </xf>
    <xf numFmtId="3" fontId="27" fillId="0" borderId="1" xfId="3" applyNumberFormat="1" applyFont="1" applyBorder="1" applyAlignment="1">
      <alignment horizontal="center" vertical="center"/>
    </xf>
    <xf numFmtId="3" fontId="12" fillId="5" borderId="0" xfId="3" applyNumberFormat="1" applyFont="1" applyFill="1">
      <alignment vertical="center"/>
    </xf>
    <xf numFmtId="0" fontId="15" fillId="9" borderId="0" xfId="3" applyFont="1" applyFill="1">
      <alignment vertical="center"/>
    </xf>
    <xf numFmtId="178" fontId="11" fillId="0" borderId="1" xfId="0" applyNumberFormat="1" applyFont="1" applyBorder="1" applyAlignment="1">
      <alignment horizontal="right" vertical="center" wrapText="1"/>
    </xf>
    <xf numFmtId="0" fontId="0" fillId="9" borderId="0" xfId="0" applyFill="1">
      <alignment vertical="center"/>
    </xf>
    <xf numFmtId="0" fontId="0" fillId="0" borderId="19" xfId="0" applyBorder="1">
      <alignment vertical="center"/>
    </xf>
    <xf numFmtId="0" fontId="0" fillId="0" borderId="0" xfId="0" applyAlignment="1">
      <alignment horizontal="right" vertical="center"/>
    </xf>
    <xf numFmtId="3" fontId="8" fillId="0" borderId="1" xfId="0" applyNumberFormat="1" applyFont="1" applyBorder="1">
      <alignment vertical="center"/>
    </xf>
    <xf numFmtId="0" fontId="51" fillId="9" borderId="0" xfId="3" applyFont="1" applyFill="1">
      <alignment vertical="center"/>
    </xf>
    <xf numFmtId="197" fontId="12" fillId="9" borderId="0" xfId="0" applyNumberFormat="1" applyFont="1" applyFill="1" applyAlignment="1">
      <alignment vertical="center" shrinkToFit="1"/>
    </xf>
    <xf numFmtId="197" fontId="13" fillId="9" borderId="0" xfId="0" applyNumberFormat="1" applyFont="1" applyFill="1" applyAlignment="1">
      <alignment vertical="center" shrinkToFit="1"/>
    </xf>
    <xf numFmtId="0" fontId="0" fillId="4" borderId="0" xfId="0" applyFill="1">
      <alignment vertical="center"/>
    </xf>
    <xf numFmtId="178" fontId="0" fillId="0" borderId="0" xfId="2" applyNumberFormat="1" applyFont="1" applyAlignment="1">
      <alignment vertical="center"/>
    </xf>
    <xf numFmtId="0" fontId="8" fillId="4" borderId="0" xfId="3" applyFont="1" applyFill="1">
      <alignment vertical="center"/>
    </xf>
    <xf numFmtId="0" fontId="8" fillId="4" borderId="1" xfId="0" applyFont="1" applyFill="1" applyBorder="1" applyAlignment="1">
      <alignment horizontal="center" vertical="center"/>
    </xf>
    <xf numFmtId="0" fontId="55" fillId="0" borderId="0" xfId="0" applyFont="1">
      <alignment vertical="center"/>
    </xf>
    <xf numFmtId="0" fontId="0" fillId="7" borderId="0" xfId="0" applyFill="1">
      <alignment vertical="center"/>
    </xf>
    <xf numFmtId="0" fontId="30" fillId="7" borderId="6" xfId="3" applyFont="1" applyFill="1" applyBorder="1" applyAlignment="1">
      <alignment horizontal="center" vertical="center"/>
    </xf>
    <xf numFmtId="193" fontId="30" fillId="7" borderId="1" xfId="3" applyNumberFormat="1" applyFont="1" applyFill="1" applyBorder="1" applyAlignment="1">
      <alignment horizontal="center" vertical="center"/>
    </xf>
    <xf numFmtId="192" fontId="30" fillId="7" borderId="1" xfId="3" applyNumberFormat="1" applyFont="1" applyFill="1" applyBorder="1" applyAlignment="1">
      <alignment horizontal="center" vertical="center"/>
    </xf>
    <xf numFmtId="0" fontId="8" fillId="7" borderId="6" xfId="0" applyFont="1" applyFill="1" applyBorder="1" applyAlignment="1">
      <alignment horizontal="center" vertical="center"/>
    </xf>
    <xf numFmtId="0" fontId="8" fillId="7" borderId="1" xfId="3" applyFont="1" applyFill="1" applyBorder="1">
      <alignment vertical="center"/>
    </xf>
    <xf numFmtId="186" fontId="8" fillId="7" borderId="1" xfId="3" applyNumberFormat="1" applyFont="1" applyFill="1" applyBorder="1">
      <alignment vertical="center"/>
    </xf>
    <xf numFmtId="3" fontId="8" fillId="7" borderId="1" xfId="0" applyNumberFormat="1" applyFont="1" applyFill="1" applyBorder="1">
      <alignment vertical="center"/>
    </xf>
    <xf numFmtId="0" fontId="0" fillId="7" borderId="26" xfId="0" applyFill="1" applyBorder="1">
      <alignment vertical="center"/>
    </xf>
    <xf numFmtId="178" fontId="0" fillId="7" borderId="26" xfId="2" applyNumberFormat="1" applyFont="1" applyFill="1" applyBorder="1" applyAlignment="1">
      <alignment vertical="center"/>
    </xf>
    <xf numFmtId="178" fontId="0" fillId="7" borderId="26" xfId="0" applyNumberFormat="1" applyFill="1" applyBorder="1">
      <alignment vertical="center"/>
    </xf>
    <xf numFmtId="4" fontId="11" fillId="4" borderId="1" xfId="3" applyNumberFormat="1" applyFont="1" applyFill="1" applyBorder="1" applyAlignment="1">
      <alignment horizontal="center" vertical="center"/>
    </xf>
    <xf numFmtId="0" fontId="8" fillId="0" borderId="1" xfId="3" applyFont="1" applyBorder="1" applyAlignment="1">
      <alignment horizontal="center" vertical="center"/>
    </xf>
    <xf numFmtId="3" fontId="8" fillId="2" borderId="1" xfId="0" applyNumberFormat="1" applyFont="1" applyFill="1" applyBorder="1">
      <alignment vertical="center"/>
    </xf>
    <xf numFmtId="0" fontId="30" fillId="4" borderId="1" xfId="3" applyFont="1" applyFill="1" applyBorder="1" applyAlignment="1">
      <alignment horizontal="center" vertical="center"/>
    </xf>
    <xf numFmtId="0" fontId="28" fillId="0" borderId="26" xfId="0" applyFont="1" applyBorder="1" applyAlignment="1">
      <alignment horizontal="center" vertical="center"/>
    </xf>
    <xf numFmtId="0" fontId="28" fillId="0" borderId="26" xfId="0" applyFont="1" applyBorder="1">
      <alignment vertical="center"/>
    </xf>
    <xf numFmtId="3" fontId="28" fillId="0" borderId="26" xfId="0" applyNumberFormat="1" applyFont="1" applyBorder="1">
      <alignment vertical="center"/>
    </xf>
    <xf numFmtId="178" fontId="0" fillId="0" borderId="0" xfId="2" applyNumberFormat="1" applyFont="1" applyAlignment="1">
      <alignment horizontal="center" vertical="center"/>
    </xf>
    <xf numFmtId="0" fontId="0" fillId="0" borderId="22" xfId="0" applyBorder="1" applyAlignment="1">
      <alignment horizontal="center" vertical="center"/>
    </xf>
    <xf numFmtId="41" fontId="0" fillId="0" borderId="22" xfId="1" applyFont="1" applyBorder="1">
      <alignment vertical="center"/>
    </xf>
    <xf numFmtId="0" fontId="0" fillId="0" borderId="22" xfId="0" applyBorder="1" applyAlignment="1">
      <alignment horizontal="centerContinuous" vertical="center"/>
    </xf>
    <xf numFmtId="41" fontId="0" fillId="0" borderId="22" xfId="0" applyNumberFormat="1" applyBorder="1">
      <alignment vertical="center"/>
    </xf>
    <xf numFmtId="0" fontId="0" fillId="0" borderId="0" xfId="0" applyAlignment="1">
      <alignment horizontal="center" vertical="center"/>
    </xf>
    <xf numFmtId="41" fontId="0" fillId="0" borderId="0" xfId="1" applyFont="1">
      <alignment vertical="center"/>
    </xf>
    <xf numFmtId="9" fontId="0" fillId="0" borderId="0" xfId="2" applyFont="1">
      <alignment vertical="center"/>
    </xf>
    <xf numFmtId="178" fontId="0" fillId="0" borderId="0" xfId="2" applyNumberFormat="1" applyFont="1">
      <alignment vertical="center"/>
    </xf>
    <xf numFmtId="41" fontId="0" fillId="0" borderId="0" xfId="0" applyNumberFormat="1">
      <alignment vertical="center"/>
    </xf>
    <xf numFmtId="43" fontId="0" fillId="0" borderId="0" xfId="0" applyNumberFormat="1">
      <alignment vertical="center"/>
    </xf>
    <xf numFmtId="10" fontId="0" fillId="0" borderId="0" xfId="2" applyNumberFormat="1" applyFont="1">
      <alignment vertical="center"/>
    </xf>
    <xf numFmtId="0" fontId="0" fillId="0" borderId="22" xfId="0" applyBorder="1">
      <alignment vertical="center"/>
    </xf>
    <xf numFmtId="0" fontId="56" fillId="0" borderId="0" xfId="0" applyFont="1">
      <alignment vertical="center"/>
    </xf>
    <xf numFmtId="0" fontId="57" fillId="0" borderId="0" xfId="0" applyFont="1">
      <alignment vertical="center"/>
    </xf>
    <xf numFmtId="41" fontId="57" fillId="0" borderId="0" xfId="1" applyFont="1">
      <alignment vertical="center"/>
    </xf>
    <xf numFmtId="41" fontId="58" fillId="19" borderId="22" xfId="1" applyFont="1" applyFill="1" applyBorder="1" applyAlignment="1">
      <alignment horizontal="centerContinuous"/>
    </xf>
    <xf numFmtId="41" fontId="58" fillId="19" borderId="22" xfId="1" applyFont="1" applyFill="1" applyBorder="1" applyAlignment="1">
      <alignment horizontal="center"/>
    </xf>
    <xf numFmtId="0" fontId="0" fillId="0" borderId="30" xfId="0" applyBorder="1">
      <alignment vertical="center"/>
    </xf>
    <xf numFmtId="41" fontId="0" fillId="0" borderId="30" xfId="1" applyFont="1" applyBorder="1">
      <alignment vertical="center"/>
    </xf>
    <xf numFmtId="0" fontId="0" fillId="0" borderId="21" xfId="0" applyBorder="1">
      <alignment vertical="center"/>
    </xf>
    <xf numFmtId="41" fontId="0" fillId="0" borderId="21" xfId="1" applyFont="1" applyBorder="1">
      <alignment vertical="center"/>
    </xf>
    <xf numFmtId="41" fontId="0" fillId="0" borderId="0" xfId="1" applyFont="1" applyAlignment="1">
      <alignment horizontal="center" vertical="center"/>
    </xf>
    <xf numFmtId="200" fontId="0" fillId="0" borderId="0" xfId="1" applyNumberFormat="1" applyFont="1">
      <alignment vertical="center"/>
    </xf>
    <xf numFmtId="0" fontId="0" fillId="0" borderId="15" xfId="0" applyBorder="1">
      <alignment vertical="center"/>
    </xf>
    <xf numFmtId="41" fontId="0" fillId="0" borderId="15" xfId="1" applyFont="1" applyBorder="1">
      <alignment vertical="center"/>
    </xf>
    <xf numFmtId="202" fontId="33" fillId="0" borderId="0" xfId="71" applyNumberFormat="1" applyFont="1" applyFill="1" applyBorder="1" applyAlignment="1" applyProtection="1">
      <alignment horizontal="left" vertical="center"/>
      <protection locked="0"/>
    </xf>
    <xf numFmtId="202" fontId="33" fillId="0" borderId="0" xfId="71" applyNumberFormat="1" applyFont="1" applyFill="1" applyBorder="1" applyAlignment="1" applyProtection="1">
      <alignment horizontal="center" vertical="center"/>
      <protection locked="0"/>
    </xf>
    <xf numFmtId="202" fontId="33" fillId="0" borderId="0" xfId="71" applyNumberFormat="1" applyFont="1" applyFill="1" applyBorder="1" applyAlignment="1" applyProtection="1">
      <alignment horizontal="right" vertical="center"/>
      <protection locked="0"/>
    </xf>
    <xf numFmtId="202" fontId="33" fillId="0" borderId="0" xfId="71" applyNumberFormat="1" applyFont="1" applyFill="1" applyBorder="1" applyAlignment="1" applyProtection="1">
      <alignment vertical="center"/>
      <protection locked="0"/>
    </xf>
    <xf numFmtId="196" fontId="58" fillId="0" borderId="0" xfId="71" applyNumberFormat="1" applyFont="1" applyFill="1" applyBorder="1" applyAlignment="1" applyProtection="1">
      <alignment horizontal="right" vertical="center"/>
      <protection locked="0"/>
    </xf>
    <xf numFmtId="0" fontId="57" fillId="0" borderId="0" xfId="0" applyFont="1" applyAlignment="1">
      <alignment horizontal="right" vertical="center"/>
    </xf>
    <xf numFmtId="0" fontId="61" fillId="20" borderId="42" xfId="0" applyFont="1" applyFill="1" applyBorder="1" applyAlignment="1">
      <alignment horizontal="center" vertical="center"/>
    </xf>
    <xf numFmtId="49" fontId="62" fillId="21" borderId="45" xfId="0" applyNumberFormat="1" applyFont="1" applyFill="1" applyBorder="1" applyAlignment="1">
      <alignment horizontal="left" vertical="center"/>
    </xf>
    <xf numFmtId="203" fontId="62" fillId="21" borderId="45" xfId="0" applyNumberFormat="1" applyFont="1" applyFill="1" applyBorder="1" applyAlignment="1">
      <alignment horizontal="right" vertical="center"/>
    </xf>
    <xf numFmtId="203" fontId="62" fillId="3" borderId="45" xfId="0" applyNumberFormat="1" applyFont="1" applyFill="1" applyBorder="1" applyAlignment="1">
      <alignment horizontal="right" vertical="center"/>
    </xf>
    <xf numFmtId="49" fontId="62" fillId="3" borderId="45" xfId="0" applyNumberFormat="1" applyFont="1" applyFill="1" applyBorder="1" applyAlignment="1">
      <alignment horizontal="left" vertical="center"/>
    </xf>
    <xf numFmtId="203" fontId="62" fillId="0" borderId="45" xfId="0" applyNumberFormat="1" applyFont="1" applyBorder="1" applyAlignment="1">
      <alignment horizontal="right" vertical="center"/>
    </xf>
    <xf numFmtId="3" fontId="57" fillId="0" borderId="0" xfId="0" applyNumberFormat="1" applyFont="1">
      <alignment vertical="center"/>
    </xf>
    <xf numFmtId="0" fontId="63" fillId="22" borderId="48" xfId="0" applyFont="1" applyFill="1" applyBorder="1" applyAlignment="1">
      <alignment horizontal="left" vertical="center"/>
    </xf>
    <xf numFmtId="203" fontId="62" fillId="17" borderId="45" xfId="0" applyNumberFormat="1" applyFont="1" applyFill="1" applyBorder="1" applyAlignment="1">
      <alignment horizontal="right" vertical="center"/>
    </xf>
    <xf numFmtId="49" fontId="63" fillId="21" borderId="48" xfId="0" applyNumberFormat="1" applyFont="1" applyFill="1" applyBorder="1" applyAlignment="1">
      <alignment horizontal="left" vertical="center"/>
    </xf>
    <xf numFmtId="0" fontId="64" fillId="21" borderId="48" xfId="0" applyFont="1" applyFill="1" applyBorder="1" applyAlignment="1">
      <alignment horizontal="left" vertical="center"/>
    </xf>
    <xf numFmtId="49" fontId="63" fillId="21" borderId="45" xfId="0" applyNumberFormat="1" applyFont="1" applyFill="1" applyBorder="1" applyAlignment="1">
      <alignment horizontal="left" vertical="center"/>
    </xf>
    <xf numFmtId="203" fontId="57" fillId="0" borderId="0" xfId="0" applyNumberFormat="1" applyFont="1">
      <alignment vertical="center"/>
    </xf>
    <xf numFmtId="0" fontId="63" fillId="22" borderId="45" xfId="0" applyFont="1" applyFill="1" applyBorder="1" applyAlignment="1">
      <alignment horizontal="left" vertical="center"/>
    </xf>
    <xf numFmtId="49" fontId="63" fillId="3" borderId="45" xfId="0" applyNumberFormat="1" applyFont="1" applyFill="1" applyBorder="1" applyAlignment="1">
      <alignment horizontal="left" vertical="center"/>
    </xf>
    <xf numFmtId="49" fontId="63" fillId="21" borderId="49" xfId="0" applyNumberFormat="1" applyFont="1" applyFill="1" applyBorder="1" applyAlignment="1">
      <alignment horizontal="left" vertical="center"/>
    </xf>
    <xf numFmtId="3" fontId="63" fillId="21" borderId="49" xfId="0" applyNumberFormat="1" applyFont="1" applyFill="1" applyBorder="1" applyAlignment="1">
      <alignment horizontal="right" vertical="center"/>
    </xf>
    <xf numFmtId="3" fontId="63" fillId="21" borderId="45" xfId="0" applyNumberFormat="1" applyFont="1" applyFill="1" applyBorder="1" applyAlignment="1">
      <alignment horizontal="right" vertical="center"/>
    </xf>
    <xf numFmtId="0" fontId="63" fillId="21" borderId="45" xfId="0" applyFont="1" applyFill="1" applyBorder="1" applyAlignment="1">
      <alignment horizontal="right" vertical="center"/>
    </xf>
    <xf numFmtId="49" fontId="63" fillId="13" borderId="45" xfId="0" applyNumberFormat="1" applyFont="1" applyFill="1" applyBorder="1" applyAlignment="1">
      <alignment horizontal="left" vertical="center"/>
    </xf>
    <xf numFmtId="3" fontId="63" fillId="13" borderId="45" xfId="0" applyNumberFormat="1" applyFont="1" applyFill="1" applyBorder="1" applyAlignment="1">
      <alignment horizontal="right" vertical="center"/>
    </xf>
    <xf numFmtId="0" fontId="0" fillId="13" borderId="0" xfId="0" applyFill="1">
      <alignment vertical="center"/>
    </xf>
    <xf numFmtId="49" fontId="0" fillId="0" borderId="0" xfId="0" applyNumberFormat="1">
      <alignment vertical="center"/>
    </xf>
    <xf numFmtId="3" fontId="63" fillId="3" borderId="45" xfId="0" applyNumberFormat="1" applyFont="1" applyFill="1" applyBorder="1" applyAlignment="1">
      <alignment horizontal="right" vertical="center"/>
    </xf>
    <xf numFmtId="0" fontId="0" fillId="3" borderId="0" xfId="0" applyFill="1">
      <alignment vertical="center"/>
    </xf>
    <xf numFmtId="0" fontId="63" fillId="3" borderId="45" xfId="0" applyFont="1" applyFill="1" applyBorder="1" applyAlignment="1">
      <alignment horizontal="right" vertical="center"/>
    </xf>
    <xf numFmtId="3" fontId="63" fillId="3" borderId="49" xfId="0" applyNumberFormat="1" applyFont="1" applyFill="1" applyBorder="1" applyAlignment="1">
      <alignment horizontal="right" vertical="center"/>
    </xf>
    <xf numFmtId="49" fontId="63" fillId="6" borderId="45" xfId="0" applyNumberFormat="1" applyFont="1" applyFill="1" applyBorder="1" applyAlignment="1">
      <alignment horizontal="left" vertical="center"/>
    </xf>
    <xf numFmtId="49" fontId="65" fillId="21" borderId="45" xfId="0" applyNumberFormat="1" applyFont="1" applyFill="1" applyBorder="1" applyAlignment="1">
      <alignment horizontal="left" vertical="center"/>
    </xf>
    <xf numFmtId="3" fontId="65" fillId="21" borderId="45" xfId="0" applyNumberFormat="1" applyFont="1" applyFill="1" applyBorder="1" applyAlignment="1">
      <alignment horizontal="right" vertical="center"/>
    </xf>
    <xf numFmtId="0" fontId="66" fillId="0" borderId="0" xfId="0" applyFont="1" applyAlignment="1">
      <alignment horizontal="left" vertical="center"/>
    </xf>
    <xf numFmtId="0" fontId="67" fillId="22" borderId="45" xfId="0" applyFont="1" applyFill="1" applyBorder="1" applyAlignment="1">
      <alignment horizontal="left" vertical="center"/>
    </xf>
    <xf numFmtId="0" fontId="67" fillId="22" borderId="45" xfId="0" applyFont="1" applyFill="1" applyBorder="1" applyAlignment="1">
      <alignment horizontal="right" vertical="center"/>
    </xf>
    <xf numFmtId="3" fontId="67" fillId="22" borderId="45" xfId="0" applyNumberFormat="1" applyFont="1" applyFill="1" applyBorder="1" applyAlignment="1">
      <alignment horizontal="right" vertical="center"/>
    </xf>
    <xf numFmtId="49" fontId="67" fillId="21" borderId="45" xfId="0" applyNumberFormat="1" applyFont="1" applyFill="1" applyBorder="1" applyAlignment="1">
      <alignment horizontal="left" vertical="center"/>
    </xf>
    <xf numFmtId="3" fontId="67" fillId="21" borderId="45" xfId="0" applyNumberFormat="1" applyFont="1" applyFill="1" applyBorder="1" applyAlignment="1">
      <alignment horizontal="right" vertical="center"/>
    </xf>
    <xf numFmtId="0" fontId="67" fillId="21" borderId="45" xfId="0" applyFont="1" applyFill="1" applyBorder="1" applyAlignment="1">
      <alignment horizontal="right" vertical="center"/>
    </xf>
    <xf numFmtId="0" fontId="68" fillId="21" borderId="45" xfId="0" applyFont="1" applyFill="1" applyBorder="1" applyAlignment="1">
      <alignment horizontal="left" vertical="center"/>
    </xf>
    <xf numFmtId="0" fontId="68" fillId="21" borderId="45" xfId="0" applyFont="1" applyFill="1" applyBorder="1" applyAlignment="1">
      <alignment horizontal="right" vertical="center"/>
    </xf>
    <xf numFmtId="3" fontId="68" fillId="21" borderId="45" xfId="0" applyNumberFormat="1" applyFont="1" applyFill="1" applyBorder="1" applyAlignment="1">
      <alignment horizontal="right" vertical="center"/>
    </xf>
    <xf numFmtId="49" fontId="67" fillId="3" borderId="45" xfId="0" applyNumberFormat="1" applyFont="1" applyFill="1" applyBorder="1" applyAlignment="1">
      <alignment horizontal="left" vertical="center"/>
    </xf>
    <xf numFmtId="3" fontId="67" fillId="3" borderId="45" xfId="0" applyNumberFormat="1" applyFont="1" applyFill="1" applyBorder="1" applyAlignment="1">
      <alignment horizontal="right" vertical="center"/>
    </xf>
    <xf numFmtId="0" fontId="67" fillId="3" borderId="45" xfId="0" applyFont="1" applyFill="1" applyBorder="1" applyAlignment="1">
      <alignment horizontal="right" vertical="center"/>
    </xf>
    <xf numFmtId="0" fontId="8" fillId="3" borderId="0" xfId="0" applyFont="1" applyFill="1">
      <alignment vertical="center"/>
    </xf>
    <xf numFmtId="0" fontId="34" fillId="21" borderId="45" xfId="0" applyFont="1" applyFill="1" applyBorder="1" applyAlignment="1">
      <alignment horizontal="right" vertical="center" wrapText="1"/>
    </xf>
    <xf numFmtId="196" fontId="67" fillId="22" borderId="45" xfId="0" applyNumberFormat="1" applyFont="1" applyFill="1" applyBorder="1" applyAlignment="1">
      <alignment horizontal="right" vertical="center"/>
    </xf>
    <xf numFmtId="196" fontId="8" fillId="0" borderId="0" xfId="0" applyNumberFormat="1" applyFont="1">
      <alignment vertical="center"/>
    </xf>
    <xf numFmtId="0" fontId="61" fillId="22" borderId="42" xfId="0" applyFont="1" applyFill="1" applyBorder="1" applyAlignment="1">
      <alignment horizontal="left" vertical="center"/>
    </xf>
    <xf numFmtId="203" fontId="61" fillId="17" borderId="42" xfId="0" applyNumberFormat="1" applyFont="1" applyFill="1" applyBorder="1" applyAlignment="1">
      <alignment horizontal="right" vertical="center"/>
    </xf>
    <xf numFmtId="49" fontId="62" fillId="21" borderId="42" xfId="0" applyNumberFormat="1" applyFont="1" applyFill="1" applyBorder="1" applyAlignment="1">
      <alignment horizontal="left" vertical="center"/>
    </xf>
    <xf numFmtId="203" fontId="62" fillId="21" borderId="42" xfId="0" applyNumberFormat="1" applyFont="1" applyFill="1" applyBorder="1" applyAlignment="1">
      <alignment horizontal="right" vertical="center"/>
    </xf>
    <xf numFmtId="0" fontId="69" fillId="21" borderId="42" xfId="0" applyFont="1" applyFill="1" applyBorder="1" applyAlignment="1">
      <alignment horizontal="left" vertical="center"/>
    </xf>
    <xf numFmtId="0" fontId="70" fillId="15" borderId="42" xfId="0" applyFont="1" applyFill="1" applyBorder="1" applyAlignment="1">
      <alignment horizontal="left" vertical="center" indent="2"/>
    </xf>
    <xf numFmtId="178" fontId="70" fillId="15" borderId="42" xfId="2" applyNumberFormat="1" applyFont="1" applyFill="1" applyBorder="1" applyAlignment="1">
      <alignment horizontal="right" vertical="center"/>
    </xf>
    <xf numFmtId="0" fontId="0" fillId="0" borderId="0" xfId="0" applyAlignment="1">
      <alignment horizontal="centerContinuous" vertical="center"/>
    </xf>
    <xf numFmtId="179" fontId="0" fillId="0" borderId="0" xfId="1" applyNumberFormat="1" applyFont="1">
      <alignment vertical="center"/>
    </xf>
    <xf numFmtId="179" fontId="0" fillId="0" borderId="0" xfId="0" applyNumberFormat="1">
      <alignment vertical="center"/>
    </xf>
    <xf numFmtId="197" fontId="12" fillId="9" borderId="0" xfId="0" applyNumberFormat="1" applyFont="1" applyFill="1">
      <alignment vertical="center"/>
    </xf>
    <xf numFmtId="204" fontId="0" fillId="0" borderId="0" xfId="1" applyNumberFormat="1" applyFont="1">
      <alignment vertical="center"/>
    </xf>
    <xf numFmtId="204" fontId="0" fillId="0" borderId="0" xfId="0" applyNumberFormat="1">
      <alignment vertical="center"/>
    </xf>
    <xf numFmtId="203" fontId="62" fillId="3" borderId="42" xfId="0" applyNumberFormat="1" applyFont="1" applyFill="1" applyBorder="1" applyAlignment="1">
      <alignment horizontal="right" vertical="center"/>
    </xf>
    <xf numFmtId="41" fontId="8" fillId="0" borderId="0" xfId="1" applyFont="1">
      <alignment vertical="center"/>
    </xf>
    <xf numFmtId="0" fontId="8" fillId="4" borderId="2" xfId="0" applyFont="1" applyFill="1" applyBorder="1" applyAlignment="1">
      <alignment horizontal="center" vertical="center"/>
    </xf>
    <xf numFmtId="3" fontId="8" fillId="2" borderId="2" xfId="0" applyNumberFormat="1" applyFont="1" applyFill="1" applyBorder="1">
      <alignment vertical="center"/>
    </xf>
    <xf numFmtId="3" fontId="8" fillId="0" borderId="2" xfId="0" applyNumberFormat="1" applyFont="1" applyBorder="1">
      <alignment vertical="center"/>
    </xf>
    <xf numFmtId="192" fontId="30" fillId="0" borderId="0" xfId="3" applyNumberFormat="1" applyFont="1" applyAlignment="1">
      <alignment horizontal="center" vertical="center"/>
    </xf>
    <xf numFmtId="186" fontId="8" fillId="0" borderId="0" xfId="3" applyNumberFormat="1" applyFont="1">
      <alignment vertical="center"/>
    </xf>
    <xf numFmtId="0" fontId="11" fillId="0" borderId="0" xfId="72" applyFont="1" applyAlignment="1">
      <alignment vertical="center"/>
    </xf>
    <xf numFmtId="41" fontId="11" fillId="0" borderId="0" xfId="73" applyFont="1" applyAlignment="1">
      <alignment vertical="center"/>
    </xf>
    <xf numFmtId="0" fontId="30" fillId="0" borderId="0" xfId="72" applyFont="1" applyAlignment="1">
      <alignment horizontal="center" vertical="center"/>
    </xf>
    <xf numFmtId="0" fontId="11" fillId="0" borderId="0" xfId="72" applyFont="1" applyAlignment="1">
      <alignment horizontal="center" vertical="center"/>
    </xf>
    <xf numFmtId="0" fontId="11" fillId="0" borderId="0" xfId="72" applyFont="1" applyAlignment="1">
      <alignment horizontal="right" vertical="center"/>
    </xf>
    <xf numFmtId="41" fontId="11" fillId="0" borderId="0" xfId="73" applyFont="1" applyFill="1" applyAlignment="1">
      <alignment vertical="center"/>
    </xf>
    <xf numFmtId="0" fontId="11" fillId="23" borderId="22" xfId="72" applyFont="1" applyFill="1" applyBorder="1" applyAlignment="1" applyProtection="1">
      <alignment horizontal="center" vertical="center"/>
      <protection locked="0"/>
    </xf>
    <xf numFmtId="41" fontId="11" fillId="0" borderId="0" xfId="73" applyFont="1" applyAlignment="1">
      <alignment horizontal="center" vertical="center"/>
    </xf>
    <xf numFmtId="0" fontId="11" fillId="23" borderId="22" xfId="72" applyFont="1" applyFill="1" applyBorder="1" applyAlignment="1" applyProtection="1">
      <alignment horizontal="center" vertical="center" wrapText="1"/>
      <protection locked="0"/>
    </xf>
    <xf numFmtId="0" fontId="11" fillId="23" borderId="31" xfId="72" applyFont="1" applyFill="1" applyBorder="1" applyAlignment="1" applyProtection="1">
      <alignment horizontal="center" vertical="center" wrapText="1"/>
      <protection locked="0"/>
    </xf>
    <xf numFmtId="0" fontId="11" fillId="23" borderId="33" xfId="72" applyFont="1" applyFill="1" applyBorder="1" applyAlignment="1" applyProtection="1">
      <alignment horizontal="center" vertical="center" wrapText="1"/>
      <protection locked="0"/>
    </xf>
    <xf numFmtId="0" fontId="11" fillId="0" borderId="22" xfId="72" applyFont="1" applyBorder="1" applyAlignment="1" applyProtection="1">
      <alignment horizontal="center" vertical="center"/>
      <protection locked="0"/>
    </xf>
    <xf numFmtId="41" fontId="11" fillId="0" borderId="22" xfId="72" applyNumberFormat="1" applyFont="1" applyBorder="1" applyAlignment="1" applyProtection="1">
      <alignment vertical="center"/>
      <protection locked="0"/>
    </xf>
    <xf numFmtId="41" fontId="11" fillId="0" borderId="31" xfId="72" applyNumberFormat="1" applyFont="1" applyBorder="1" applyAlignment="1" applyProtection="1">
      <alignment vertical="center"/>
      <protection locked="0"/>
    </xf>
    <xf numFmtId="41" fontId="11" fillId="0" borderId="33" xfId="72" applyNumberFormat="1" applyFont="1" applyBorder="1" applyAlignment="1" applyProtection="1">
      <alignment vertical="center"/>
      <protection locked="0"/>
    </xf>
    <xf numFmtId="41" fontId="11" fillId="0" borderId="0" xfId="72" applyNumberFormat="1" applyFont="1" applyAlignment="1">
      <alignment horizontal="center" vertical="center"/>
    </xf>
    <xf numFmtId="3" fontId="11" fillId="0" borderId="0" xfId="72" applyNumberFormat="1" applyFont="1" applyAlignment="1">
      <alignment vertical="center"/>
    </xf>
    <xf numFmtId="0" fontId="11" fillId="8" borderId="22" xfId="72" applyFont="1" applyFill="1" applyBorder="1" applyAlignment="1">
      <alignment horizontal="center" vertical="center"/>
    </xf>
    <xf numFmtId="41" fontId="11" fillId="8" borderId="22" xfId="72" applyNumberFormat="1" applyFont="1" applyFill="1" applyBorder="1" applyAlignment="1">
      <alignment vertical="center"/>
    </xf>
    <xf numFmtId="41" fontId="11" fillId="8" borderId="31" xfId="72" applyNumberFormat="1" applyFont="1" applyFill="1" applyBorder="1" applyAlignment="1">
      <alignment vertical="center"/>
    </xf>
    <xf numFmtId="41" fontId="11" fillId="8" borderId="33" xfId="72" applyNumberFormat="1" applyFont="1" applyFill="1" applyBorder="1" applyAlignment="1">
      <alignment vertical="center"/>
    </xf>
    <xf numFmtId="41" fontId="11" fillId="0" borderId="0" xfId="72" applyNumberFormat="1" applyFont="1" applyAlignment="1">
      <alignment vertical="center"/>
    </xf>
    <xf numFmtId="0" fontId="30" fillId="0" borderId="0" xfId="0" applyFont="1" applyAlignment="1">
      <alignment horizontal="center" vertical="center"/>
    </xf>
    <xf numFmtId="0" fontId="11" fillId="0" borderId="0" xfId="0" applyFont="1" applyAlignment="1">
      <alignment horizontal="center" vertical="center"/>
    </xf>
    <xf numFmtId="0" fontId="11" fillId="23" borderId="22" xfId="0" applyFont="1" applyFill="1" applyBorder="1" applyAlignment="1" applyProtection="1">
      <alignment horizontal="center" vertical="center"/>
      <protection locked="0"/>
    </xf>
    <xf numFmtId="0" fontId="11" fillId="23" borderId="22" xfId="0" applyFont="1" applyFill="1" applyBorder="1" applyAlignment="1" applyProtection="1">
      <alignment horizontal="center" vertical="center" wrapText="1"/>
      <protection locked="0"/>
    </xf>
    <xf numFmtId="0" fontId="11" fillId="23" borderId="31" xfId="0" applyFont="1" applyFill="1" applyBorder="1" applyAlignment="1" applyProtection="1">
      <alignment horizontal="center" vertical="center" wrapText="1"/>
      <protection locked="0"/>
    </xf>
    <xf numFmtId="0" fontId="11" fillId="23" borderId="33"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protection locked="0"/>
    </xf>
    <xf numFmtId="41" fontId="11" fillId="0" borderId="22" xfId="0" applyNumberFormat="1" applyFont="1" applyBorder="1" applyProtection="1">
      <alignment vertical="center"/>
      <protection locked="0"/>
    </xf>
    <xf numFmtId="41" fontId="11" fillId="0" borderId="31" xfId="0" applyNumberFormat="1" applyFont="1" applyBorder="1" applyProtection="1">
      <alignment vertical="center"/>
      <protection locked="0"/>
    </xf>
    <xf numFmtId="41" fontId="11" fillId="0" borderId="33" xfId="0" applyNumberFormat="1" applyFont="1" applyBorder="1" applyProtection="1">
      <alignment vertical="center"/>
      <protection locked="0"/>
    </xf>
    <xf numFmtId="0" fontId="11" fillId="8" borderId="22" xfId="0" applyFont="1" applyFill="1" applyBorder="1" applyAlignment="1">
      <alignment horizontal="center" vertical="center"/>
    </xf>
    <xf numFmtId="41" fontId="11" fillId="8" borderId="22" xfId="0" applyNumberFormat="1" applyFont="1" applyFill="1" applyBorder="1">
      <alignment vertical="center"/>
    </xf>
    <xf numFmtId="41" fontId="11" fillId="8" borderId="31" xfId="0" applyNumberFormat="1" applyFont="1" applyFill="1" applyBorder="1">
      <alignment vertical="center"/>
    </xf>
    <xf numFmtId="41" fontId="11" fillId="8" borderId="33" xfId="0" applyNumberFormat="1" applyFont="1" applyFill="1" applyBorder="1">
      <alignment vertical="center"/>
    </xf>
    <xf numFmtId="41" fontId="11" fillId="8" borderId="22" xfId="73" applyFont="1" applyFill="1" applyBorder="1" applyAlignment="1">
      <alignment vertical="center"/>
    </xf>
    <xf numFmtId="14" fontId="8" fillId="0" borderId="0" xfId="3" applyNumberFormat="1" applyFont="1" applyAlignment="1">
      <alignment horizontal="center" vertical="center"/>
    </xf>
    <xf numFmtId="178" fontId="35" fillId="0" borderId="0" xfId="2" applyNumberFormat="1" applyFont="1" applyBorder="1">
      <alignment vertical="center"/>
    </xf>
    <xf numFmtId="178" fontId="8" fillId="2" borderId="1" xfId="2" applyNumberFormat="1" applyFont="1" applyFill="1" applyBorder="1">
      <alignment vertical="center"/>
    </xf>
    <xf numFmtId="206" fontId="0" fillId="0" borderId="0" xfId="1" applyNumberFormat="1" applyFont="1">
      <alignment vertical="center"/>
    </xf>
    <xf numFmtId="0" fontId="0" fillId="0" borderId="0" xfId="0" applyAlignment="1">
      <alignment horizontal="center" vertical="center"/>
    </xf>
    <xf numFmtId="0" fontId="0" fillId="0" borderId="30" xfId="0" applyBorder="1" applyAlignment="1">
      <alignment horizontal="center" vertical="center"/>
    </xf>
    <xf numFmtId="0" fontId="0" fillId="0" borderId="15" xfId="0" applyBorder="1" applyAlignment="1">
      <alignment horizontal="center" vertical="center"/>
    </xf>
    <xf numFmtId="0" fontId="72" fillId="0" borderId="0" xfId="72" applyFont="1" applyAlignment="1">
      <alignment horizontal="center" vertical="center"/>
    </xf>
    <xf numFmtId="205" fontId="11" fillId="0" borderId="0" xfId="72" applyNumberFormat="1" applyFont="1" applyAlignment="1">
      <alignment horizontal="center" vertical="center"/>
    </xf>
    <xf numFmtId="0" fontId="11" fillId="23" borderId="22" xfId="72" applyFont="1" applyFill="1" applyBorder="1" applyAlignment="1" applyProtection="1">
      <alignment horizontal="center" vertical="center"/>
      <protection locked="0"/>
    </xf>
    <xf numFmtId="0" fontId="11" fillId="23" borderId="41" xfId="72" applyFont="1" applyFill="1" applyBorder="1" applyAlignment="1" applyProtection="1">
      <alignment horizontal="center" vertical="center"/>
      <protection locked="0"/>
    </xf>
    <xf numFmtId="0" fontId="11" fillId="23" borderId="20" xfId="72" applyFont="1" applyFill="1" applyBorder="1" applyAlignment="1" applyProtection="1">
      <alignment horizontal="center" vertical="center"/>
      <protection locked="0"/>
    </xf>
    <xf numFmtId="0" fontId="11" fillId="23" borderId="30" xfId="72" applyFont="1" applyFill="1" applyBorder="1" applyAlignment="1" applyProtection="1">
      <alignment horizontal="center" vertical="center"/>
      <protection locked="0"/>
    </xf>
    <xf numFmtId="0" fontId="11" fillId="0" borderId="30" xfId="72" applyFont="1" applyBorder="1" applyAlignment="1" applyProtection="1">
      <alignment horizontal="center" vertical="center"/>
      <protection locked="0"/>
    </xf>
    <xf numFmtId="0" fontId="11" fillId="0" borderId="21" xfId="72" applyFont="1" applyBorder="1" applyAlignment="1" applyProtection="1">
      <alignment horizontal="center" vertical="center"/>
      <protection locked="0"/>
    </xf>
    <xf numFmtId="0" fontId="11" fillId="0" borderId="15" xfId="72" applyFont="1" applyBorder="1" applyAlignment="1" applyProtection="1">
      <alignment horizontal="center" vertical="center"/>
      <protection locked="0"/>
    </xf>
    <xf numFmtId="0" fontId="72" fillId="0" borderId="0" xfId="0" applyFont="1" applyAlignment="1">
      <alignment horizontal="center" vertical="center"/>
    </xf>
    <xf numFmtId="205" fontId="11" fillId="0" borderId="0" xfId="0" applyNumberFormat="1" applyFont="1" applyAlignment="1">
      <alignment horizontal="center" vertical="center"/>
    </xf>
    <xf numFmtId="0" fontId="11" fillId="23" borderId="22" xfId="0" applyFont="1" applyFill="1" applyBorder="1" applyAlignment="1" applyProtection="1">
      <alignment horizontal="center" vertical="center"/>
      <protection locked="0"/>
    </xf>
    <xf numFmtId="0" fontId="11" fillId="23" borderId="41" xfId="0" applyFont="1" applyFill="1" applyBorder="1" applyAlignment="1" applyProtection="1">
      <alignment horizontal="center" vertical="center"/>
      <protection locked="0"/>
    </xf>
    <xf numFmtId="0" fontId="11" fillId="23" borderId="20" xfId="0" applyFont="1" applyFill="1" applyBorder="1" applyAlignment="1" applyProtection="1">
      <alignment horizontal="center" vertical="center"/>
      <protection locked="0"/>
    </xf>
    <xf numFmtId="0" fontId="11" fillId="23" borderId="30" xfId="0" applyFont="1" applyFill="1" applyBorder="1" applyAlignment="1" applyProtection="1">
      <alignment horizontal="center" vertical="center"/>
      <protection locked="0"/>
    </xf>
    <xf numFmtId="0" fontId="11" fillId="0" borderId="30" xfId="0" applyFont="1" applyBorder="1" applyAlignment="1" applyProtection="1">
      <alignment horizontal="center" vertical="center"/>
      <protection locked="0"/>
    </xf>
    <xf numFmtId="0" fontId="11" fillId="0" borderId="21" xfId="0" applyFont="1" applyBorder="1" applyAlignment="1" applyProtection="1">
      <alignment horizontal="center" vertical="center"/>
      <protection locked="0"/>
    </xf>
    <xf numFmtId="0" fontId="11" fillId="0" borderId="15" xfId="0" applyFont="1" applyBorder="1" applyAlignment="1" applyProtection="1">
      <alignment horizontal="center" vertical="center"/>
      <protection locked="0"/>
    </xf>
    <xf numFmtId="0" fontId="11" fillId="0" borderId="41" xfId="0" applyFont="1" applyBorder="1" applyAlignment="1" applyProtection="1">
      <alignment horizontal="center" vertical="center"/>
      <protection locked="0"/>
    </xf>
    <xf numFmtId="0" fontId="11" fillId="0" borderId="20" xfId="0" applyFont="1" applyBorder="1" applyAlignment="1" applyProtection="1">
      <alignment horizontal="center" vertical="center"/>
      <protection locked="0"/>
    </xf>
    <xf numFmtId="0" fontId="24" fillId="4" borderId="1" xfId="3" applyFont="1" applyFill="1" applyBorder="1" applyAlignment="1">
      <alignment horizontal="center" vertical="center"/>
    </xf>
    <xf numFmtId="202" fontId="60" fillId="0" borderId="0" xfId="71" applyNumberFormat="1" applyFont="1" applyFill="1" applyBorder="1" applyAlignment="1" applyProtection="1">
      <alignment horizontal="center" vertical="center"/>
      <protection locked="0"/>
    </xf>
    <xf numFmtId="202" fontId="33" fillId="0" borderId="0" xfId="71" applyNumberFormat="1" applyFont="1" applyFill="1" applyAlignment="1" applyProtection="1">
      <alignment horizontal="center" vertical="center"/>
      <protection locked="0"/>
    </xf>
    <xf numFmtId="0" fontId="58" fillId="19" borderId="41" xfId="0" applyFont="1" applyFill="1" applyBorder="1" applyAlignment="1">
      <alignment horizontal="center" vertical="center"/>
    </xf>
    <xf numFmtId="0" fontId="58" fillId="19" borderId="36" xfId="0" applyFont="1" applyFill="1" applyBorder="1" applyAlignment="1">
      <alignment horizontal="center" vertical="center"/>
    </xf>
    <xf numFmtId="0" fontId="58" fillId="19" borderId="20" xfId="0" applyFont="1" applyFill="1" applyBorder="1" applyAlignment="1">
      <alignment horizontal="center" vertical="center"/>
    </xf>
    <xf numFmtId="3" fontId="58" fillId="19" borderId="41" xfId="0" applyNumberFormat="1" applyFont="1" applyFill="1" applyBorder="1" applyAlignment="1">
      <alignment horizontal="center" vertical="center"/>
    </xf>
    <xf numFmtId="3" fontId="58" fillId="19" borderId="36" xfId="0" applyNumberFormat="1" applyFont="1" applyFill="1" applyBorder="1" applyAlignment="1">
      <alignment horizontal="center" vertical="center"/>
    </xf>
    <xf numFmtId="3" fontId="58" fillId="19" borderId="20" xfId="0" applyNumberFormat="1" applyFont="1" applyFill="1" applyBorder="1" applyAlignment="1">
      <alignment horizontal="center" vertical="center"/>
    </xf>
    <xf numFmtId="0" fontId="61" fillId="20" borderId="42" xfId="0" applyFont="1" applyFill="1" applyBorder="1" applyAlignment="1">
      <alignment horizontal="center" vertical="center"/>
    </xf>
    <xf numFmtId="0" fontId="61" fillId="20" borderId="45" xfId="0" applyFont="1" applyFill="1" applyBorder="1" applyAlignment="1">
      <alignment horizontal="center" vertical="center"/>
    </xf>
    <xf numFmtId="0" fontId="61" fillId="20" borderId="43" xfId="0" applyFont="1" applyFill="1" applyBorder="1" applyAlignment="1">
      <alignment horizontal="center" vertical="center"/>
    </xf>
    <xf numFmtId="0" fontId="61" fillId="20" borderId="44" xfId="0" applyFont="1" applyFill="1" applyBorder="1" applyAlignment="1">
      <alignment horizontal="center" vertical="center"/>
    </xf>
    <xf numFmtId="0" fontId="61" fillId="20" borderId="46" xfId="0" applyFont="1" applyFill="1" applyBorder="1" applyAlignment="1">
      <alignment horizontal="center" vertical="center"/>
    </xf>
    <xf numFmtId="0" fontId="61" fillId="20" borderId="47" xfId="0" applyFont="1" applyFill="1" applyBorder="1" applyAlignment="1">
      <alignment horizontal="center" vertical="center"/>
    </xf>
    <xf numFmtId="0" fontId="65" fillId="20" borderId="22" xfId="0" applyFont="1" applyFill="1" applyBorder="1" applyAlignment="1">
      <alignment horizontal="center" vertical="center"/>
    </xf>
    <xf numFmtId="0" fontId="65" fillId="20" borderId="30" xfId="0" applyFont="1" applyFill="1" applyBorder="1" applyAlignment="1">
      <alignment horizontal="center" vertical="center"/>
    </xf>
    <xf numFmtId="0" fontId="65" fillId="20" borderId="15" xfId="0" applyFont="1" applyFill="1" applyBorder="1" applyAlignment="1">
      <alignment horizontal="center" vertical="center"/>
    </xf>
    <xf numFmtId="0" fontId="65" fillId="20" borderId="31" xfId="0" applyFont="1" applyFill="1" applyBorder="1" applyAlignment="1">
      <alignment horizontal="center" vertical="center"/>
    </xf>
    <xf numFmtId="0" fontId="65" fillId="20" borderId="33" xfId="0" applyFont="1" applyFill="1" applyBorder="1" applyAlignment="1">
      <alignment horizontal="center" vertical="center"/>
    </xf>
    <xf numFmtId="0" fontId="66" fillId="20" borderId="22" xfId="0" applyFont="1" applyFill="1" applyBorder="1" applyAlignment="1">
      <alignment horizontal="center" vertical="center"/>
    </xf>
    <xf numFmtId="0" fontId="74" fillId="0" borderId="0" xfId="54" applyFont="1" applyAlignment="1">
      <alignment horizontal="center" vertical="center"/>
    </xf>
    <xf numFmtId="0" fontId="75" fillId="16" borderId="0" xfId="54" applyFont="1" applyFill="1" applyAlignment="1">
      <alignment horizontal="center" vertical="center" wrapText="1"/>
    </xf>
    <xf numFmtId="0" fontId="75" fillId="16" borderId="0" xfId="54" applyFont="1" applyFill="1" applyAlignment="1">
      <alignment horizontal="center" vertical="center"/>
    </xf>
    <xf numFmtId="0" fontId="74" fillId="0" borderId="0" xfId="54" applyFont="1" applyAlignment="1">
      <alignment vertical="center"/>
    </xf>
    <xf numFmtId="0" fontId="75" fillId="16" borderId="0" xfId="54" applyFont="1" applyFill="1" applyAlignment="1">
      <alignment horizontal="center" vertical="center" wrapText="1"/>
    </xf>
    <xf numFmtId="3" fontId="76" fillId="0" borderId="0" xfId="63" applyFont="1" applyAlignment="1">
      <alignment vertical="center"/>
    </xf>
    <xf numFmtId="0" fontId="76" fillId="0" borderId="0" xfId="54" applyFont="1" applyAlignment="1">
      <alignment vertical="center"/>
    </xf>
    <xf numFmtId="0" fontId="77" fillId="16" borderId="0" xfId="54" applyFont="1" applyFill="1" applyAlignment="1">
      <alignment horizontal="center" vertical="center"/>
    </xf>
    <xf numFmtId="0" fontId="77" fillId="16" borderId="0" xfId="54" applyFont="1" applyFill="1" applyAlignment="1">
      <alignment horizontal="left" vertical="center"/>
    </xf>
    <xf numFmtId="0" fontId="78" fillId="18" borderId="22" xfId="54" applyFont="1" applyFill="1" applyBorder="1" applyAlignment="1">
      <alignment horizontal="center" vertical="center"/>
    </xf>
    <xf numFmtId="0" fontId="78" fillId="18" borderId="22" xfId="54" applyFont="1" applyFill="1" applyBorder="1" applyAlignment="1">
      <alignment horizontal="center" vertical="center"/>
    </xf>
    <xf numFmtId="0" fontId="78" fillId="18" borderId="30" xfId="54" applyFont="1" applyFill="1" applyBorder="1" applyAlignment="1">
      <alignment horizontal="center" vertical="center"/>
    </xf>
    <xf numFmtId="0" fontId="78" fillId="18" borderId="31" xfId="54" applyFont="1" applyFill="1" applyBorder="1" applyAlignment="1">
      <alignment horizontal="center" vertical="center"/>
    </xf>
    <xf numFmtId="0" fontId="78" fillId="18" borderId="29" xfId="54" applyFont="1" applyFill="1" applyBorder="1" applyAlignment="1">
      <alignment horizontal="center" vertical="center"/>
    </xf>
    <xf numFmtId="0" fontId="78" fillId="18" borderId="32" xfId="54" applyFont="1" applyFill="1" applyBorder="1" applyAlignment="1">
      <alignment horizontal="center" vertical="center"/>
    </xf>
    <xf numFmtId="0" fontId="78" fillId="18" borderId="33" xfId="54" applyFont="1" applyFill="1" applyBorder="1" applyAlignment="1">
      <alignment horizontal="center" vertical="center"/>
    </xf>
    <xf numFmtId="3" fontId="76" fillId="15" borderId="22" xfId="63" applyFont="1" applyFill="1" applyBorder="1" applyAlignment="1">
      <alignment horizontal="center" vertical="center"/>
    </xf>
    <xf numFmtId="0" fontId="78" fillId="18" borderId="15" xfId="54" applyFont="1" applyFill="1" applyBorder="1" applyAlignment="1">
      <alignment horizontal="center" vertical="center"/>
    </xf>
    <xf numFmtId="0" fontId="78" fillId="18" borderId="31" xfId="54" applyFont="1" applyFill="1" applyBorder="1" applyAlignment="1">
      <alignment horizontal="center" vertical="center"/>
    </xf>
    <xf numFmtId="196" fontId="78" fillId="18" borderId="34" xfId="54" applyNumberFormat="1" applyFont="1" applyFill="1" applyBorder="1" applyAlignment="1">
      <alignment horizontal="center" vertical="center"/>
    </xf>
    <xf numFmtId="0" fontId="78" fillId="18" borderId="33" xfId="54" applyFont="1" applyFill="1" applyBorder="1" applyAlignment="1">
      <alignment horizontal="center" vertical="center"/>
    </xf>
    <xf numFmtId="3" fontId="79" fillId="15" borderId="22" xfId="63" applyFont="1" applyFill="1" applyBorder="1" applyAlignment="1">
      <alignment horizontal="center" vertical="center"/>
    </xf>
    <xf numFmtId="0" fontId="76" fillId="15" borderId="22" xfId="54" applyFont="1" applyFill="1" applyBorder="1" applyAlignment="1">
      <alignment horizontal="center" vertical="center"/>
    </xf>
    <xf numFmtId="0" fontId="75" fillId="16" borderId="22" xfId="54" applyFont="1" applyFill="1" applyBorder="1" applyAlignment="1">
      <alignment horizontal="left" vertical="center"/>
    </xf>
    <xf numFmtId="199" fontId="75" fillId="16" borderId="22" xfId="54" applyNumberFormat="1" applyFont="1" applyFill="1" applyBorder="1" applyAlignment="1">
      <alignment vertical="center"/>
    </xf>
    <xf numFmtId="199" fontId="75" fillId="16" borderId="31" xfId="54" applyNumberFormat="1" applyFont="1" applyFill="1" applyBorder="1" applyAlignment="1">
      <alignment vertical="center"/>
    </xf>
    <xf numFmtId="0" fontId="75" fillId="16" borderId="31" xfId="54" applyFont="1" applyFill="1" applyBorder="1" applyAlignment="1">
      <alignment horizontal="left" vertical="center"/>
    </xf>
    <xf numFmtId="199" fontId="75" fillId="2" borderId="35" xfId="54" applyNumberFormat="1" applyFont="1" applyFill="1" applyBorder="1" applyAlignment="1">
      <alignment vertical="center"/>
    </xf>
    <xf numFmtId="199" fontId="75" fillId="16" borderId="33" xfId="54" applyNumberFormat="1" applyFont="1" applyFill="1" applyBorder="1" applyAlignment="1">
      <alignment vertical="center"/>
    </xf>
    <xf numFmtId="3" fontId="76" fillId="0" borderId="22" xfId="63" applyFont="1" applyBorder="1" applyAlignment="1">
      <alignment vertical="center"/>
    </xf>
    <xf numFmtId="0" fontId="76" fillId="0" borderId="22" xfId="54" applyFont="1" applyBorder="1" applyAlignment="1">
      <alignment vertical="center"/>
    </xf>
    <xf numFmtId="0" fontId="77" fillId="0" borderId="22" xfId="54" applyFont="1" applyBorder="1" applyAlignment="1">
      <alignment horizontal="left" vertical="center"/>
    </xf>
    <xf numFmtId="199" fontId="77" fillId="0" borderId="22" xfId="54" applyNumberFormat="1" applyFont="1" applyBorder="1" applyAlignment="1">
      <alignment vertical="center"/>
    </xf>
    <xf numFmtId="199" fontId="77" fillId="0" borderId="31" xfId="54" applyNumberFormat="1" applyFont="1" applyBorder="1" applyAlignment="1">
      <alignment vertical="center"/>
    </xf>
    <xf numFmtId="0" fontId="77" fillId="0" borderId="31" xfId="54" applyFont="1" applyBorder="1" applyAlignment="1">
      <alignment horizontal="left" vertical="center"/>
    </xf>
    <xf numFmtId="3" fontId="77" fillId="0" borderId="35" xfId="54" applyNumberFormat="1" applyFont="1" applyBorder="1" applyAlignment="1">
      <alignment horizontal="right" vertical="center"/>
    </xf>
    <xf numFmtId="199" fontId="77" fillId="0" borderId="33" xfId="54" applyNumberFormat="1" applyFont="1" applyBorder="1" applyAlignment="1">
      <alignment vertical="center"/>
    </xf>
    <xf numFmtId="3" fontId="76" fillId="0" borderId="22" xfId="63" applyFont="1" applyFill="1" applyBorder="1" applyAlignment="1">
      <alignment vertical="center"/>
    </xf>
    <xf numFmtId="3" fontId="73" fillId="0" borderId="22" xfId="54" applyNumberFormat="1" applyFont="1" applyBorder="1" applyAlignment="1">
      <alignment vertical="center"/>
    </xf>
    <xf numFmtId="3" fontId="73" fillId="0" borderId="31" xfId="54" applyNumberFormat="1" applyFont="1" applyBorder="1" applyAlignment="1">
      <alignment vertical="center"/>
    </xf>
    <xf numFmtId="0" fontId="77" fillId="0" borderId="31" xfId="54" applyFont="1" applyBorder="1" applyAlignment="1">
      <alignment horizontal="left" vertical="center" indent="2"/>
    </xf>
    <xf numFmtId="199" fontId="76" fillId="0" borderId="33" xfId="54" applyNumberFormat="1" applyFont="1" applyBorder="1" applyAlignment="1">
      <alignment vertical="center"/>
    </xf>
    <xf numFmtId="0" fontId="75" fillId="0" borderId="22" xfId="54" applyFont="1" applyBorder="1" applyAlignment="1">
      <alignment horizontal="left" vertical="center"/>
    </xf>
    <xf numFmtId="199" fontId="75" fillId="0" borderId="22" xfId="54" applyNumberFormat="1" applyFont="1" applyBorder="1" applyAlignment="1">
      <alignment vertical="center"/>
    </xf>
    <xf numFmtId="199" fontId="75" fillId="0" borderId="31" xfId="54" applyNumberFormat="1" applyFont="1" applyBorder="1" applyAlignment="1">
      <alignment vertical="center"/>
    </xf>
    <xf numFmtId="0" fontId="75" fillId="0" borderId="31" xfId="54" applyFont="1" applyBorder="1" applyAlignment="1">
      <alignment horizontal="left" vertical="center"/>
    </xf>
    <xf numFmtId="3" fontId="75" fillId="0" borderId="35" xfId="54" applyNumberFormat="1" applyFont="1" applyBorder="1" applyAlignment="1">
      <alignment horizontal="right" vertical="center"/>
    </xf>
    <xf numFmtId="199" fontId="75" fillId="0" borderId="33" xfId="54" applyNumberFormat="1" applyFont="1" applyBorder="1" applyAlignment="1">
      <alignment vertical="center"/>
    </xf>
    <xf numFmtId="199" fontId="76" fillId="0" borderId="22" xfId="54" applyNumberFormat="1" applyFont="1" applyBorder="1" applyAlignment="1">
      <alignment vertical="center"/>
    </xf>
    <xf numFmtId="199" fontId="75" fillId="0" borderId="35" xfId="54" applyNumberFormat="1" applyFont="1" applyBorder="1" applyAlignment="1">
      <alignment vertical="center"/>
    </xf>
    <xf numFmtId="0" fontId="75" fillId="0" borderId="31" xfId="54" applyFont="1" applyBorder="1" applyAlignment="1">
      <alignment horizontal="left" vertical="center" wrapText="1"/>
    </xf>
    <xf numFmtId="199" fontId="79" fillId="0" borderId="33" xfId="54" applyNumberFormat="1" applyFont="1" applyBorder="1" applyAlignment="1">
      <alignment vertical="center"/>
    </xf>
    <xf numFmtId="3" fontId="77" fillId="15" borderId="35" xfId="54" applyNumberFormat="1" applyFont="1" applyFill="1" applyBorder="1" applyAlignment="1">
      <alignment horizontal="right" vertical="center"/>
    </xf>
    <xf numFmtId="3" fontId="76" fillId="0" borderId="30" xfId="54" applyNumberFormat="1" applyFont="1" applyBorder="1" applyAlignment="1">
      <alignment horizontal="center" vertical="center"/>
    </xf>
    <xf numFmtId="0" fontId="74" fillId="0" borderId="36" xfId="54" applyFont="1" applyBorder="1" applyAlignment="1">
      <alignment horizontal="center" vertical="center"/>
    </xf>
    <xf numFmtId="0" fontId="74" fillId="0" borderId="34" xfId="54" applyFont="1" applyBorder="1" applyAlignment="1">
      <alignment vertical="center"/>
    </xf>
    <xf numFmtId="0" fontId="76" fillId="0" borderId="21" xfId="54" applyFont="1" applyBorder="1" applyAlignment="1">
      <alignment horizontal="center" vertical="center"/>
    </xf>
    <xf numFmtId="3" fontId="74" fillId="0" borderId="35" xfId="54" applyNumberFormat="1" applyFont="1" applyBorder="1" applyAlignment="1">
      <alignment vertical="center"/>
    </xf>
    <xf numFmtId="0" fontId="74" fillId="0" borderId="35" xfId="54" applyFont="1" applyBorder="1" applyAlignment="1">
      <alignment vertical="center"/>
    </xf>
    <xf numFmtId="10" fontId="74" fillId="0" borderId="37" xfId="61" applyNumberFormat="1" applyFont="1" applyBorder="1" applyAlignment="1">
      <alignment vertical="center"/>
    </xf>
    <xf numFmtId="0" fontId="76" fillId="0" borderId="15" xfId="54" applyFont="1" applyBorder="1" applyAlignment="1">
      <alignment horizontal="center" vertical="center"/>
    </xf>
    <xf numFmtId="199" fontId="76" fillId="0" borderId="31" xfId="54" applyNumberFormat="1" applyFont="1" applyBorder="1" applyAlignment="1">
      <alignment vertical="center"/>
    </xf>
    <xf numFmtId="0" fontId="77" fillId="3" borderId="22" xfId="54" applyFont="1" applyFill="1" applyBorder="1" applyAlignment="1">
      <alignment horizontal="left" vertical="center"/>
    </xf>
    <xf numFmtId="199" fontId="77" fillId="3" borderId="22" xfId="54" applyNumberFormat="1" applyFont="1" applyFill="1" applyBorder="1" applyAlignment="1">
      <alignment vertical="center"/>
    </xf>
    <xf numFmtId="199" fontId="77" fillId="3" borderId="31" xfId="54" applyNumberFormat="1" applyFont="1" applyFill="1" applyBorder="1" applyAlignment="1">
      <alignment vertical="center"/>
    </xf>
    <xf numFmtId="0" fontId="77" fillId="3" borderId="31" xfId="54" applyFont="1" applyFill="1" applyBorder="1" applyAlignment="1">
      <alignment horizontal="left" vertical="center" indent="2"/>
    </xf>
    <xf numFmtId="3" fontId="77" fillId="3" borderId="35" xfId="54" applyNumberFormat="1" applyFont="1" applyFill="1" applyBorder="1" applyAlignment="1">
      <alignment horizontal="right" vertical="center"/>
    </xf>
    <xf numFmtId="199" fontId="76" fillId="3" borderId="33" xfId="54" applyNumberFormat="1" applyFont="1" applyFill="1" applyBorder="1" applyAlignment="1">
      <alignment vertical="center"/>
    </xf>
    <xf numFmtId="199" fontId="76" fillId="3" borderId="22" xfId="54" applyNumberFormat="1" applyFont="1" applyFill="1" applyBorder="1" applyAlignment="1">
      <alignment vertical="center"/>
    </xf>
    <xf numFmtId="3" fontId="76" fillId="3" borderId="22" xfId="63" applyFont="1" applyFill="1" applyBorder="1" applyAlignment="1">
      <alignment vertical="center"/>
    </xf>
    <xf numFmtId="0" fontId="76" fillId="3" borderId="22" xfId="54" applyFont="1" applyFill="1" applyBorder="1" applyAlignment="1">
      <alignment vertical="center"/>
    </xf>
    <xf numFmtId="0" fontId="74" fillId="3" borderId="0" xfId="54" applyFont="1" applyFill="1" applyAlignment="1">
      <alignment vertical="center"/>
    </xf>
    <xf numFmtId="196" fontId="75" fillId="0" borderId="35" xfId="54" applyNumberFormat="1" applyFont="1" applyBorder="1" applyAlignment="1">
      <alignment vertical="center"/>
    </xf>
    <xf numFmtId="196" fontId="75" fillId="0" borderId="33" xfId="54" applyNumberFormat="1" applyFont="1" applyBorder="1" applyAlignment="1">
      <alignment vertical="center"/>
    </xf>
    <xf numFmtId="196" fontId="75" fillId="0" borderId="22" xfId="54" applyNumberFormat="1" applyFont="1" applyBorder="1" applyAlignment="1">
      <alignment vertical="center"/>
    </xf>
    <xf numFmtId="196" fontId="77" fillId="0" borderId="35" xfId="54" applyNumberFormat="1" applyFont="1" applyBorder="1" applyAlignment="1">
      <alignment horizontal="right" vertical="center"/>
    </xf>
    <xf numFmtId="196" fontId="77" fillId="0" borderId="33" xfId="54" applyNumberFormat="1" applyFont="1" applyBorder="1" applyAlignment="1">
      <alignment vertical="center"/>
    </xf>
    <xf numFmtId="196" fontId="77" fillId="0" borderId="22" xfId="54" applyNumberFormat="1" applyFont="1" applyBorder="1" applyAlignment="1">
      <alignment vertical="center"/>
    </xf>
    <xf numFmtId="0" fontId="75" fillId="8" borderId="31" xfId="54" applyFont="1" applyFill="1" applyBorder="1" applyAlignment="1">
      <alignment horizontal="left" vertical="center"/>
    </xf>
    <xf numFmtId="196" fontId="75" fillId="8" borderId="37" xfId="54" applyNumberFormat="1" applyFont="1" applyFill="1" applyBorder="1" applyAlignment="1">
      <alignment vertical="center"/>
    </xf>
    <xf numFmtId="196" fontId="75" fillId="8" borderId="33" xfId="54" applyNumberFormat="1" applyFont="1" applyFill="1" applyBorder="1" applyAlignment="1">
      <alignment vertical="center"/>
    </xf>
    <xf numFmtId="196" fontId="75" fillId="8" borderId="22" xfId="54" applyNumberFormat="1" applyFont="1" applyFill="1" applyBorder="1" applyAlignment="1">
      <alignment vertical="center"/>
    </xf>
    <xf numFmtId="0" fontId="75" fillId="0" borderId="0" xfId="54" applyFont="1" applyAlignment="1">
      <alignment horizontal="left" vertical="center"/>
    </xf>
    <xf numFmtId="199" fontId="75" fillId="0" borderId="0" xfId="54" applyNumberFormat="1" applyFont="1" applyAlignment="1">
      <alignment vertical="center"/>
    </xf>
    <xf numFmtId="196" fontId="75" fillId="0" borderId="0" xfId="54" applyNumberFormat="1" applyFont="1" applyAlignment="1">
      <alignment vertical="center"/>
    </xf>
    <xf numFmtId="196" fontId="77" fillId="0" borderId="0" xfId="54" applyNumberFormat="1" applyFont="1" applyAlignment="1">
      <alignment horizontal="right" vertical="center"/>
    </xf>
    <xf numFmtId="0" fontId="78" fillId="18" borderId="23" xfId="54" applyFont="1" applyFill="1" applyBorder="1" applyAlignment="1">
      <alignment horizontal="center" vertical="center"/>
    </xf>
    <xf numFmtId="196" fontId="78" fillId="18" borderId="38" xfId="54" applyNumberFormat="1" applyFont="1" applyFill="1" applyBorder="1" applyAlignment="1">
      <alignment horizontal="center" vertical="center"/>
    </xf>
    <xf numFmtId="0" fontId="78" fillId="18" borderId="38" xfId="54" applyFont="1" applyFill="1" applyBorder="1" applyAlignment="1">
      <alignment horizontal="center" vertical="center"/>
    </xf>
    <xf numFmtId="0" fontId="78" fillId="18" borderId="24" xfId="54" applyFont="1" applyFill="1" applyBorder="1" applyAlignment="1">
      <alignment horizontal="center" vertical="center"/>
    </xf>
    <xf numFmtId="0" fontId="75" fillId="0" borderId="25" xfId="54" applyFont="1" applyBorder="1" applyAlignment="1">
      <alignment horizontal="left" vertical="center" wrapText="1"/>
    </xf>
    <xf numFmtId="196" fontId="75" fillId="0" borderId="39" xfId="54" applyNumberFormat="1" applyFont="1" applyBorder="1" applyAlignment="1">
      <alignment vertical="center"/>
    </xf>
    <xf numFmtId="0" fontId="76" fillId="0" borderId="0" xfId="54" applyFont="1" applyAlignment="1">
      <alignment horizontal="left" vertical="center"/>
    </xf>
    <xf numFmtId="0" fontId="76" fillId="4" borderId="25" xfId="54" applyFont="1" applyFill="1" applyBorder="1" applyAlignment="1">
      <alignment horizontal="left" vertical="center" wrapText="1" indent="2"/>
    </xf>
    <xf numFmtId="196" fontId="76" fillId="4" borderId="22" xfId="63" applyNumberFormat="1" applyFont="1" applyFill="1" applyBorder="1" applyAlignment="1">
      <alignment horizontal="right" vertical="center"/>
    </xf>
    <xf numFmtId="196" fontId="76" fillId="4" borderId="39" xfId="63" applyNumberFormat="1" applyFont="1" applyFill="1" applyBorder="1" applyAlignment="1">
      <alignment horizontal="right" vertical="center"/>
    </xf>
    <xf numFmtId="0" fontId="79" fillId="15" borderId="27" xfId="54" applyFont="1" applyFill="1" applyBorder="1" applyAlignment="1">
      <alignment horizontal="left" vertical="center" wrapText="1"/>
    </xf>
    <xf numFmtId="196" fontId="79" fillId="15" borderId="40" xfId="63" applyNumberFormat="1" applyFont="1" applyFill="1" applyBorder="1" applyAlignment="1">
      <alignment vertical="center"/>
    </xf>
    <xf numFmtId="196" fontId="79" fillId="15" borderId="28" xfId="63" applyNumberFormat="1" applyFont="1" applyFill="1" applyBorder="1" applyAlignment="1">
      <alignment vertical="center"/>
    </xf>
    <xf numFmtId="3" fontId="74" fillId="0" borderId="0" xfId="63" applyFont="1" applyAlignment="1">
      <alignment horizontal="left" vertical="center"/>
    </xf>
    <xf numFmtId="3" fontId="74" fillId="0" borderId="0" xfId="63" applyFont="1" applyAlignment="1">
      <alignment vertical="center"/>
    </xf>
    <xf numFmtId="0" fontId="74" fillId="0" borderId="0" xfId="54" applyFont="1" applyAlignment="1">
      <alignment horizontal="left" vertical="center"/>
    </xf>
  </cellXfs>
  <cellStyles count="78">
    <cellStyle name="60% - 강조색4 2" xfId="41"/>
    <cellStyle name="Brand Default 3" xfId="77"/>
    <cellStyle name="Smart General" xfId="35"/>
    <cellStyle name="Smart Subtitle 1" xfId="37"/>
    <cellStyle name="Smart Title" xfId="33"/>
    <cellStyle name="백분율" xfId="2" builtinId="5"/>
    <cellStyle name="백분율 10" xfId="59"/>
    <cellStyle name="백분율 11" xfId="61"/>
    <cellStyle name="백분율 12" xfId="75"/>
    <cellStyle name="백분율 2" xfId="9"/>
    <cellStyle name="백분율 2 2" xfId="26"/>
    <cellStyle name="백분율 2 3" xfId="36"/>
    <cellStyle name="백분율 3" xfId="18"/>
    <cellStyle name="백분율 4" xfId="22"/>
    <cellStyle name="백분율 5" xfId="29"/>
    <cellStyle name="백분율 5 2" xfId="65"/>
    <cellStyle name="백분율 6" xfId="31"/>
    <cellStyle name="백분율 7" xfId="8"/>
    <cellStyle name="백분율 8" xfId="44"/>
    <cellStyle name="백분율 9" xfId="50"/>
    <cellStyle name="쉼표 [0]" xfId="1" builtinId="6"/>
    <cellStyle name="쉼표 [0] 10" xfId="53"/>
    <cellStyle name="쉼표 [0] 11" xfId="58"/>
    <cellStyle name="쉼표 [0] 12" xfId="63"/>
    <cellStyle name="쉼표 [0] 13" xfId="13"/>
    <cellStyle name="쉼표 [0] 14" xfId="73"/>
    <cellStyle name="쉼표 [0] 15" xfId="76"/>
    <cellStyle name="쉼표 [0] 18 3" xfId="21"/>
    <cellStyle name="쉼표 [0] 2" xfId="6"/>
    <cellStyle name="쉼표 [0] 2 2" xfId="12"/>
    <cellStyle name="쉼표 [0] 2 2 2" xfId="14"/>
    <cellStyle name="쉼표 [0] 2 2 3" xfId="40"/>
    <cellStyle name="쉼표 [0] 2 3" xfId="25"/>
    <cellStyle name="쉼표 [0] 2 3 2" xfId="39"/>
    <cellStyle name="쉼표 [0] 2 4" xfId="56"/>
    <cellStyle name="쉼표 [0] 3" xfId="16"/>
    <cellStyle name="쉼표 [0] 4" xfId="20"/>
    <cellStyle name="쉼표 [0] 4 2" xfId="69"/>
    <cellStyle name="쉼표 [0] 5" xfId="7"/>
    <cellStyle name="쉼표 [0] 5 2" xfId="66"/>
    <cellStyle name="쉼표 [0] 6" xfId="28"/>
    <cellStyle name="쉼표 [0] 6 2" xfId="67"/>
    <cellStyle name="쉼표 [0] 7" xfId="15"/>
    <cellStyle name="쉼표 [0] 8" xfId="30"/>
    <cellStyle name="쉼표 [0] 9" xfId="49"/>
    <cellStyle name="좋음 2" xfId="42"/>
    <cellStyle name="콤마_(주)한보-정리채권" xfId="71"/>
    <cellStyle name="표준" xfId="0" builtinId="0"/>
    <cellStyle name="표준 10" xfId="47"/>
    <cellStyle name="표준 10 2" xfId="68"/>
    <cellStyle name="표준 11" xfId="51"/>
    <cellStyle name="표준 11 2" xfId="64"/>
    <cellStyle name="표준 12" xfId="60"/>
    <cellStyle name="표준 13" xfId="72"/>
    <cellStyle name="표준 155" xfId="70"/>
    <cellStyle name="표준 18" xfId="54"/>
    <cellStyle name="표준 2" xfId="3"/>
    <cellStyle name="표준 2 2" xfId="23"/>
    <cellStyle name="표준 2 2 2" xfId="24"/>
    <cellStyle name="표준 2 2 3" xfId="11"/>
    <cellStyle name="표준 2 3" xfId="52"/>
    <cellStyle name="표준 2 3 2" xfId="45"/>
    <cellStyle name="표준 2 3 2 2" xfId="48"/>
    <cellStyle name="표준 2 4" xfId="38"/>
    <cellStyle name="표준 3" xfId="5"/>
    <cellStyle name="표준 3 2" xfId="10"/>
    <cellStyle name="표준 3 3" xfId="57"/>
    <cellStyle name="표준 4" xfId="19"/>
    <cellStyle name="표준 5" xfId="4"/>
    <cellStyle name="표준 5 2" xfId="17"/>
    <cellStyle name="표준 5 3" xfId="55"/>
    <cellStyle name="표준 6" xfId="27"/>
    <cellStyle name="표준 7" xfId="32"/>
    <cellStyle name="표준 7 2" xfId="74"/>
    <cellStyle name="표준 8" xfId="34"/>
    <cellStyle name="표준 9" xfId="46"/>
    <cellStyle name="표준 9 2" xfId="62"/>
    <cellStyle name="회사 추가시" xfId="43"/>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indexed="8"/>
        </patternFill>
      </fill>
    </dxf>
    <dxf>
      <fill>
        <patternFill>
          <bgColor indexed="8"/>
        </patternFill>
      </fill>
    </dxf>
    <dxf>
      <fill>
        <patternFill>
          <bgColor indexed="8"/>
        </patternFill>
      </fill>
    </dxf>
    <dxf>
      <fill>
        <patternFill>
          <bgColor indexed="8"/>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2D0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이태길" id="{7F0BF12F-4A41-4744-9942-1640F379CDAA}" userId="S::tg0186@n-citron.com::b43b2246-0dbb-4c4d-81fd-cd56f3218c2c" providerId="AD"/>
</personList>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34" dT="2024-08-23T05:31:16.02" personId="{7F0BF12F-4A41-4744-9942-1640F379CDAA}" id="{97C40276-20F8-4602-BC13-2CC3F45B5761}">
    <text>실제 계약기간 최초인식 시점기준</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16"/>
  <sheetViews>
    <sheetView showGridLines="0" zoomScale="85" zoomScaleNormal="85" workbookViewId="0">
      <selection activeCell="O15" sqref="O15"/>
    </sheetView>
  </sheetViews>
  <sheetFormatPr defaultColWidth="9.140625" defaultRowHeight="13.5"/>
  <cols>
    <col min="1" max="1" width="4.140625" style="47" customWidth="1"/>
    <col min="2" max="2" width="24.85546875" style="47" customWidth="1"/>
    <col min="3" max="10" width="16" style="47" customWidth="1"/>
    <col min="11" max="16384" width="9.140625" style="47"/>
  </cols>
  <sheetData>
    <row r="1" spans="1:24" ht="20.25">
      <c r="A1" s="164" t="str" cm="1">
        <f t="array" aca="1" ref="A1" ca="1">REPLACE(CELL("filename",$A$1),1,FIND("]",CELL("filename",$A$1),1),"")</f>
        <v>DCF</v>
      </c>
      <c r="B1" s="164"/>
      <c r="C1" s="164"/>
      <c r="D1" s="164"/>
      <c r="E1" s="164"/>
      <c r="F1" s="164"/>
      <c r="G1" s="164"/>
      <c r="H1" s="164"/>
      <c r="I1" s="164"/>
      <c r="J1" s="171">
        <v>1000000</v>
      </c>
    </row>
    <row r="2" spans="1:24">
      <c r="A2" s="61"/>
      <c r="B2" s="1"/>
      <c r="G2" s="1"/>
      <c r="H2" s="1"/>
      <c r="I2" s="1"/>
      <c r="J2" s="1"/>
      <c r="K2" s="1"/>
      <c r="L2" s="1"/>
    </row>
    <row r="3" spans="1:24">
      <c r="A3" s="60" t="s">
        <v>34</v>
      </c>
      <c r="B3" s="61" t="s">
        <v>36</v>
      </c>
      <c r="E3" s="1"/>
      <c r="F3" s="1"/>
      <c r="G3" s="1"/>
      <c r="H3" s="1"/>
      <c r="I3" s="1"/>
      <c r="J3" s="1"/>
      <c r="K3" s="1"/>
      <c r="L3" s="1"/>
    </row>
    <row r="4" spans="1:24">
      <c r="A4" s="1"/>
      <c r="B4" s="1"/>
      <c r="D4" s="1"/>
      <c r="E4" s="332">
        <v>45473</v>
      </c>
      <c r="F4" s="332">
        <v>45657</v>
      </c>
      <c r="G4" s="332">
        <v>46022</v>
      </c>
      <c r="H4" s="332">
        <v>46387</v>
      </c>
      <c r="I4" s="332">
        <v>46752</v>
      </c>
      <c r="J4" s="332">
        <v>47118</v>
      </c>
    </row>
    <row r="5" spans="1:24">
      <c r="A5" s="1"/>
      <c r="B5" s="139"/>
      <c r="C5" s="78">
        <v>2023</v>
      </c>
      <c r="D5" s="78" t="s">
        <v>834</v>
      </c>
      <c r="E5" s="78" t="s">
        <v>835</v>
      </c>
      <c r="F5" s="77">
        <v>2024</v>
      </c>
      <c r="G5" s="77">
        <v>2025</v>
      </c>
      <c r="H5" s="77">
        <v>2026</v>
      </c>
      <c r="I5" s="77">
        <v>2027</v>
      </c>
      <c r="J5" s="77">
        <v>2028</v>
      </c>
      <c r="Q5" s="67"/>
      <c r="R5" s="67"/>
      <c r="S5" s="67"/>
      <c r="T5" s="67"/>
      <c r="V5" s="67"/>
    </row>
    <row r="6" spans="1:24">
      <c r="A6" s="1"/>
      <c r="B6" s="140" t="s">
        <v>138</v>
      </c>
      <c r="C6" s="69"/>
      <c r="D6" s="69"/>
      <c r="E6" s="189"/>
      <c r="F6" s="69"/>
      <c r="G6" s="189"/>
      <c r="H6" s="189"/>
      <c r="I6" s="189"/>
      <c r="J6" s="189"/>
      <c r="L6" s="70" t="s">
        <v>107</v>
      </c>
      <c r="M6" s="70"/>
      <c r="N6" s="70"/>
      <c r="O6" s="70"/>
      <c r="P6" s="70"/>
      <c r="Q6" s="67"/>
      <c r="R6" s="70" t="s">
        <v>109</v>
      </c>
      <c r="S6" s="70"/>
      <c r="T6" s="70"/>
      <c r="U6" s="70"/>
      <c r="V6" s="70"/>
      <c r="W6" s="67"/>
      <c r="X6" s="67"/>
    </row>
    <row r="7" spans="1:24">
      <c r="A7" s="1"/>
      <c r="B7" s="71" t="s">
        <v>102</v>
      </c>
      <c r="C7" s="137">
        <f>매출!D9</f>
        <v>13086</v>
      </c>
      <c r="D7" s="137">
        <f>매출!E9</f>
        <v>6645</v>
      </c>
      <c r="E7" s="137">
        <f>매출!F9</f>
        <v>8008</v>
      </c>
      <c r="F7" s="137">
        <f>매출!G9</f>
        <v>14370</v>
      </c>
      <c r="G7" s="137">
        <f>매출!H9</f>
        <v>26354</v>
      </c>
      <c r="H7" s="137">
        <f>매출!I9</f>
        <v>29158</v>
      </c>
      <c r="I7" s="137">
        <f>매출!J9</f>
        <v>33256</v>
      </c>
      <c r="J7" s="137">
        <f>매출!K9</f>
        <v>37269</v>
      </c>
      <c r="L7" s="72">
        <f>F7/C7-1</f>
        <v>9.8120128381476324E-2</v>
      </c>
      <c r="M7" s="72">
        <f t="shared" ref="M7:P8" si="0">G7/F7-1</f>
        <v>0.8339596381350034</v>
      </c>
      <c r="N7" s="72">
        <f t="shared" si="0"/>
        <v>0.1063975108142976</v>
      </c>
      <c r="O7" s="72">
        <f t="shared" si="0"/>
        <v>0.14054461897249459</v>
      </c>
      <c r="P7" s="72">
        <f t="shared" si="0"/>
        <v>0.12066995429396199</v>
      </c>
      <c r="Q7" s="67"/>
      <c r="U7" s="67"/>
      <c r="V7" s="67"/>
      <c r="W7" s="67"/>
      <c r="X7" s="67"/>
    </row>
    <row r="8" spans="1:24">
      <c r="A8" s="1"/>
      <c r="B8" s="71" t="s">
        <v>31</v>
      </c>
      <c r="C8" s="137">
        <f>매출원가!D7</f>
        <v>4508</v>
      </c>
      <c r="D8" s="137">
        <f>매출원가!E7</f>
        <v>2235</v>
      </c>
      <c r="E8" s="137">
        <f>매출원가!F7</f>
        <v>2563.9260568460481</v>
      </c>
      <c r="F8" s="137">
        <f>매출원가!G7</f>
        <v>4706.9260568460486</v>
      </c>
      <c r="G8" s="137">
        <f>매출원가!H7</f>
        <v>8584.439610561707</v>
      </c>
      <c r="H8" s="137">
        <f>매출원가!I7</f>
        <v>9430.6008791227159</v>
      </c>
      <c r="I8" s="137">
        <f>매출원가!J7</f>
        <v>10700.528433690681</v>
      </c>
      <c r="J8" s="137">
        <f>매출원가!K7</f>
        <v>11966.154041598818</v>
      </c>
      <c r="L8" s="72">
        <f>F8/C8-1</f>
        <v>4.4127341802584041E-2</v>
      </c>
      <c r="M8" s="72">
        <f t="shared" si="0"/>
        <v>0.82378892442466967</v>
      </c>
      <c r="N8" s="72">
        <f t="shared" si="0"/>
        <v>9.8569191111782084E-2</v>
      </c>
      <c r="O8" s="72">
        <f t="shared" si="0"/>
        <v>0.1346603011669496</v>
      </c>
      <c r="P8" s="72">
        <f t="shared" si="0"/>
        <v>0.11827692583137361</v>
      </c>
      <c r="Q8" s="67"/>
      <c r="R8" s="72">
        <f>C8/C$7</f>
        <v>0.34449029497172551</v>
      </c>
      <c r="S8" s="72">
        <f>F8/F$7</f>
        <v>0.32755226561211193</v>
      </c>
      <c r="T8" s="72">
        <f>G8/G$7</f>
        <v>0.3257357369113496</v>
      </c>
      <c r="U8" s="72">
        <f>I8/I$7</f>
        <v>0.32176234164333295</v>
      </c>
      <c r="V8" s="72">
        <f>J8/J$7</f>
        <v>0.32107526474010084</v>
      </c>
      <c r="W8" s="333"/>
      <c r="X8" s="333"/>
    </row>
    <row r="9" spans="1:24">
      <c r="A9" s="1"/>
      <c r="B9" s="71" t="s">
        <v>868</v>
      </c>
      <c r="C9" s="137">
        <f>C7-C8</f>
        <v>8578</v>
      </c>
      <c r="D9" s="137">
        <f t="shared" ref="D9:J9" si="1">D7-D8</f>
        <v>4410</v>
      </c>
      <c r="E9" s="137">
        <f t="shared" si="1"/>
        <v>5444.0739431539514</v>
      </c>
      <c r="F9" s="137">
        <f t="shared" si="1"/>
        <v>9663.0739431539514</v>
      </c>
      <c r="G9" s="137">
        <f t="shared" si="1"/>
        <v>17769.560389438295</v>
      </c>
      <c r="H9" s="137">
        <f t="shared" si="1"/>
        <v>19727.399120877286</v>
      </c>
      <c r="I9" s="137">
        <f t="shared" si="1"/>
        <v>22555.471566309319</v>
      </c>
      <c r="J9" s="137">
        <f t="shared" si="1"/>
        <v>25302.84595840118</v>
      </c>
      <c r="L9" s="72"/>
      <c r="M9" s="72"/>
      <c r="N9" s="72"/>
      <c r="O9" s="72"/>
      <c r="P9" s="72"/>
      <c r="Q9" s="67"/>
      <c r="R9" s="72"/>
      <c r="S9" s="72"/>
      <c r="T9" s="72"/>
      <c r="U9" s="72"/>
      <c r="V9" s="72"/>
      <c r="W9" s="333"/>
      <c r="X9" s="333"/>
    </row>
    <row r="10" spans="1:24">
      <c r="A10" s="1"/>
      <c r="B10" s="71" t="s">
        <v>869</v>
      </c>
      <c r="C10" s="334">
        <f>C9/C7</f>
        <v>0.65550970502827444</v>
      </c>
      <c r="D10" s="334">
        <f t="shared" ref="D10:J10" si="2">D9/D7</f>
        <v>0.66365688487584651</v>
      </c>
      <c r="E10" s="334">
        <f t="shared" si="2"/>
        <v>0.6798294134807632</v>
      </c>
      <c r="F10" s="334">
        <f t="shared" si="2"/>
        <v>0.67244773438788807</v>
      </c>
      <c r="G10" s="334">
        <f t="shared" si="2"/>
        <v>0.67426426308865051</v>
      </c>
      <c r="H10" s="334">
        <f t="shared" si="2"/>
        <v>0.67656900750659466</v>
      </c>
      <c r="I10" s="334">
        <f t="shared" si="2"/>
        <v>0.67823765835666705</v>
      </c>
      <c r="J10" s="334">
        <f t="shared" si="2"/>
        <v>0.67892473525989916</v>
      </c>
      <c r="L10" s="72"/>
      <c r="M10" s="72"/>
      <c r="N10" s="72"/>
      <c r="O10" s="72"/>
      <c r="P10" s="72"/>
      <c r="Q10" s="67"/>
      <c r="R10" s="72"/>
      <c r="S10" s="72"/>
      <c r="T10" s="72"/>
      <c r="U10" s="72"/>
      <c r="V10" s="72"/>
      <c r="W10" s="333"/>
      <c r="X10" s="333"/>
    </row>
    <row r="11" spans="1:24">
      <c r="A11" s="1"/>
      <c r="B11" s="71" t="s">
        <v>73</v>
      </c>
      <c r="C11" s="137">
        <f>SUM(C12:C15)</f>
        <v>10059</v>
      </c>
      <c r="D11" s="137">
        <f t="shared" ref="D11:J11" si="3">SUM(D12:D15)</f>
        <v>5548</v>
      </c>
      <c r="E11" s="137">
        <f t="shared" si="3"/>
        <v>5578.2168232289969</v>
      </c>
      <c r="F11" s="137">
        <f t="shared" si="3"/>
        <v>11126.216823228997</v>
      </c>
      <c r="G11" s="137">
        <f t="shared" si="3"/>
        <v>16076.076027590012</v>
      </c>
      <c r="H11" s="137">
        <f t="shared" si="3"/>
        <v>18876.984131104797</v>
      </c>
      <c r="I11" s="137">
        <f t="shared" si="3"/>
        <v>22100.417072785145</v>
      </c>
      <c r="J11" s="137">
        <f t="shared" si="3"/>
        <v>23571.048594088898</v>
      </c>
      <c r="L11" s="72">
        <f t="shared" ref="L11:L16" si="4">F11/C11-1</f>
        <v>0.10609571758912395</v>
      </c>
      <c r="M11" s="72">
        <f t="shared" ref="M11:P16" si="5">G11/F11-1</f>
        <v>0.44488250435914933</v>
      </c>
      <c r="N11" s="72">
        <f t="shared" si="5"/>
        <v>0.17422834395083875</v>
      </c>
      <c r="O11" s="72">
        <f t="shared" si="5"/>
        <v>0.17075995398909583</v>
      </c>
      <c r="P11" s="72">
        <f t="shared" si="5"/>
        <v>6.65431569214463E-2</v>
      </c>
      <c r="Q11" s="67"/>
      <c r="R11" s="72">
        <f>C11/C$7</f>
        <v>0.76868408986703352</v>
      </c>
      <c r="S11" s="72">
        <f t="shared" ref="S11:T14" si="6">F11/F$7</f>
        <v>0.77426700231238665</v>
      </c>
      <c r="T11" s="72">
        <f t="shared" si="6"/>
        <v>0.61000516155384432</v>
      </c>
      <c r="U11" s="72">
        <f t="shared" ref="U11:V14" si="7">I11/I$7</f>
        <v>0.66455427810876666</v>
      </c>
      <c r="V11" s="72">
        <f t="shared" si="7"/>
        <v>0.63245723239391716</v>
      </c>
      <c r="W11" s="333"/>
      <c r="X11" s="333"/>
    </row>
    <row r="12" spans="1:24">
      <c r="A12" s="1"/>
      <c r="B12" s="73" t="s">
        <v>843</v>
      </c>
      <c r="C12" s="138">
        <f>판관비!D10</f>
        <v>4462</v>
      </c>
      <c r="D12" s="138">
        <f>판관비!E10</f>
        <v>2746</v>
      </c>
      <c r="E12" s="138">
        <f>판관비!F10</f>
        <v>1766.4740337944759</v>
      </c>
      <c r="F12" s="138">
        <f>판관비!G10</f>
        <v>4512.4740337944759</v>
      </c>
      <c r="G12" s="138">
        <f>판관비!H10</f>
        <v>7224.1865713520428</v>
      </c>
      <c r="H12" s="138">
        <f>판관비!I10</f>
        <v>8658.9634206807114</v>
      </c>
      <c r="I12" s="138">
        <f>판관비!J10</f>
        <v>10985.867444435547</v>
      </c>
      <c r="J12" s="138">
        <f>판관비!K10</f>
        <v>11934.367032938415</v>
      </c>
      <c r="L12" s="72">
        <f t="shared" si="4"/>
        <v>1.131197530131689E-2</v>
      </c>
      <c r="M12" s="72">
        <f t="shared" si="5"/>
        <v>0.6009369842904837</v>
      </c>
      <c r="N12" s="72">
        <f t="shared" si="5"/>
        <v>0.1986073913177111</v>
      </c>
      <c r="O12" s="72">
        <f t="shared" si="5"/>
        <v>0.26872778076384463</v>
      </c>
      <c r="P12" s="72">
        <f t="shared" si="5"/>
        <v>8.6338160668713693E-2</v>
      </c>
      <c r="Q12" s="67"/>
      <c r="R12" s="72">
        <f>C12/C$7</f>
        <v>0.34097508788017727</v>
      </c>
      <c r="S12" s="72">
        <f t="shared" si="6"/>
        <v>0.31402046164192593</v>
      </c>
      <c r="T12" s="72">
        <f t="shared" si="6"/>
        <v>0.27412106592365648</v>
      </c>
      <c r="U12" s="72">
        <f t="shared" si="7"/>
        <v>0.33034241774222839</v>
      </c>
      <c r="V12" s="72">
        <f t="shared" si="7"/>
        <v>0.32022235726578163</v>
      </c>
      <c r="W12" s="333"/>
      <c r="X12" s="333"/>
    </row>
    <row r="13" spans="1:24">
      <c r="A13" s="1"/>
      <c r="B13" s="73" t="s">
        <v>186</v>
      </c>
      <c r="C13" s="138">
        <f>판관비!D11</f>
        <v>2535</v>
      </c>
      <c r="D13" s="138">
        <f>판관비!E11</f>
        <v>1693</v>
      </c>
      <c r="E13" s="138">
        <f>판관비!F11</f>
        <v>1029.8927894345206</v>
      </c>
      <c r="F13" s="138">
        <f>판관비!G11</f>
        <v>2722.8927894345206</v>
      </c>
      <c r="G13" s="138">
        <f>판관비!H11</f>
        <v>4355.7794562379686</v>
      </c>
      <c r="H13" s="138">
        <f>판관비!I11</f>
        <v>5281.5172904240862</v>
      </c>
      <c r="I13" s="138">
        <f>판관비!J11</f>
        <v>5820.2237683695985</v>
      </c>
      <c r="J13" s="138">
        <f>판관비!K11</f>
        <v>6375.7320856908445</v>
      </c>
      <c r="L13" s="72">
        <f t="shared" si="4"/>
        <v>7.4119443563913423E-2</v>
      </c>
      <c r="M13" s="72">
        <f t="shared" si="5"/>
        <v>0.59968819673673579</v>
      </c>
      <c r="N13" s="72">
        <f t="shared" si="5"/>
        <v>0.21253092437000154</v>
      </c>
      <c r="O13" s="72">
        <f t="shared" si="5"/>
        <v>0.10199843119367236</v>
      </c>
      <c r="P13" s="72">
        <f t="shared" si="5"/>
        <v>9.5444494821692816E-2</v>
      </c>
      <c r="Q13" s="67"/>
      <c r="R13" s="72">
        <f>C13/C$7</f>
        <v>0.19371847776249426</v>
      </c>
      <c r="S13" s="72">
        <f t="shared" si="6"/>
        <v>0.18948453649509539</v>
      </c>
      <c r="T13" s="72">
        <f t="shared" si="6"/>
        <v>0.16527963330947745</v>
      </c>
      <c r="U13" s="72">
        <f t="shared" si="7"/>
        <v>0.17501274261395233</v>
      </c>
      <c r="V13" s="72">
        <f t="shared" si="7"/>
        <v>0.17107333402266883</v>
      </c>
      <c r="W13" s="333"/>
      <c r="X13" s="333"/>
    </row>
    <row r="14" spans="1:24">
      <c r="A14" s="1"/>
      <c r="B14" s="73" t="s">
        <v>187</v>
      </c>
      <c r="C14" s="138">
        <f>판관비!D12</f>
        <v>1472</v>
      </c>
      <c r="D14" s="138">
        <f>판관비!E12</f>
        <v>433</v>
      </c>
      <c r="E14" s="138">
        <f>판관비!F12</f>
        <v>981</v>
      </c>
      <c r="F14" s="138">
        <f>판관비!G12</f>
        <v>1414</v>
      </c>
      <c r="G14" s="138">
        <f>판관비!H12</f>
        <v>2170.2600000000002</v>
      </c>
      <c r="H14" s="138">
        <f>판관비!I12</f>
        <v>2711.12842</v>
      </c>
      <c r="I14" s="138">
        <f>판관비!J12</f>
        <v>3273.2008599799997</v>
      </c>
      <c r="J14" s="138">
        <f>판관비!K12</f>
        <v>3681.8244754596394</v>
      </c>
      <c r="L14" s="72">
        <f t="shared" si="4"/>
        <v>-3.9402173913043459E-2</v>
      </c>
      <c r="M14" s="72">
        <f t="shared" si="5"/>
        <v>0.5348373408769449</v>
      </c>
      <c r="N14" s="72">
        <f t="shared" si="5"/>
        <v>0.24921825956337007</v>
      </c>
      <c r="O14" s="72">
        <f t="shared" si="5"/>
        <v>0.20732047800966935</v>
      </c>
      <c r="P14" s="72">
        <f t="shared" si="5"/>
        <v>0.12483915071503948</v>
      </c>
      <c r="Q14" s="67"/>
      <c r="R14" s="72">
        <f>C14/C$7</f>
        <v>0.11248662692954302</v>
      </c>
      <c r="S14" s="72">
        <f t="shared" si="6"/>
        <v>9.8399443284620733E-2</v>
      </c>
      <c r="T14" s="72">
        <f t="shared" si="6"/>
        <v>8.235030735372241E-2</v>
      </c>
      <c r="U14" s="72">
        <f t="shared" si="7"/>
        <v>9.8424370338585504E-2</v>
      </c>
      <c r="V14" s="72">
        <f t="shared" si="7"/>
        <v>9.8790535712244471E-2</v>
      </c>
      <c r="W14" s="333"/>
      <c r="X14" s="333"/>
    </row>
    <row r="15" spans="1:24">
      <c r="A15" s="1"/>
      <c r="B15" s="73" t="s">
        <v>502</v>
      </c>
      <c r="C15" s="138">
        <f>판관비!D13</f>
        <v>1590</v>
      </c>
      <c r="D15" s="138">
        <f>판관비!E13</f>
        <v>676</v>
      </c>
      <c r="E15" s="138">
        <f>판관비!F13</f>
        <v>1800.85</v>
      </c>
      <c r="F15" s="138">
        <f>판관비!G13</f>
        <v>2476.85</v>
      </c>
      <c r="G15" s="138">
        <f>판관비!H13</f>
        <v>2325.85</v>
      </c>
      <c r="H15" s="138">
        <f>판관비!I13</f>
        <v>2225.375</v>
      </c>
      <c r="I15" s="138">
        <f>판관비!J13</f>
        <v>2021.125</v>
      </c>
      <c r="J15" s="138">
        <f>판관비!K13</f>
        <v>1579.125</v>
      </c>
      <c r="L15" s="72">
        <f t="shared" si="4"/>
        <v>0.55776729559748417</v>
      </c>
      <c r="M15" s="72">
        <f t="shared" si="5"/>
        <v>-6.0964531562266555E-2</v>
      </c>
      <c r="N15" s="72">
        <f t="shared" si="5"/>
        <v>-4.3199260485413893E-2</v>
      </c>
      <c r="O15" s="72">
        <f t="shared" si="5"/>
        <v>-9.1782283884738525E-2</v>
      </c>
      <c r="P15" s="72">
        <f t="shared" si="5"/>
        <v>-0.21869008596697381</v>
      </c>
      <c r="Q15" s="67"/>
      <c r="R15" s="72"/>
      <c r="S15" s="72"/>
      <c r="T15" s="72"/>
      <c r="U15" s="72"/>
      <c r="V15" s="72"/>
      <c r="W15" s="333"/>
      <c r="X15" s="333"/>
    </row>
    <row r="16" spans="1:24">
      <c r="A16" s="1"/>
      <c r="B16" s="71" t="s">
        <v>0</v>
      </c>
      <c r="C16" s="137">
        <f>C7-C8-C11</f>
        <v>-1481</v>
      </c>
      <c r="D16" s="137">
        <f t="shared" ref="D16:J16" si="8">D7-D8-D11</f>
        <v>-1138</v>
      </c>
      <c r="E16" s="137">
        <f t="shared" si="8"/>
        <v>-134.14288007504547</v>
      </c>
      <c r="F16" s="137">
        <f t="shared" si="8"/>
        <v>-1463.1428800750455</v>
      </c>
      <c r="G16" s="137">
        <f t="shared" si="8"/>
        <v>1693.4843618482828</v>
      </c>
      <c r="H16" s="137">
        <f t="shared" si="8"/>
        <v>850.41498977248921</v>
      </c>
      <c r="I16" s="137">
        <f t="shared" si="8"/>
        <v>455.05449352417418</v>
      </c>
      <c r="J16" s="137">
        <f t="shared" si="8"/>
        <v>1731.7973643122823</v>
      </c>
      <c r="L16" s="72">
        <f t="shared" si="4"/>
        <v>-1.205747462859863E-2</v>
      </c>
      <c r="M16" s="72">
        <f t="shared" si="5"/>
        <v>-2.1574292469382232</v>
      </c>
      <c r="N16" s="72">
        <f t="shared" si="5"/>
        <v>-0.49783121183100898</v>
      </c>
      <c r="O16" s="72">
        <f t="shared" si="5"/>
        <v>-0.46490301911786092</v>
      </c>
      <c r="P16" s="72">
        <f t="shared" si="5"/>
        <v>2.8056922609429913</v>
      </c>
      <c r="Q16" s="67"/>
      <c r="R16" s="72">
        <f>C16/C$7</f>
        <v>-0.11317438483875898</v>
      </c>
      <c r="S16" s="72">
        <f>F16/F$7</f>
        <v>-0.10181926792449864</v>
      </c>
      <c r="T16" s="72">
        <f>G16/G$7</f>
        <v>6.4259101534806212E-2</v>
      </c>
      <c r="U16" s="72">
        <f>I16/I$7</f>
        <v>1.3683380247900355E-2</v>
      </c>
      <c r="V16" s="72">
        <f>J16/J$7</f>
        <v>4.6467502865981974E-2</v>
      </c>
      <c r="W16" s="333"/>
      <c r="X16" s="333"/>
    </row>
  </sheetData>
  <phoneticPr fontId="9"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165"/>
  <sheetViews>
    <sheetView showGridLines="0" zoomScaleNormal="100" workbookViewId="0">
      <pane ySplit="6" topLeftCell="A7" activePane="bottomLeft" state="frozen"/>
      <selection pane="bottomLeft" activeCell="O27" sqref="O27"/>
    </sheetView>
  </sheetViews>
  <sheetFormatPr defaultRowHeight="13.5"/>
  <cols>
    <col min="1" max="1" width="3.5703125" customWidth="1"/>
    <col min="2" max="2" width="16.28515625" customWidth="1"/>
    <col min="3" max="3" width="14.42578125" customWidth="1"/>
    <col min="4" max="11" width="16" customWidth="1"/>
    <col min="12" max="12" width="17.28515625" customWidth="1"/>
  </cols>
  <sheetData>
    <row r="1" spans="1:12" s="131" customFormat="1" ht="20.25">
      <c r="A1" s="164" t="str" cm="1">
        <f t="array" aca="1" ref="A1" ca="1">REPLACE(CELL("filename",$A$1),1,FIND("]",CELL("filename",$A$1),1),"")</f>
        <v>매출</v>
      </c>
      <c r="B1" s="170"/>
      <c r="C1" s="170"/>
      <c r="D1" s="170"/>
      <c r="E1" s="170"/>
      <c r="F1" s="170"/>
      <c r="G1" s="172"/>
      <c r="H1" s="172"/>
      <c r="I1" s="170"/>
      <c r="J1" s="170"/>
      <c r="K1" s="170"/>
      <c r="L1" s="171" t="e">
        <f>#REF!</f>
        <v>#REF!</v>
      </c>
    </row>
    <row r="3" spans="1:12">
      <c r="B3" s="47" t="s">
        <v>198</v>
      </c>
      <c r="C3" t="s">
        <v>213</v>
      </c>
    </row>
    <row r="5" spans="1:12">
      <c r="B5" t="s">
        <v>214</v>
      </c>
      <c r="C5" t="s">
        <v>226</v>
      </c>
    </row>
    <row r="8" spans="1:12">
      <c r="A8" s="60" t="s">
        <v>34</v>
      </c>
      <c r="B8" t="s">
        <v>209</v>
      </c>
      <c r="C8" s="140" t="s">
        <v>138</v>
      </c>
      <c r="D8" s="78">
        <f t="shared" ref="D8:K8" si="0">D26</f>
        <v>2023</v>
      </c>
      <c r="E8" s="78" t="str">
        <f t="shared" si="0"/>
        <v>2024년6개월(A)</v>
      </c>
      <c r="F8" s="78" t="str">
        <f t="shared" si="0"/>
        <v>2024년6개월(F)</v>
      </c>
      <c r="G8" s="78" t="str">
        <f t="shared" si="0"/>
        <v>2024년(F)</v>
      </c>
      <c r="H8" s="77">
        <f t="shared" si="0"/>
        <v>2025</v>
      </c>
      <c r="I8" s="77">
        <f t="shared" si="0"/>
        <v>2026</v>
      </c>
      <c r="J8" s="77">
        <f t="shared" si="0"/>
        <v>2027</v>
      </c>
      <c r="K8" s="77">
        <f t="shared" si="0"/>
        <v>2028</v>
      </c>
      <c r="L8" s="176" t="s">
        <v>199</v>
      </c>
    </row>
    <row r="9" spans="1:12">
      <c r="C9" s="71" t="s">
        <v>102</v>
      </c>
      <c r="D9" s="137">
        <f>SUM(D10:D23)</f>
        <v>13086</v>
      </c>
      <c r="E9" s="137">
        <f t="shared" ref="E9:K9" si="1">SUM(E10:E23)</f>
        <v>6645</v>
      </c>
      <c r="F9" s="137">
        <f t="shared" si="1"/>
        <v>8008</v>
      </c>
      <c r="G9" s="137">
        <f t="shared" si="1"/>
        <v>14370</v>
      </c>
      <c r="H9" s="137">
        <f t="shared" si="1"/>
        <v>26354</v>
      </c>
      <c r="I9" s="137">
        <f t="shared" si="1"/>
        <v>29158</v>
      </c>
      <c r="J9" s="137">
        <f t="shared" si="1"/>
        <v>33256</v>
      </c>
      <c r="K9" s="137">
        <f t="shared" si="1"/>
        <v>37269</v>
      </c>
      <c r="L9" s="191"/>
    </row>
    <row r="10" spans="1:12">
      <c r="C10" s="73" t="s">
        <v>503</v>
      </c>
      <c r="D10" s="138">
        <f t="shared" ref="D10:F11" si="2">D28</f>
        <v>0</v>
      </c>
      <c r="E10" s="138">
        <f t="shared" si="2"/>
        <v>40</v>
      </c>
      <c r="F10" s="138">
        <f t="shared" si="2"/>
        <v>0</v>
      </c>
      <c r="G10" s="138">
        <f t="shared" ref="G10:K10" si="3">G28</f>
        <v>0</v>
      </c>
      <c r="H10" s="138">
        <f t="shared" si="3"/>
        <v>0</v>
      </c>
      <c r="I10" s="138">
        <f t="shared" si="3"/>
        <v>0</v>
      </c>
      <c r="J10" s="138">
        <f t="shared" si="3"/>
        <v>0</v>
      </c>
      <c r="K10" s="138">
        <f t="shared" si="3"/>
        <v>0</v>
      </c>
      <c r="L10" s="169"/>
    </row>
    <row r="11" spans="1:12">
      <c r="C11" s="73" t="s">
        <v>264</v>
      </c>
      <c r="D11" s="138">
        <f t="shared" si="2"/>
        <v>6553</v>
      </c>
      <c r="E11" s="138">
        <f t="shared" si="2"/>
        <v>2611</v>
      </c>
      <c r="F11" s="138">
        <f t="shared" si="2"/>
        <v>2330</v>
      </c>
      <c r="G11" s="138">
        <f>G29</f>
        <v>4941</v>
      </c>
      <c r="H11" s="138">
        <f>H29</f>
        <v>5099</v>
      </c>
      <c r="I11" s="138">
        <f>I29</f>
        <v>5298</v>
      </c>
      <c r="J11" s="138">
        <f t="shared" ref="J11:K11" si="4">J29</f>
        <v>5483</v>
      </c>
      <c r="K11" s="138">
        <f t="shared" si="4"/>
        <v>5676</v>
      </c>
      <c r="L11" s="169"/>
    </row>
    <row r="12" spans="1:12">
      <c r="C12" s="73" t="s">
        <v>417</v>
      </c>
      <c r="D12" s="138">
        <f t="shared" ref="D12:K12" si="5">D30</f>
        <v>1341</v>
      </c>
      <c r="E12" s="138">
        <f t="shared" ref="E12:F12" si="6">E30</f>
        <v>243</v>
      </c>
      <c r="F12" s="138">
        <f t="shared" si="6"/>
        <v>0</v>
      </c>
      <c r="G12" s="138">
        <f t="shared" si="5"/>
        <v>0</v>
      </c>
      <c r="H12" s="138">
        <f t="shared" si="5"/>
        <v>0</v>
      </c>
      <c r="I12" s="138">
        <f t="shared" si="5"/>
        <v>0</v>
      </c>
      <c r="J12" s="138">
        <f t="shared" si="5"/>
        <v>0</v>
      </c>
      <c r="K12" s="138">
        <f t="shared" si="5"/>
        <v>0</v>
      </c>
      <c r="L12" s="169"/>
    </row>
    <row r="13" spans="1:12">
      <c r="C13" s="73" t="s">
        <v>265</v>
      </c>
      <c r="D13" s="138">
        <f t="shared" ref="D13:K13" si="7">D31</f>
        <v>2494</v>
      </c>
      <c r="E13" s="138">
        <f t="shared" ref="E13:F13" si="8">E31</f>
        <v>1081</v>
      </c>
      <c r="F13" s="138">
        <f t="shared" si="8"/>
        <v>1345</v>
      </c>
      <c r="G13" s="138">
        <f t="shared" si="7"/>
        <v>2426</v>
      </c>
      <c r="H13" s="138">
        <f t="shared" si="7"/>
        <v>2504</v>
      </c>
      <c r="I13" s="138">
        <f t="shared" si="7"/>
        <v>2602</v>
      </c>
      <c r="J13" s="138">
        <f t="shared" si="7"/>
        <v>2692</v>
      </c>
      <c r="K13" s="138">
        <f t="shared" si="7"/>
        <v>2786</v>
      </c>
      <c r="L13" s="169"/>
    </row>
    <row r="14" spans="1:12">
      <c r="C14" s="73" t="s">
        <v>266</v>
      </c>
      <c r="D14" s="138">
        <f t="shared" ref="D14:K14" si="9">D32</f>
        <v>2422</v>
      </c>
      <c r="E14" s="138">
        <f t="shared" ref="E14:F14" si="10">E32</f>
        <v>1174</v>
      </c>
      <c r="F14" s="138">
        <f t="shared" si="10"/>
        <v>1253</v>
      </c>
      <c r="G14" s="138">
        <f t="shared" si="9"/>
        <v>2427</v>
      </c>
      <c r="H14" s="138">
        <f t="shared" si="9"/>
        <v>2504</v>
      </c>
      <c r="I14" s="138">
        <f t="shared" si="9"/>
        <v>2602</v>
      </c>
      <c r="J14" s="138">
        <f t="shared" si="9"/>
        <v>2693</v>
      </c>
      <c r="K14" s="138">
        <f t="shared" si="9"/>
        <v>2788</v>
      </c>
      <c r="L14" s="169"/>
    </row>
    <row r="15" spans="1:12">
      <c r="C15" s="73" t="s">
        <v>267</v>
      </c>
      <c r="D15" s="138">
        <f t="shared" ref="D15:K15" si="11">D33</f>
        <v>276</v>
      </c>
      <c r="E15" s="138">
        <f t="shared" ref="E15:F15" si="12">E33</f>
        <v>1496</v>
      </c>
      <c r="F15" s="138">
        <f t="shared" si="12"/>
        <v>1163</v>
      </c>
      <c r="G15" s="138">
        <f t="shared" si="11"/>
        <v>2659</v>
      </c>
      <c r="H15" s="138">
        <f t="shared" si="11"/>
        <v>2196</v>
      </c>
      <c r="I15" s="138">
        <f t="shared" si="11"/>
        <v>2284</v>
      </c>
      <c r="J15" s="138">
        <f t="shared" si="11"/>
        <v>2364</v>
      </c>
      <c r="K15" s="138">
        <f t="shared" si="11"/>
        <v>2446</v>
      </c>
      <c r="L15" s="169"/>
    </row>
    <row r="16" spans="1:12">
      <c r="C16" s="73" t="s">
        <v>268</v>
      </c>
      <c r="D16" s="138">
        <f t="shared" ref="D16:K16" si="13">D34</f>
        <v>0</v>
      </c>
      <c r="E16" s="138">
        <f t="shared" ref="E16:F16" si="14">E34</f>
        <v>0</v>
      </c>
      <c r="F16" s="138">
        <f t="shared" si="14"/>
        <v>1111</v>
      </c>
      <c r="G16" s="138">
        <f t="shared" si="13"/>
        <v>1111</v>
      </c>
      <c r="H16" s="138">
        <f t="shared" si="13"/>
        <v>2525</v>
      </c>
      <c r="I16" s="138">
        <f t="shared" si="13"/>
        <v>2291</v>
      </c>
      <c r="J16" s="138">
        <f t="shared" si="13"/>
        <v>2372</v>
      </c>
      <c r="K16" s="138">
        <f t="shared" si="13"/>
        <v>2455</v>
      </c>
      <c r="L16" s="169"/>
    </row>
    <row r="17" spans="1:12">
      <c r="C17" s="73" t="s">
        <v>269</v>
      </c>
      <c r="D17" s="138">
        <f t="shared" ref="D17:K17" si="15">D35</f>
        <v>0</v>
      </c>
      <c r="E17" s="138">
        <f t="shared" ref="E17:F17" si="16">E35</f>
        <v>0</v>
      </c>
      <c r="F17" s="138">
        <f t="shared" si="16"/>
        <v>806</v>
      </c>
      <c r="G17" s="138">
        <f t="shared" si="15"/>
        <v>806</v>
      </c>
      <c r="H17" s="138">
        <f t="shared" si="15"/>
        <v>9704</v>
      </c>
      <c r="I17" s="138">
        <f t="shared" si="15"/>
        <v>6882</v>
      </c>
      <c r="J17" s="138">
        <f t="shared" si="15"/>
        <v>5484</v>
      </c>
      <c r="K17" s="138">
        <f t="shared" si="15"/>
        <v>5676</v>
      </c>
      <c r="L17" s="169"/>
    </row>
    <row r="18" spans="1:12">
      <c r="C18" s="73" t="s">
        <v>270</v>
      </c>
      <c r="D18" s="138">
        <f t="shared" ref="D18:K18" si="17">D36</f>
        <v>0</v>
      </c>
      <c r="E18" s="138">
        <f t="shared" ref="E18:F18" si="18">E36</f>
        <v>0</v>
      </c>
      <c r="F18" s="138">
        <f t="shared" si="18"/>
        <v>0</v>
      </c>
      <c r="G18" s="138">
        <f t="shared" si="17"/>
        <v>0</v>
      </c>
      <c r="H18" s="138">
        <f t="shared" si="17"/>
        <v>1594</v>
      </c>
      <c r="I18" s="138">
        <f t="shared" si="17"/>
        <v>2510</v>
      </c>
      <c r="J18" s="138">
        <f t="shared" si="17"/>
        <v>2354</v>
      </c>
      <c r="K18" s="138">
        <f t="shared" si="17"/>
        <v>2436</v>
      </c>
      <c r="L18" s="169"/>
    </row>
    <row r="19" spans="1:12">
      <c r="C19" s="73" t="s">
        <v>271</v>
      </c>
      <c r="D19" s="138">
        <f t="shared" ref="D19:K19" si="19">D37</f>
        <v>0</v>
      </c>
      <c r="E19" s="138">
        <f t="shared" ref="E19:F19" si="20">E37</f>
        <v>0</v>
      </c>
      <c r="F19" s="138">
        <f t="shared" si="20"/>
        <v>0</v>
      </c>
      <c r="G19" s="138">
        <f t="shared" si="19"/>
        <v>0</v>
      </c>
      <c r="H19" s="138">
        <f t="shared" si="19"/>
        <v>228</v>
      </c>
      <c r="I19" s="138">
        <f t="shared" si="19"/>
        <v>2793</v>
      </c>
      <c r="J19" s="138">
        <f t="shared" si="19"/>
        <v>2354</v>
      </c>
      <c r="K19" s="138">
        <f t="shared" si="19"/>
        <v>2436</v>
      </c>
      <c r="L19" s="169"/>
    </row>
    <row r="20" spans="1:12">
      <c r="C20" s="73" t="s">
        <v>272</v>
      </c>
      <c r="D20" s="138">
        <f t="shared" ref="D20:K20" si="21">D38</f>
        <v>0</v>
      </c>
      <c r="E20" s="138">
        <f t="shared" ref="E20:F20" si="22">E38</f>
        <v>0</v>
      </c>
      <c r="F20" s="138">
        <f t="shared" si="22"/>
        <v>0</v>
      </c>
      <c r="G20" s="138">
        <f t="shared" si="21"/>
        <v>0</v>
      </c>
      <c r="H20" s="138">
        <f t="shared" si="21"/>
        <v>0</v>
      </c>
      <c r="I20" s="138">
        <f t="shared" si="21"/>
        <v>1659</v>
      </c>
      <c r="J20" s="138">
        <f t="shared" si="21"/>
        <v>2603</v>
      </c>
      <c r="K20" s="138">
        <f t="shared" si="21"/>
        <v>2442</v>
      </c>
      <c r="L20" s="169"/>
    </row>
    <row r="21" spans="1:12">
      <c r="C21" s="73" t="s">
        <v>273</v>
      </c>
      <c r="D21" s="138">
        <f t="shared" ref="D21:K21" si="23">D39</f>
        <v>0</v>
      </c>
      <c r="E21" s="138">
        <f t="shared" ref="E21:F21" si="24">E39</f>
        <v>0</v>
      </c>
      <c r="F21" s="138">
        <f t="shared" si="24"/>
        <v>0</v>
      </c>
      <c r="G21" s="138">
        <f t="shared" si="23"/>
        <v>0</v>
      </c>
      <c r="H21" s="138">
        <f t="shared" si="23"/>
        <v>0</v>
      </c>
      <c r="I21" s="138">
        <f t="shared" si="23"/>
        <v>237</v>
      </c>
      <c r="J21" s="138">
        <f t="shared" si="23"/>
        <v>2895</v>
      </c>
      <c r="K21" s="138">
        <f t="shared" si="23"/>
        <v>2442</v>
      </c>
      <c r="L21" s="169"/>
    </row>
    <row r="22" spans="1:12">
      <c r="C22" s="73" t="s">
        <v>274</v>
      </c>
      <c r="D22" s="138">
        <f t="shared" ref="D22:K22" si="25">D40</f>
        <v>0</v>
      </c>
      <c r="E22" s="138">
        <f t="shared" ref="E22:F22" si="26">E40</f>
        <v>0</v>
      </c>
      <c r="F22" s="138">
        <f t="shared" si="26"/>
        <v>0</v>
      </c>
      <c r="G22" s="138">
        <f t="shared" si="25"/>
        <v>0</v>
      </c>
      <c r="H22" s="138">
        <f t="shared" si="25"/>
        <v>0</v>
      </c>
      <c r="I22" s="138">
        <f t="shared" si="25"/>
        <v>0</v>
      </c>
      <c r="J22" s="138">
        <f t="shared" si="25"/>
        <v>1716</v>
      </c>
      <c r="K22" s="138">
        <f t="shared" si="25"/>
        <v>2691</v>
      </c>
      <c r="L22" s="169"/>
    </row>
    <row r="23" spans="1:12">
      <c r="C23" s="73" t="s">
        <v>275</v>
      </c>
      <c r="D23" s="138">
        <f t="shared" ref="D23:K23" si="27">D41</f>
        <v>0</v>
      </c>
      <c r="E23" s="138">
        <f t="shared" ref="E23:F23" si="28">E41</f>
        <v>0</v>
      </c>
      <c r="F23" s="138">
        <f t="shared" si="28"/>
        <v>0</v>
      </c>
      <c r="G23" s="138">
        <f t="shared" si="27"/>
        <v>0</v>
      </c>
      <c r="H23" s="138">
        <f t="shared" si="27"/>
        <v>0</v>
      </c>
      <c r="I23" s="138">
        <f t="shared" si="27"/>
        <v>0</v>
      </c>
      <c r="J23" s="138">
        <f t="shared" si="27"/>
        <v>246</v>
      </c>
      <c r="K23" s="138">
        <f t="shared" si="27"/>
        <v>2995</v>
      </c>
      <c r="L23" s="169"/>
    </row>
    <row r="26" spans="1:12">
      <c r="A26" s="60" t="s">
        <v>34</v>
      </c>
      <c r="B26" t="s">
        <v>230</v>
      </c>
      <c r="C26" s="140" t="s">
        <v>138</v>
      </c>
      <c r="D26" s="78">
        <v>2023</v>
      </c>
      <c r="E26" s="78" t="s">
        <v>563</v>
      </c>
      <c r="F26" s="78" t="s">
        <v>811</v>
      </c>
      <c r="G26" s="78" t="s">
        <v>418</v>
      </c>
      <c r="H26" s="77">
        <v>2025</v>
      </c>
      <c r="I26" s="77">
        <v>2026</v>
      </c>
      <c r="J26" s="77">
        <v>2027</v>
      </c>
      <c r="K26" s="77">
        <v>2028</v>
      </c>
      <c r="L26" s="176" t="s">
        <v>199</v>
      </c>
    </row>
    <row r="27" spans="1:12">
      <c r="C27" s="71" t="s">
        <v>102</v>
      </c>
      <c r="D27" s="137">
        <f>SUM(D28:D41)</f>
        <v>13086</v>
      </c>
      <c r="E27" s="137">
        <f t="shared" ref="E27:K27" si="29">SUM(E28:E41)</f>
        <v>6645</v>
      </c>
      <c r="F27" s="137">
        <f t="shared" si="29"/>
        <v>8008</v>
      </c>
      <c r="G27" s="137">
        <f t="shared" si="29"/>
        <v>14370</v>
      </c>
      <c r="H27" s="137">
        <f t="shared" si="29"/>
        <v>26354</v>
      </c>
      <c r="I27" s="137">
        <f t="shared" si="29"/>
        <v>29158</v>
      </c>
      <c r="J27" s="137">
        <f t="shared" si="29"/>
        <v>33256</v>
      </c>
      <c r="K27" s="137">
        <f t="shared" si="29"/>
        <v>37269</v>
      </c>
      <c r="L27" s="191"/>
    </row>
    <row r="28" spans="1:12">
      <c r="C28" s="73" t="s">
        <v>503</v>
      </c>
      <c r="D28" s="138"/>
      <c r="E28" s="138">
        <f>ROUND(SUM('지점별 손익'!C6,'지점별 손익'!I6)/10^6,0)</f>
        <v>40</v>
      </c>
      <c r="F28" s="138">
        <v>0</v>
      </c>
      <c r="G28" s="138"/>
      <c r="H28" s="138"/>
      <c r="I28" s="138"/>
      <c r="J28" s="138"/>
      <c r="K28" s="138"/>
      <c r="L28" s="169"/>
    </row>
    <row r="29" spans="1:12">
      <c r="C29" s="73" t="s">
        <v>264</v>
      </c>
      <c r="D29" s="138">
        <f>매출계획!D9</f>
        <v>6553</v>
      </c>
      <c r="E29" s="138">
        <f>ROUND('지점별 손익'!D6/10^6,0)</f>
        <v>2611</v>
      </c>
      <c r="F29" s="138">
        <f t="shared" ref="F29:F41" si="30">G29-E29</f>
        <v>2330</v>
      </c>
      <c r="G29" s="138">
        <f>매출계획!E9</f>
        <v>4941</v>
      </c>
      <c r="H29" s="138">
        <f>매출계획!F9</f>
        <v>5099</v>
      </c>
      <c r="I29" s="138">
        <f>매출계획!G9</f>
        <v>5298</v>
      </c>
      <c r="J29" s="138">
        <f>매출계획!H9</f>
        <v>5483</v>
      </c>
      <c r="K29" s="138">
        <f>매출계획!I9</f>
        <v>5676</v>
      </c>
      <c r="L29" s="169"/>
    </row>
    <row r="30" spans="1:12">
      <c r="C30" s="73" t="s">
        <v>417</v>
      </c>
      <c r="D30" s="138">
        <v>1341</v>
      </c>
      <c r="E30" s="138">
        <f>ROUND('지점별 손익'!E6/10^6,)</f>
        <v>243</v>
      </c>
      <c r="F30" s="138">
        <v>0</v>
      </c>
      <c r="G30" s="138">
        <v>0</v>
      </c>
      <c r="H30" s="138">
        <v>0</v>
      </c>
      <c r="I30" s="138">
        <v>0</v>
      </c>
      <c r="J30" s="138">
        <v>0</v>
      </c>
      <c r="K30" s="138">
        <v>0</v>
      </c>
      <c r="L30" s="169"/>
    </row>
    <row r="31" spans="1:12">
      <c r="C31" s="73" t="s">
        <v>265</v>
      </c>
      <c r="D31" s="138">
        <f>매출계획!D46</f>
        <v>2494</v>
      </c>
      <c r="E31" s="138">
        <f>ROUND('지점별 손익'!F6/10^6,)</f>
        <v>1081</v>
      </c>
      <c r="F31" s="138">
        <f t="shared" si="30"/>
        <v>1345</v>
      </c>
      <c r="G31" s="138">
        <f>매출계획!E46</f>
        <v>2426</v>
      </c>
      <c r="H31" s="138">
        <f>매출계획!F46</f>
        <v>2504</v>
      </c>
      <c r="I31" s="138">
        <f>매출계획!G46</f>
        <v>2602</v>
      </c>
      <c r="J31" s="138">
        <f>매출계획!H46</f>
        <v>2692</v>
      </c>
      <c r="K31" s="138">
        <f>매출계획!I46</f>
        <v>2786</v>
      </c>
      <c r="L31" s="169"/>
    </row>
    <row r="32" spans="1:12">
      <c r="C32" s="73" t="s">
        <v>266</v>
      </c>
      <c r="D32" s="138">
        <f>매출계획!D86</f>
        <v>2422</v>
      </c>
      <c r="E32" s="138">
        <f>ROUND('지점별 손익'!G6/10^6,0)</f>
        <v>1174</v>
      </c>
      <c r="F32" s="138">
        <f t="shared" si="30"/>
        <v>1253</v>
      </c>
      <c r="G32" s="138">
        <f>매출계획!E86</f>
        <v>2427</v>
      </c>
      <c r="H32" s="138">
        <f>매출계획!F86</f>
        <v>2504</v>
      </c>
      <c r="I32" s="138">
        <f>매출계획!G86</f>
        <v>2602</v>
      </c>
      <c r="J32" s="138">
        <f>매출계획!H86</f>
        <v>2693</v>
      </c>
      <c r="K32" s="138">
        <f>매출계획!I86</f>
        <v>2788</v>
      </c>
      <c r="L32" s="169"/>
    </row>
    <row r="33" spans="3:12">
      <c r="C33" s="73" t="s">
        <v>267</v>
      </c>
      <c r="D33" s="138">
        <f>매출계획!D125</f>
        <v>276</v>
      </c>
      <c r="E33" s="138">
        <f>ROUND('지점별 손익'!H6/10^6,0)</f>
        <v>1496</v>
      </c>
      <c r="F33" s="138">
        <f t="shared" si="30"/>
        <v>1163</v>
      </c>
      <c r="G33" s="138">
        <f>매출계획!E125</f>
        <v>2659</v>
      </c>
      <c r="H33" s="138">
        <f>매출계획!F125</f>
        <v>2196</v>
      </c>
      <c r="I33" s="138">
        <f>매출계획!G125</f>
        <v>2284</v>
      </c>
      <c r="J33" s="138">
        <f>매출계획!H125</f>
        <v>2364</v>
      </c>
      <c r="K33" s="138">
        <f>매출계획!I125</f>
        <v>2446</v>
      </c>
      <c r="L33" s="169"/>
    </row>
    <row r="34" spans="3:12">
      <c r="C34" s="73" t="s">
        <v>268</v>
      </c>
      <c r="D34" s="138">
        <v>0</v>
      </c>
      <c r="E34" s="138">
        <v>0</v>
      </c>
      <c r="F34" s="138">
        <f t="shared" si="30"/>
        <v>1111</v>
      </c>
      <c r="G34" s="138">
        <f>매출계획!D170</f>
        <v>1111</v>
      </c>
      <c r="H34" s="138">
        <f>매출계획!E170</f>
        <v>2525</v>
      </c>
      <c r="I34" s="138">
        <f>매출계획!F170</f>
        <v>2291</v>
      </c>
      <c r="J34" s="138">
        <f>매출계획!G170</f>
        <v>2372</v>
      </c>
      <c r="K34" s="138">
        <f>매출계획!H170</f>
        <v>2455</v>
      </c>
      <c r="L34" s="169"/>
    </row>
    <row r="35" spans="3:12">
      <c r="C35" s="73" t="s">
        <v>269</v>
      </c>
      <c r="D35" s="138">
        <v>0</v>
      </c>
      <c r="E35" s="138">
        <v>0</v>
      </c>
      <c r="F35" s="138">
        <f t="shared" si="30"/>
        <v>806</v>
      </c>
      <c r="G35" s="138">
        <f>매출계획!D215</f>
        <v>806</v>
      </c>
      <c r="H35" s="138">
        <f>매출계획!E215</f>
        <v>9704</v>
      </c>
      <c r="I35" s="138">
        <f>매출계획!F215</f>
        <v>6882</v>
      </c>
      <c r="J35" s="138">
        <f>매출계획!G215</f>
        <v>5484</v>
      </c>
      <c r="K35" s="138">
        <f>매출계획!H215</f>
        <v>5676</v>
      </c>
      <c r="L35" s="169"/>
    </row>
    <row r="36" spans="3:12">
      <c r="C36" s="73" t="s">
        <v>270</v>
      </c>
      <c r="D36" s="138">
        <v>0</v>
      </c>
      <c r="E36" s="138">
        <v>0</v>
      </c>
      <c r="F36" s="138">
        <f t="shared" si="30"/>
        <v>0</v>
      </c>
      <c r="G36" s="138">
        <v>0</v>
      </c>
      <c r="H36" s="138">
        <f>매출계획!E259</f>
        <v>1594</v>
      </c>
      <c r="I36" s="138">
        <f>매출계획!F259</f>
        <v>2510</v>
      </c>
      <c r="J36" s="138">
        <f>매출계획!G259</f>
        <v>2354</v>
      </c>
      <c r="K36" s="138">
        <f>매출계획!H259</f>
        <v>2436</v>
      </c>
      <c r="L36" s="169"/>
    </row>
    <row r="37" spans="3:12">
      <c r="C37" s="73" t="s">
        <v>271</v>
      </c>
      <c r="D37" s="138">
        <v>0</v>
      </c>
      <c r="E37" s="138">
        <v>0</v>
      </c>
      <c r="F37" s="138">
        <f t="shared" si="30"/>
        <v>0</v>
      </c>
      <c r="G37" s="138">
        <v>0</v>
      </c>
      <c r="H37" s="138">
        <f>매출계획!E305</f>
        <v>228</v>
      </c>
      <c r="I37" s="138">
        <f>매출계획!F305</f>
        <v>2793</v>
      </c>
      <c r="J37" s="138">
        <f>매출계획!G305</f>
        <v>2354</v>
      </c>
      <c r="K37" s="138">
        <f>매출계획!H305</f>
        <v>2436</v>
      </c>
      <c r="L37" s="169"/>
    </row>
    <row r="38" spans="3:12">
      <c r="C38" s="73" t="s">
        <v>272</v>
      </c>
      <c r="D38" s="138">
        <v>0</v>
      </c>
      <c r="E38" s="138">
        <v>0</v>
      </c>
      <c r="F38" s="138">
        <f t="shared" si="30"/>
        <v>0</v>
      </c>
      <c r="G38" s="138">
        <v>0</v>
      </c>
      <c r="H38" s="138">
        <v>0</v>
      </c>
      <c r="I38" s="138">
        <f>매출계획!F351</f>
        <v>1659</v>
      </c>
      <c r="J38" s="138">
        <f>매출계획!G351</f>
        <v>2603</v>
      </c>
      <c r="K38" s="138">
        <f>매출계획!H351</f>
        <v>2442</v>
      </c>
      <c r="L38" s="169"/>
    </row>
    <row r="39" spans="3:12">
      <c r="C39" s="73" t="s">
        <v>273</v>
      </c>
      <c r="D39" s="138">
        <v>0</v>
      </c>
      <c r="E39" s="138">
        <v>0</v>
      </c>
      <c r="F39" s="138">
        <f t="shared" si="30"/>
        <v>0</v>
      </c>
      <c r="G39" s="138">
        <v>0</v>
      </c>
      <c r="H39" s="138">
        <v>0</v>
      </c>
      <c r="I39" s="138">
        <f>매출계획!F398</f>
        <v>237</v>
      </c>
      <c r="J39" s="138">
        <f>매출계획!G398</f>
        <v>2895</v>
      </c>
      <c r="K39" s="138">
        <f>매출계획!H398</f>
        <v>2442</v>
      </c>
      <c r="L39" s="169"/>
    </row>
    <row r="40" spans="3:12">
      <c r="C40" s="73" t="s">
        <v>274</v>
      </c>
      <c r="D40" s="138">
        <v>0</v>
      </c>
      <c r="E40" s="138">
        <v>0</v>
      </c>
      <c r="F40" s="138">
        <f t="shared" si="30"/>
        <v>0</v>
      </c>
      <c r="G40" s="138">
        <v>0</v>
      </c>
      <c r="H40" s="138">
        <v>0</v>
      </c>
      <c r="I40" s="138">
        <v>0</v>
      </c>
      <c r="J40" s="138">
        <f>매출계획!G444</f>
        <v>1716</v>
      </c>
      <c r="K40" s="138">
        <f>매출계획!H444</f>
        <v>2691</v>
      </c>
      <c r="L40" s="169"/>
    </row>
    <row r="41" spans="3:12">
      <c r="C41" s="73" t="s">
        <v>275</v>
      </c>
      <c r="D41" s="138">
        <v>0</v>
      </c>
      <c r="E41" s="138">
        <v>0</v>
      </c>
      <c r="F41" s="138">
        <f t="shared" si="30"/>
        <v>0</v>
      </c>
      <c r="G41" s="138">
        <v>0</v>
      </c>
      <c r="H41" s="138">
        <v>0</v>
      </c>
      <c r="I41" s="138">
        <v>0</v>
      </c>
      <c r="J41" s="138">
        <f>매출계획!G490</f>
        <v>246</v>
      </c>
      <c r="K41" s="138">
        <f>매출계획!H490</f>
        <v>2995</v>
      </c>
      <c r="L41" s="169"/>
    </row>
    <row r="43" spans="3:12">
      <c r="C43" s="173" t="s">
        <v>487</v>
      </c>
      <c r="D43" s="173"/>
      <c r="E43" s="173"/>
      <c r="F43" s="173"/>
      <c r="G43" s="173"/>
      <c r="H43" s="173"/>
      <c r="I43" s="173"/>
      <c r="J43" s="173"/>
      <c r="K43" s="173"/>
      <c r="L43" s="173"/>
    </row>
    <row r="44" spans="3:12">
      <c r="L44" s="174"/>
    </row>
    <row r="45" spans="3:12">
      <c r="C45" t="s">
        <v>264</v>
      </c>
      <c r="D45" t="s">
        <v>812</v>
      </c>
      <c r="E45" s="177"/>
      <c r="L45" s="174"/>
    </row>
    <row r="46" spans="3:12">
      <c r="D46" t="s">
        <v>813</v>
      </c>
      <c r="E46" s="177"/>
      <c r="L46" s="174"/>
    </row>
    <row r="47" spans="3:12">
      <c r="D47" t="s">
        <v>814</v>
      </c>
      <c r="E47" s="177"/>
      <c r="L47" s="174"/>
    </row>
    <row r="48" spans="3:12">
      <c r="E48" s="177"/>
      <c r="L48" s="174"/>
    </row>
    <row r="49" spans="3:4">
      <c r="C49" t="s">
        <v>417</v>
      </c>
      <c r="D49" t="s">
        <v>490</v>
      </c>
    </row>
    <row r="51" spans="3:4">
      <c r="C51" t="s">
        <v>265</v>
      </c>
      <c r="D51" t="s">
        <v>491</v>
      </c>
    </row>
    <row r="53" spans="3:4">
      <c r="C53" t="s">
        <v>266</v>
      </c>
      <c r="D53" t="s">
        <v>492</v>
      </c>
    </row>
    <row r="55" spans="3:4">
      <c r="C55" t="s">
        <v>267</v>
      </c>
      <c r="D55" t="s">
        <v>493</v>
      </c>
    </row>
    <row r="56" spans="3:4">
      <c r="D56" t="s">
        <v>494</v>
      </c>
    </row>
    <row r="58" spans="3:4">
      <c r="C58" t="s">
        <v>268</v>
      </c>
    </row>
    <row r="62" spans="3:4">
      <c r="C62" t="s">
        <v>269</v>
      </c>
    </row>
    <row r="63" spans="3:4">
      <c r="C63" t="s">
        <v>270</v>
      </c>
    </row>
    <row r="64" spans="3:4">
      <c r="C64" t="s">
        <v>271</v>
      </c>
    </row>
    <row r="65" spans="3:3">
      <c r="C65" t="s">
        <v>272</v>
      </c>
    </row>
    <row r="66" spans="3:3">
      <c r="C66" t="s">
        <v>273</v>
      </c>
    </row>
    <row r="67" spans="3:3">
      <c r="C67" t="s">
        <v>274</v>
      </c>
    </row>
    <row r="68" spans="3:3">
      <c r="C68" t="s">
        <v>275</v>
      </c>
    </row>
    <row r="92" spans="1:12">
      <c r="A92" s="60" t="s">
        <v>34</v>
      </c>
      <c r="B92" t="s">
        <v>221</v>
      </c>
      <c r="C92" t="s">
        <v>227</v>
      </c>
    </row>
    <row r="93" spans="1:12">
      <c r="C93" s="178" t="s">
        <v>215</v>
      </c>
      <c r="D93" s="178"/>
      <c r="E93" s="178"/>
      <c r="F93" s="178"/>
      <c r="G93" s="178"/>
      <c r="H93" s="178"/>
      <c r="I93" s="178"/>
      <c r="J93" s="178"/>
      <c r="K93" s="178"/>
      <c r="L93" s="178"/>
    </row>
    <row r="94" spans="1:12">
      <c r="C94" s="178"/>
      <c r="D94" s="178"/>
      <c r="E94" s="178"/>
      <c r="F94" s="178"/>
      <c r="G94" s="178"/>
      <c r="H94" s="178"/>
      <c r="I94" s="178"/>
      <c r="J94" s="178"/>
      <c r="K94" s="178"/>
      <c r="L94" s="178"/>
    </row>
    <row r="95" spans="1:12">
      <c r="C95" s="179" t="s">
        <v>138</v>
      </c>
      <c r="D95" s="180">
        <v>2021</v>
      </c>
      <c r="E95" s="180">
        <v>2022</v>
      </c>
      <c r="F95" s="180">
        <v>2023</v>
      </c>
      <c r="G95" s="180" t="s">
        <v>210</v>
      </c>
      <c r="H95" s="180" t="s">
        <v>211</v>
      </c>
      <c r="I95" s="181">
        <v>2024</v>
      </c>
      <c r="J95" s="181">
        <v>2027</v>
      </c>
      <c r="K95" s="181">
        <v>2028</v>
      </c>
      <c r="L95" s="182" t="s">
        <v>199</v>
      </c>
    </row>
    <row r="96" spans="1:12">
      <c r="C96" s="183" t="s">
        <v>216</v>
      </c>
      <c r="D96" s="184"/>
      <c r="E96" s="184"/>
      <c r="F96" s="184"/>
      <c r="G96" s="184">
        <f>G27</f>
        <v>14370</v>
      </c>
      <c r="H96" s="184">
        <f>I96-G96</f>
        <v>14788</v>
      </c>
      <c r="I96" s="184">
        <f>I27</f>
        <v>29158</v>
      </c>
      <c r="J96" s="184" t="e">
        <f>#REF!</f>
        <v>#REF!</v>
      </c>
      <c r="K96" s="184" t="e">
        <f>#REF!</f>
        <v>#REF!</v>
      </c>
      <c r="L96" s="185"/>
    </row>
    <row r="97" spans="3:12">
      <c r="C97" s="183" t="s">
        <v>217</v>
      </c>
      <c r="D97" s="184"/>
      <c r="E97" s="184"/>
      <c r="F97" s="184"/>
      <c r="G97" s="184">
        <f>G96</f>
        <v>14370</v>
      </c>
      <c r="H97" s="184" t="e">
        <f>I97-G97</f>
        <v>#REF!</v>
      </c>
      <c r="I97" s="184" t="e">
        <f>#REF!*10^8/화폐단위</f>
        <v>#REF!</v>
      </c>
      <c r="J97" s="184" t="e">
        <f>#REF!*10^8/화폐단위</f>
        <v>#REF!</v>
      </c>
      <c r="K97" s="184"/>
      <c r="L97" s="185"/>
    </row>
    <row r="98" spans="3:12">
      <c r="C98" s="183" t="s">
        <v>218</v>
      </c>
      <c r="D98" s="184"/>
      <c r="E98" s="184"/>
      <c r="F98" s="184"/>
      <c r="G98" s="184">
        <f>G97</f>
        <v>14370</v>
      </c>
      <c r="H98" s="184" t="e">
        <f>I98-G98</f>
        <v>#REF!</v>
      </c>
      <c r="I98" s="184" t="e">
        <f>5361*화폐단위2/화폐단위</f>
        <v>#REF!</v>
      </c>
      <c r="J98" s="184" t="e">
        <f>9999*화폐단위2/화폐단위</f>
        <v>#REF!</v>
      </c>
      <c r="K98" s="184" t="e">
        <f>11171*화폐단위2/화폐단위</f>
        <v>#REF!</v>
      </c>
      <c r="L98" s="185"/>
    </row>
    <row r="99" spans="3:12">
      <c r="C99" s="178"/>
      <c r="D99" s="178"/>
      <c r="E99" s="178"/>
      <c r="F99" s="178"/>
      <c r="G99" s="178"/>
      <c r="H99" s="178"/>
      <c r="I99" s="178"/>
      <c r="J99" s="178"/>
      <c r="K99" s="178"/>
      <c r="L99" s="178"/>
    </row>
    <row r="100" spans="3:12">
      <c r="C100" s="178" t="s">
        <v>219</v>
      </c>
      <c r="D100" s="178"/>
      <c r="E100" s="178"/>
      <c r="F100" s="178"/>
      <c r="G100" s="178"/>
      <c r="H100" s="178"/>
      <c r="I100" s="178"/>
      <c r="J100" s="178"/>
      <c r="K100" s="178"/>
      <c r="L100" s="178"/>
    </row>
    <row r="101" spans="3:12">
      <c r="C101" s="178"/>
      <c r="D101" s="178"/>
      <c r="E101" s="178"/>
      <c r="F101" s="178"/>
      <c r="G101" s="178"/>
      <c r="H101" s="178"/>
      <c r="I101" s="178"/>
      <c r="J101" s="178"/>
      <c r="K101" s="178"/>
      <c r="L101" s="178"/>
    </row>
    <row r="102" spans="3:12">
      <c r="C102" s="186" t="s">
        <v>220</v>
      </c>
      <c r="D102" s="186"/>
      <c r="E102" s="186"/>
      <c r="F102" s="186"/>
      <c r="G102" s="186"/>
      <c r="H102" s="187" t="e">
        <f>H97/H96</f>
        <v>#REF!</v>
      </c>
      <c r="I102" s="187" t="e">
        <f t="shared" ref="I102:J102" si="31">I97/I96</f>
        <v>#REF!</v>
      </c>
      <c r="J102" s="187" t="e">
        <f t="shared" si="31"/>
        <v>#REF!</v>
      </c>
      <c r="K102" s="188" t="e">
        <f>J102</f>
        <v>#REF!</v>
      </c>
      <c r="L102" s="186"/>
    </row>
    <row r="103" spans="3:12" ht="13.5" customHeight="1"/>
    <row r="104" spans="3:12">
      <c r="C104" t="s">
        <v>228</v>
      </c>
    </row>
    <row r="105" spans="3:12" ht="13.5" customHeight="1">
      <c r="C105" s="177" t="s">
        <v>229</v>
      </c>
    </row>
    <row r="106" spans="3:12">
      <c r="C106" s="177" t="s">
        <v>231</v>
      </c>
    </row>
    <row r="149" ht="13.5" customHeight="1"/>
    <row r="165" ht="13.5" customHeight="1"/>
  </sheetData>
  <phoneticPr fontId="9" type="noConversion"/>
  <pageMargins left="0.7" right="0.7" top="0.75" bottom="0.75" header="0.3" footer="0.3"/>
  <extLst>
    <ext xmlns:x14="http://schemas.microsoft.com/office/spreadsheetml/2009/9/main" uri="{05C60535-1F16-4fd2-B633-F4F36F0B64E0}">
      <x14:sparklineGroups xmlns:xm="http://schemas.microsoft.com/office/excel/2006/main">
        <x14:sparklineGroup manualMax="0" manualMin="0" type="column" displayEmptyCellsAs="gap" high="1" low="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매출!D9:K9</xm:f>
              <xm:sqref>L9</xm:sqref>
            </x14:sparkline>
            <x14:sparkline>
              <xm:f>매출!D10:K10</xm:f>
              <xm:sqref>L10</xm:sqref>
            </x14:sparkline>
            <x14:sparkline>
              <xm:f>매출!D11:K11</xm:f>
              <xm:sqref>L11</xm:sqref>
            </x14:sparkline>
            <x14:sparkline>
              <xm:f>매출!D12:K12</xm:f>
              <xm:sqref>L12</xm:sqref>
            </x14:sparkline>
            <x14:sparkline>
              <xm:f>매출!D13:K13</xm:f>
              <xm:sqref>L13</xm:sqref>
            </x14:sparkline>
            <x14:sparkline>
              <xm:f>매출!D14:K14</xm:f>
              <xm:sqref>L14</xm:sqref>
            </x14:sparkline>
            <x14:sparkline>
              <xm:f>매출!D15:K15</xm:f>
              <xm:sqref>L15</xm:sqref>
            </x14:sparkline>
            <x14:sparkline>
              <xm:f>매출!D16:K16</xm:f>
              <xm:sqref>L16</xm:sqref>
            </x14:sparkline>
            <x14:sparkline>
              <xm:f>매출!D17:K17</xm:f>
              <xm:sqref>L17</xm:sqref>
            </x14:sparkline>
            <x14:sparkline>
              <xm:f>매출!D18:K18</xm:f>
              <xm:sqref>L18</xm:sqref>
            </x14:sparkline>
            <x14:sparkline>
              <xm:f>매출!D19:K19</xm:f>
              <xm:sqref>L19</xm:sqref>
            </x14:sparkline>
            <x14:sparkline>
              <xm:f>매출!D20:K20</xm:f>
              <xm:sqref>L20</xm:sqref>
            </x14:sparkline>
            <x14:sparkline>
              <xm:f>매출!D21:K21</xm:f>
              <xm:sqref>L21</xm:sqref>
            </x14:sparkline>
            <x14:sparkline>
              <xm:f>매출!D22:K22</xm:f>
              <xm:sqref>L22</xm:sqref>
            </x14:sparkline>
            <x14:sparkline>
              <xm:f>매출!D23:K23</xm:f>
              <xm:sqref>L23</xm:sqref>
            </x14:sparkline>
          </x14:sparklines>
        </x14:sparklineGroup>
        <x14:sparklineGroup manualMax="0" manualMin="0" type="column" displayEmptyCellsAs="gap" high="1" low="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매출!D27:K27</xm:f>
              <xm:sqref>L27</xm:sqref>
            </x14:sparkline>
            <x14:sparkline>
              <xm:f>매출!D28:K28</xm:f>
              <xm:sqref>L28</xm:sqref>
            </x14:sparkline>
            <x14:sparkline>
              <xm:f>매출!D29:K29</xm:f>
              <xm:sqref>L29</xm:sqref>
            </x14:sparkline>
            <x14:sparkline>
              <xm:f>매출!D30:K30</xm:f>
              <xm:sqref>L30</xm:sqref>
            </x14:sparkline>
            <x14:sparkline>
              <xm:f>매출!D31:K31</xm:f>
              <xm:sqref>L31</xm:sqref>
            </x14:sparkline>
            <x14:sparkline>
              <xm:f>매출!D32:K32</xm:f>
              <xm:sqref>L32</xm:sqref>
            </x14:sparkline>
            <x14:sparkline>
              <xm:f>매출!D33:K33</xm:f>
              <xm:sqref>L33</xm:sqref>
            </x14:sparkline>
            <x14:sparkline>
              <xm:f>매출!D34:K34</xm:f>
              <xm:sqref>L34</xm:sqref>
            </x14:sparkline>
            <x14:sparkline>
              <xm:f>매출!D35:K35</xm:f>
              <xm:sqref>L35</xm:sqref>
            </x14:sparkline>
            <x14:sparkline>
              <xm:f>매출!D36:K36</xm:f>
              <xm:sqref>L36</xm:sqref>
            </x14:sparkline>
            <x14:sparkline>
              <xm:f>매출!D37:K37</xm:f>
              <xm:sqref>L37</xm:sqref>
            </x14:sparkline>
            <x14:sparkline>
              <xm:f>매출!D38:K38</xm:f>
              <xm:sqref>L38</xm:sqref>
            </x14:sparkline>
            <x14:sparkline>
              <xm:f>매출!D39:K39</xm:f>
              <xm:sqref>L39</xm:sqref>
            </x14:sparkline>
            <x14:sparkline>
              <xm:f>매출!D40:K40</xm:f>
              <xm:sqref>L40</xm:sqref>
            </x14:sparkline>
            <x14:sparkline>
              <xm:f>매출!D41:K41</xm:f>
              <xm:sqref>L41</xm:sqref>
            </x14:sparkline>
          </x14:sparklines>
        </x14:sparklineGroup>
        <x14:sparklineGroup manualMax="0" manualMin="0" type="column" displayEmptyCellsAs="gap" high="1" low="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매출!I98:K98</xm:f>
              <xm:sqref>L98</xm:sqref>
            </x14:sparkline>
          </x14:sparklines>
        </x14:sparklineGroup>
        <x14:sparklineGroup manualMax="0" manualMin="0" type="column" displayEmptyCellsAs="gap" high="1" low="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매출!I97:K97</xm:f>
              <xm:sqref>L97</xm:sqref>
            </x14:sparkline>
          </x14:sparklines>
        </x14:sparklineGroup>
        <x14:sparklineGroup manualMax="0" manualMin="0" type="column" displayEmptyCellsAs="gap" high="1" low="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매출!I96:K96</xm:f>
              <xm:sqref>L96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autoPageBreaks="0"/>
  </sheetPr>
  <dimension ref="A1:L44"/>
  <sheetViews>
    <sheetView showGridLines="0" zoomScaleNormal="100" workbookViewId="0">
      <pane ySplit="4" topLeftCell="A5" activePane="bottomLeft" state="frozen"/>
      <selection pane="bottomLeft" activeCell="O28" sqref="O28"/>
    </sheetView>
  </sheetViews>
  <sheetFormatPr defaultColWidth="9.140625" defaultRowHeight="13.5"/>
  <cols>
    <col min="1" max="1" width="4.140625" style="47" customWidth="1"/>
    <col min="2" max="2" width="15.28515625" style="47" customWidth="1"/>
    <col min="3" max="3" width="15.7109375" style="47" bestFit="1" customWidth="1"/>
    <col min="4" max="4" width="10.28515625" style="47" customWidth="1"/>
    <col min="5" max="5" width="15.140625" style="47" bestFit="1" customWidth="1"/>
    <col min="6" max="11" width="10.28515625" style="47" customWidth="1"/>
    <col min="12" max="12" width="23.28515625" style="47" customWidth="1"/>
    <col min="13" max="16384" width="9.140625" style="47"/>
  </cols>
  <sheetData>
    <row r="1" spans="1:12" s="131" customFormat="1" ht="20.25">
      <c r="A1" s="164" t="str" cm="1">
        <f t="array" aca="1" ref="A1" ca="1">REPLACE(CELL("filename",$A$1),1,FIND("]",CELL("filename",$A$1),1),"")</f>
        <v>매출원가</v>
      </c>
      <c r="B1" s="170"/>
      <c r="C1" s="170"/>
      <c r="D1" s="170"/>
      <c r="E1" s="172"/>
      <c r="F1" s="172"/>
      <c r="G1" s="170"/>
      <c r="H1" s="170"/>
      <c r="I1" s="170"/>
      <c r="J1" s="170"/>
      <c r="K1" s="171"/>
      <c r="L1" s="285" t="e">
        <f>#REF!</f>
        <v>#REF!</v>
      </c>
    </row>
    <row r="3" spans="1:12">
      <c r="B3" s="47" t="s">
        <v>198</v>
      </c>
      <c r="C3" s="47" t="s">
        <v>223</v>
      </c>
    </row>
    <row r="6" spans="1:12">
      <c r="A6" s="60" t="s">
        <v>34</v>
      </c>
      <c r="B6" t="s">
        <v>209</v>
      </c>
      <c r="C6" s="140" t="s">
        <v>138</v>
      </c>
      <c r="D6" s="78">
        <f>D24</f>
        <v>2023</v>
      </c>
      <c r="E6" s="78" t="str">
        <f t="shared" ref="E6:K6" si="0">E24</f>
        <v>2024년6개월(A)</v>
      </c>
      <c r="F6" s="78" t="str">
        <f t="shared" si="0"/>
        <v>2024년6개월(F)</v>
      </c>
      <c r="G6" s="78" t="str">
        <f t="shared" si="0"/>
        <v>2024년(F)</v>
      </c>
      <c r="H6" s="77">
        <f t="shared" si="0"/>
        <v>2025</v>
      </c>
      <c r="I6" s="77">
        <f t="shared" si="0"/>
        <v>2026</v>
      </c>
      <c r="J6" s="77">
        <f t="shared" si="0"/>
        <v>2027</v>
      </c>
      <c r="K6" s="77">
        <f t="shared" si="0"/>
        <v>2028</v>
      </c>
      <c r="L6" s="176" t="s">
        <v>199</v>
      </c>
    </row>
    <row r="7" spans="1:12">
      <c r="A7"/>
      <c r="B7"/>
      <c r="C7" s="71" t="s">
        <v>31</v>
      </c>
      <c r="D7" s="137">
        <f>SUM(D8:D21)</f>
        <v>4508</v>
      </c>
      <c r="E7" s="137">
        <f t="shared" ref="E7:K7" si="1">SUM(E8:E21)</f>
        <v>2235</v>
      </c>
      <c r="F7" s="137">
        <f t="shared" si="1"/>
        <v>2563.9260568460481</v>
      </c>
      <c r="G7" s="137">
        <f t="shared" si="1"/>
        <v>4706.9260568460486</v>
      </c>
      <c r="H7" s="137">
        <f t="shared" si="1"/>
        <v>8584.439610561707</v>
      </c>
      <c r="I7" s="137">
        <f t="shared" si="1"/>
        <v>9430.6008791227159</v>
      </c>
      <c r="J7" s="137">
        <f t="shared" si="1"/>
        <v>10700.528433690681</v>
      </c>
      <c r="K7" s="137">
        <f t="shared" si="1"/>
        <v>11966.154041598818</v>
      </c>
      <c r="L7" s="191"/>
    </row>
    <row r="8" spans="1:12">
      <c r="A8"/>
      <c r="B8"/>
      <c r="C8" s="73" t="s">
        <v>503</v>
      </c>
      <c r="D8" s="138">
        <f>D26</f>
        <v>0</v>
      </c>
      <c r="E8" s="138">
        <f t="shared" ref="E8:K8" si="2">E26</f>
        <v>56</v>
      </c>
      <c r="F8" s="138">
        <f t="shared" si="2"/>
        <v>-56</v>
      </c>
      <c r="G8" s="138">
        <f t="shared" si="2"/>
        <v>0</v>
      </c>
      <c r="H8" s="138">
        <f t="shared" si="2"/>
        <v>0</v>
      </c>
      <c r="I8" s="138">
        <f t="shared" si="2"/>
        <v>0</v>
      </c>
      <c r="J8" s="138">
        <f t="shared" si="2"/>
        <v>0</v>
      </c>
      <c r="K8" s="138">
        <f t="shared" si="2"/>
        <v>0</v>
      </c>
      <c r="L8" s="169"/>
    </row>
    <row r="9" spans="1:12">
      <c r="A9"/>
      <c r="B9"/>
      <c r="C9" s="73" t="s">
        <v>488</v>
      </c>
      <c r="D9" s="138">
        <f>D27</f>
        <v>2299</v>
      </c>
      <c r="E9" s="138">
        <f t="shared" ref="E9:K9" si="3">E27</f>
        <v>853</v>
      </c>
      <c r="F9" s="138">
        <f t="shared" si="3"/>
        <v>760.60811708334177</v>
      </c>
      <c r="G9" s="138">
        <f t="shared" si="3"/>
        <v>1613.6081170833418</v>
      </c>
      <c r="H9" s="138">
        <f t="shared" si="3"/>
        <v>1665.2070004063874</v>
      </c>
      <c r="I9" s="138">
        <f t="shared" si="3"/>
        <v>1730.1954673765524</v>
      </c>
      <c r="J9" s="138">
        <f t="shared" si="3"/>
        <v>1790.6118813940425</v>
      </c>
      <c r="K9" s="138">
        <f t="shared" si="3"/>
        <v>1853.6408970987752</v>
      </c>
      <c r="L9" s="169"/>
    </row>
    <row r="10" spans="1:12">
      <c r="A10"/>
      <c r="B10"/>
      <c r="C10" s="73" t="s">
        <v>489</v>
      </c>
      <c r="D10" s="138">
        <f t="shared" ref="D10:D21" si="4">D28</f>
        <v>437</v>
      </c>
      <c r="E10" s="138">
        <f t="shared" ref="E10:K10" si="5">E28</f>
        <v>92</v>
      </c>
      <c r="F10" s="138">
        <f t="shared" si="5"/>
        <v>0</v>
      </c>
      <c r="G10" s="138">
        <f t="shared" si="5"/>
        <v>0</v>
      </c>
      <c r="H10" s="138">
        <f t="shared" si="5"/>
        <v>0</v>
      </c>
      <c r="I10" s="138">
        <f t="shared" si="5"/>
        <v>0</v>
      </c>
      <c r="J10" s="138">
        <f t="shared" si="5"/>
        <v>0</v>
      </c>
      <c r="K10" s="138">
        <f t="shared" si="5"/>
        <v>0</v>
      </c>
      <c r="L10" s="169"/>
    </row>
    <row r="11" spans="1:12">
      <c r="A11"/>
      <c r="B11"/>
      <c r="C11" s="73" t="s">
        <v>265</v>
      </c>
      <c r="D11" s="138">
        <f t="shared" si="4"/>
        <v>930</v>
      </c>
      <c r="E11" s="138">
        <f t="shared" ref="E11:K11" si="6">E29</f>
        <v>381</v>
      </c>
      <c r="F11" s="138">
        <f t="shared" si="6"/>
        <v>474.01147961893344</v>
      </c>
      <c r="G11" s="138">
        <f t="shared" si="6"/>
        <v>855.01147961893344</v>
      </c>
      <c r="H11" s="138">
        <f t="shared" si="6"/>
        <v>882.5015436792288</v>
      </c>
      <c r="I11" s="138">
        <f t="shared" si="6"/>
        <v>917.04034211395901</v>
      </c>
      <c r="J11" s="138">
        <f t="shared" si="6"/>
        <v>948.75964679891536</v>
      </c>
      <c r="K11" s="138">
        <f t="shared" si="6"/>
        <v>981.88869835875857</v>
      </c>
      <c r="L11" s="169"/>
    </row>
    <row r="12" spans="1:12">
      <c r="A12"/>
      <c r="B12"/>
      <c r="C12" s="73" t="s">
        <v>266</v>
      </c>
      <c r="D12" s="138">
        <f t="shared" si="4"/>
        <v>699</v>
      </c>
      <c r="E12" s="138">
        <f t="shared" ref="E12:K12" si="7">E30</f>
        <v>385</v>
      </c>
      <c r="F12" s="138">
        <f t="shared" si="7"/>
        <v>410.95143506265686</v>
      </c>
      <c r="G12" s="138">
        <f t="shared" si="7"/>
        <v>795.95143506265686</v>
      </c>
      <c r="H12" s="138">
        <f t="shared" si="7"/>
        <v>821.2041175924569</v>
      </c>
      <c r="I12" s="138">
        <f t="shared" si="7"/>
        <v>853.34389535765683</v>
      </c>
      <c r="J12" s="138">
        <f t="shared" si="7"/>
        <v>883.18797471105677</v>
      </c>
      <c r="K12" s="138">
        <f t="shared" si="7"/>
        <v>914.34388172834258</v>
      </c>
      <c r="L12" s="169"/>
    </row>
    <row r="13" spans="1:12">
      <c r="A13"/>
      <c r="B13"/>
      <c r="C13" s="73" t="s">
        <v>267</v>
      </c>
      <c r="D13" s="138">
        <f t="shared" si="4"/>
        <v>143</v>
      </c>
      <c r="E13" s="138">
        <f t="shared" ref="E13:K13" si="8">E31</f>
        <v>468</v>
      </c>
      <c r="F13" s="138">
        <f t="shared" si="8"/>
        <v>363.6501438031936</v>
      </c>
      <c r="G13" s="138">
        <f t="shared" si="8"/>
        <v>831.6501438031936</v>
      </c>
      <c r="H13" s="138">
        <f t="shared" si="8"/>
        <v>686.83855426544312</v>
      </c>
      <c r="I13" s="138">
        <f t="shared" si="8"/>
        <v>714.36213931797454</v>
      </c>
      <c r="J13" s="138">
        <f t="shared" si="8"/>
        <v>739.38358027482127</v>
      </c>
      <c r="K13" s="138">
        <f t="shared" si="8"/>
        <v>765.0305572555892</v>
      </c>
      <c r="L13" s="169"/>
    </row>
    <row r="14" spans="1:12">
      <c r="A14"/>
      <c r="B14"/>
      <c r="C14" s="73" t="s">
        <v>268</v>
      </c>
      <c r="D14" s="138">
        <f t="shared" si="4"/>
        <v>0</v>
      </c>
      <c r="E14" s="138">
        <f t="shared" ref="E14:K14" si="9">E32</f>
        <v>0</v>
      </c>
      <c r="F14" s="138">
        <f t="shared" si="9"/>
        <v>347.48526128820913</v>
      </c>
      <c r="G14" s="138">
        <f t="shared" si="9"/>
        <v>347.48526128820913</v>
      </c>
      <c r="H14" s="138">
        <f t="shared" si="9"/>
        <v>789.73923020047539</v>
      </c>
      <c r="I14" s="138">
        <f t="shared" si="9"/>
        <v>716.55151540169857</v>
      </c>
      <c r="J14" s="138">
        <f t="shared" si="9"/>
        <v>741.88572437050595</v>
      </c>
      <c r="K14" s="138">
        <f t="shared" si="9"/>
        <v>767.84546936323443</v>
      </c>
      <c r="L14" s="169"/>
    </row>
    <row r="15" spans="1:12">
      <c r="A15"/>
      <c r="B15"/>
      <c r="C15" s="73" t="s">
        <v>269</v>
      </c>
      <c r="D15" s="138">
        <f t="shared" si="4"/>
        <v>0</v>
      </c>
      <c r="E15" s="138">
        <f t="shared" ref="E15:K15" si="10">E33</f>
        <v>0</v>
      </c>
      <c r="F15" s="138">
        <f t="shared" si="10"/>
        <v>263.21961998971335</v>
      </c>
      <c r="G15" s="138">
        <f t="shared" si="10"/>
        <v>263.21961998971335</v>
      </c>
      <c r="H15" s="138">
        <f t="shared" si="10"/>
        <v>3169.0858466255313</v>
      </c>
      <c r="I15" s="138">
        <f t="shared" si="10"/>
        <v>2247.4906014506291</v>
      </c>
      <c r="J15" s="138">
        <f t="shared" si="10"/>
        <v>1790.9384566049478</v>
      </c>
      <c r="K15" s="138">
        <f t="shared" si="10"/>
        <v>1853.6408970987752</v>
      </c>
      <c r="L15" s="169"/>
    </row>
    <row r="16" spans="1:12">
      <c r="A16"/>
      <c r="B16"/>
      <c r="C16" s="73" t="s">
        <v>270</v>
      </c>
      <c r="D16" s="138">
        <f t="shared" si="4"/>
        <v>0</v>
      </c>
      <c r="E16" s="138">
        <f t="shared" ref="E16:K16" si="11">E34</f>
        <v>0</v>
      </c>
      <c r="F16" s="138">
        <f t="shared" si="11"/>
        <v>0</v>
      </c>
      <c r="G16" s="138">
        <f t="shared" si="11"/>
        <v>0</v>
      </c>
      <c r="H16" s="138">
        <f t="shared" si="11"/>
        <v>498.55221106517138</v>
      </c>
      <c r="I16" s="138">
        <f t="shared" si="11"/>
        <v>785.04771002106656</v>
      </c>
      <c r="J16" s="138">
        <f t="shared" si="11"/>
        <v>736.25590015521539</v>
      </c>
      <c r="K16" s="138">
        <f t="shared" si="11"/>
        <v>761.90287713598332</v>
      </c>
      <c r="L16" s="169"/>
    </row>
    <row r="17" spans="1:12">
      <c r="A17"/>
      <c r="B17"/>
      <c r="C17" s="73" t="s">
        <v>271</v>
      </c>
      <c r="D17" s="138">
        <f t="shared" si="4"/>
        <v>0</v>
      </c>
      <c r="E17" s="138">
        <f t="shared" ref="E17:K17" si="12">E35</f>
        <v>0</v>
      </c>
      <c r="F17" s="138">
        <f t="shared" si="12"/>
        <v>0</v>
      </c>
      <c r="G17" s="138">
        <f t="shared" si="12"/>
        <v>0</v>
      </c>
      <c r="H17" s="138">
        <f t="shared" si="12"/>
        <v>71.311106727013225</v>
      </c>
      <c r="I17" s="138">
        <f t="shared" si="12"/>
        <v>873.56105740591192</v>
      </c>
      <c r="J17" s="138">
        <f t="shared" si="12"/>
        <v>736.25590015521539</v>
      </c>
      <c r="K17" s="138">
        <f t="shared" si="12"/>
        <v>761.90287713598332</v>
      </c>
      <c r="L17" s="169"/>
    </row>
    <row r="18" spans="1:12">
      <c r="A18"/>
      <c r="B18"/>
      <c r="C18" s="73" t="s">
        <v>272</v>
      </c>
      <c r="D18" s="138">
        <f t="shared" si="4"/>
        <v>0</v>
      </c>
      <c r="E18" s="138">
        <f t="shared" ref="E18:K18" si="13">E36</f>
        <v>0</v>
      </c>
      <c r="F18" s="138">
        <f t="shared" si="13"/>
        <v>0</v>
      </c>
      <c r="G18" s="138">
        <f t="shared" si="13"/>
        <v>0</v>
      </c>
      <c r="H18" s="138">
        <f t="shared" si="13"/>
        <v>0</v>
      </c>
      <c r="I18" s="138">
        <f t="shared" si="13"/>
        <v>518.88213184260928</v>
      </c>
      <c r="J18" s="138">
        <f t="shared" si="13"/>
        <v>814.13513513340092</v>
      </c>
      <c r="K18" s="138">
        <f t="shared" si="13"/>
        <v>763.7794852077468</v>
      </c>
      <c r="L18" s="169"/>
    </row>
    <row r="19" spans="1:12">
      <c r="A19"/>
      <c r="B19"/>
      <c r="C19" s="73" t="s">
        <v>273</v>
      </c>
      <c r="D19" s="138">
        <f t="shared" si="4"/>
        <v>0</v>
      </c>
      <c r="E19" s="138">
        <f t="shared" ref="E19:K19" si="14">E37</f>
        <v>0</v>
      </c>
      <c r="F19" s="138">
        <f t="shared" si="14"/>
        <v>0</v>
      </c>
      <c r="G19" s="138">
        <f t="shared" si="14"/>
        <v>0</v>
      </c>
      <c r="H19" s="138">
        <f t="shared" si="14"/>
        <v>0</v>
      </c>
      <c r="I19" s="138">
        <f t="shared" si="14"/>
        <v>74.126018834658481</v>
      </c>
      <c r="J19" s="138">
        <f t="shared" si="14"/>
        <v>905.46339462589151</v>
      </c>
      <c r="K19" s="138">
        <f t="shared" si="14"/>
        <v>763.7794852077468</v>
      </c>
      <c r="L19" s="169"/>
    </row>
    <row r="20" spans="1:12">
      <c r="A20"/>
      <c r="B20"/>
      <c r="C20" s="73" t="s">
        <v>274</v>
      </c>
      <c r="D20" s="138">
        <f t="shared" si="4"/>
        <v>0</v>
      </c>
      <c r="E20" s="138">
        <f t="shared" ref="E20:K20" si="15">E38</f>
        <v>0</v>
      </c>
      <c r="F20" s="138">
        <f t="shared" si="15"/>
        <v>0</v>
      </c>
      <c r="G20" s="138">
        <f t="shared" si="15"/>
        <v>0</v>
      </c>
      <c r="H20" s="138">
        <f t="shared" si="15"/>
        <v>0</v>
      </c>
      <c r="I20" s="138">
        <f t="shared" si="15"/>
        <v>0</v>
      </c>
      <c r="J20" s="138">
        <f t="shared" si="15"/>
        <v>536.70990852436262</v>
      </c>
      <c r="K20" s="138">
        <f t="shared" si="15"/>
        <v>841.65872018593234</v>
      </c>
      <c r="L20" s="169"/>
    </row>
    <row r="21" spans="1:12">
      <c r="A21"/>
      <c r="B21"/>
      <c r="C21" s="73" t="s">
        <v>275</v>
      </c>
      <c r="D21" s="138">
        <f t="shared" si="4"/>
        <v>0</v>
      </c>
      <c r="E21" s="138">
        <f t="shared" ref="E21:K21" si="16">E39</f>
        <v>0</v>
      </c>
      <c r="F21" s="138">
        <f t="shared" si="16"/>
        <v>0</v>
      </c>
      <c r="G21" s="138">
        <f t="shared" si="16"/>
        <v>0</v>
      </c>
      <c r="H21" s="138">
        <f t="shared" si="16"/>
        <v>0</v>
      </c>
      <c r="I21" s="138">
        <f t="shared" si="16"/>
        <v>0</v>
      </c>
      <c r="J21" s="138">
        <f t="shared" si="16"/>
        <v>76.940930942303737</v>
      </c>
      <c r="K21" s="138">
        <f t="shared" si="16"/>
        <v>936.7401958219499</v>
      </c>
      <c r="L21" s="169"/>
    </row>
    <row r="22" spans="1:12">
      <c r="A22"/>
      <c r="B22"/>
      <c r="C22"/>
      <c r="D22"/>
      <c r="E22"/>
      <c r="F22"/>
      <c r="G22"/>
      <c r="H22"/>
      <c r="I22"/>
      <c r="J22"/>
      <c r="K22"/>
      <c r="L22"/>
    </row>
    <row r="23" spans="1:12">
      <c r="A23"/>
      <c r="B23"/>
      <c r="C23"/>
      <c r="D23"/>
      <c r="E23"/>
      <c r="F23"/>
      <c r="G23"/>
      <c r="H23"/>
      <c r="I23"/>
      <c r="J23"/>
      <c r="K23"/>
      <c r="L23"/>
    </row>
    <row r="24" spans="1:12">
      <c r="A24" s="60" t="s">
        <v>34</v>
      </c>
      <c r="B24" t="s">
        <v>230</v>
      </c>
      <c r="C24" s="140" t="s">
        <v>138</v>
      </c>
      <c r="D24" s="78">
        <v>2023</v>
      </c>
      <c r="E24" s="78" t="s">
        <v>563</v>
      </c>
      <c r="F24" s="78" t="s">
        <v>811</v>
      </c>
      <c r="G24" s="78" t="s">
        <v>418</v>
      </c>
      <c r="H24" s="77">
        <v>2025</v>
      </c>
      <c r="I24" s="77">
        <v>2026</v>
      </c>
      <c r="J24" s="77">
        <v>2027</v>
      </c>
      <c r="K24" s="77">
        <v>2028</v>
      </c>
      <c r="L24" s="176" t="s">
        <v>199</v>
      </c>
    </row>
    <row r="25" spans="1:12">
      <c r="A25"/>
      <c r="B25"/>
      <c r="C25" s="71" t="s">
        <v>31</v>
      </c>
      <c r="D25" s="137">
        <f>SUM(D26:D39)</f>
        <v>4508</v>
      </c>
      <c r="E25" s="137">
        <f t="shared" ref="E25:K25" si="17">SUM(E26:E39)</f>
        <v>2235</v>
      </c>
      <c r="F25" s="137">
        <f t="shared" si="17"/>
        <v>2563.9260568460481</v>
      </c>
      <c r="G25" s="137">
        <f>SUM(G26:G39)</f>
        <v>4706.9260568460486</v>
      </c>
      <c r="H25" s="137">
        <f t="shared" si="17"/>
        <v>8584.439610561707</v>
      </c>
      <c r="I25" s="137">
        <f t="shared" si="17"/>
        <v>9430.6008791227159</v>
      </c>
      <c r="J25" s="137">
        <f t="shared" si="17"/>
        <v>10700.528433690681</v>
      </c>
      <c r="K25" s="137">
        <f t="shared" si="17"/>
        <v>11966.154041598818</v>
      </c>
      <c r="L25" s="191"/>
    </row>
    <row r="26" spans="1:12">
      <c r="A26"/>
      <c r="B26"/>
      <c r="C26" s="73" t="s">
        <v>818</v>
      </c>
      <c r="D26" s="138"/>
      <c r="E26" s="138">
        <f>ROUND(SUM('지점별 손익'!C10,'지점별 손익'!I10)/10^6,0)</f>
        <v>56</v>
      </c>
      <c r="F26" s="138">
        <f>G26-E26</f>
        <v>-56</v>
      </c>
      <c r="G26" s="138"/>
      <c r="H26" s="138"/>
      <c r="I26" s="138"/>
      <c r="J26" s="138"/>
      <c r="K26" s="138"/>
      <c r="L26" s="169"/>
    </row>
    <row r="27" spans="1:12">
      <c r="A27"/>
      <c r="B27"/>
      <c r="C27" s="73" t="s">
        <v>488</v>
      </c>
      <c r="D27" s="138">
        <f>매출원가계획!D7</f>
        <v>2299</v>
      </c>
      <c r="E27" s="138">
        <f>ROUND('지점별 손익'!D9/10^6,)</f>
        <v>853</v>
      </c>
      <c r="F27" s="138">
        <f>G27-E27</f>
        <v>760.60811708334177</v>
      </c>
      <c r="G27" s="138">
        <f>매출원가계획!E7</f>
        <v>1613.6081170833418</v>
      </c>
      <c r="H27" s="138">
        <f>매출원가계획!F7</f>
        <v>1665.2070004063874</v>
      </c>
      <c r="I27" s="138">
        <f>매출원가계획!G7</f>
        <v>1730.1954673765524</v>
      </c>
      <c r="J27" s="138">
        <f>매출원가계획!H7</f>
        <v>1790.6118813940425</v>
      </c>
      <c r="K27" s="138">
        <f>매출원가계획!I7</f>
        <v>1853.6408970987752</v>
      </c>
      <c r="L27" s="169"/>
    </row>
    <row r="28" spans="1:12">
      <c r="A28"/>
      <c r="B28"/>
      <c r="C28" s="73" t="s">
        <v>489</v>
      </c>
      <c r="D28" s="138">
        <f>매출원가계획!D8</f>
        <v>437</v>
      </c>
      <c r="E28" s="138">
        <f>ROUND('지점별 손익'!E9/10^6,)</f>
        <v>92</v>
      </c>
      <c r="F28" s="138"/>
      <c r="G28" s="138">
        <f>매출원가계획!E8</f>
        <v>0</v>
      </c>
      <c r="H28" s="138">
        <f>매출원가계획!F8</f>
        <v>0</v>
      </c>
      <c r="I28" s="138">
        <f>매출원가계획!G8</f>
        <v>0</v>
      </c>
      <c r="J28" s="138">
        <f>매출원가계획!H8</f>
        <v>0</v>
      </c>
      <c r="K28" s="138">
        <f>매출원가계획!I8</f>
        <v>0</v>
      </c>
      <c r="L28" s="169"/>
    </row>
    <row r="29" spans="1:12">
      <c r="A29"/>
      <c r="B29"/>
      <c r="C29" s="73" t="s">
        <v>265</v>
      </c>
      <c r="D29" s="138">
        <f>매출원가계획!D9</f>
        <v>930</v>
      </c>
      <c r="E29" s="138">
        <f>ROUND('지점별 손익'!F9/10^6,)</f>
        <v>381</v>
      </c>
      <c r="F29" s="138">
        <f t="shared" ref="F29:F39" si="18">G29-E29</f>
        <v>474.01147961893344</v>
      </c>
      <c r="G29" s="138">
        <f>매출원가계획!E9</f>
        <v>855.01147961893344</v>
      </c>
      <c r="H29" s="138">
        <f>매출원가계획!F9</f>
        <v>882.5015436792288</v>
      </c>
      <c r="I29" s="138">
        <f>매출원가계획!G9</f>
        <v>917.04034211395901</v>
      </c>
      <c r="J29" s="138">
        <f>매출원가계획!H9</f>
        <v>948.75964679891536</v>
      </c>
      <c r="K29" s="138">
        <f>매출원가계획!I9</f>
        <v>981.88869835875857</v>
      </c>
      <c r="L29" s="169"/>
    </row>
    <row r="30" spans="1:12">
      <c r="A30"/>
      <c r="B30"/>
      <c r="C30" s="73" t="s">
        <v>266</v>
      </c>
      <c r="D30" s="138">
        <f>매출원가계획!D10</f>
        <v>699</v>
      </c>
      <c r="E30" s="138">
        <f>ROUND('지점별 손익'!G9/10^6,)</f>
        <v>385</v>
      </c>
      <c r="F30" s="138">
        <f t="shared" si="18"/>
        <v>410.95143506265686</v>
      </c>
      <c r="G30" s="138">
        <f>매출원가계획!E10</f>
        <v>795.95143506265686</v>
      </c>
      <c r="H30" s="138">
        <f>매출원가계획!F10</f>
        <v>821.2041175924569</v>
      </c>
      <c r="I30" s="138">
        <f>매출원가계획!G10</f>
        <v>853.34389535765683</v>
      </c>
      <c r="J30" s="138">
        <f>매출원가계획!H10</f>
        <v>883.18797471105677</v>
      </c>
      <c r="K30" s="138">
        <f>매출원가계획!I10</f>
        <v>914.34388172834258</v>
      </c>
      <c r="L30" s="169"/>
    </row>
    <row r="31" spans="1:12">
      <c r="A31"/>
      <c r="B31"/>
      <c r="C31" s="73" t="s">
        <v>267</v>
      </c>
      <c r="D31" s="138">
        <f>매출원가계획!D11</f>
        <v>143</v>
      </c>
      <c r="E31" s="138">
        <f>ROUND('지점별 손익'!H9/10^6,)</f>
        <v>468</v>
      </c>
      <c r="F31" s="138">
        <f t="shared" si="18"/>
        <v>363.6501438031936</v>
      </c>
      <c r="G31" s="138">
        <f>매출원가계획!E11</f>
        <v>831.6501438031936</v>
      </c>
      <c r="H31" s="138">
        <f>매출원가계획!F11</f>
        <v>686.83855426544312</v>
      </c>
      <c r="I31" s="138">
        <f>매출원가계획!G11</f>
        <v>714.36213931797454</v>
      </c>
      <c r="J31" s="138">
        <f>매출원가계획!H11</f>
        <v>739.38358027482127</v>
      </c>
      <c r="K31" s="138">
        <f>매출원가계획!I11</f>
        <v>765.0305572555892</v>
      </c>
      <c r="L31" s="169"/>
    </row>
    <row r="32" spans="1:12">
      <c r="A32"/>
      <c r="B32"/>
      <c r="C32" s="73" t="s">
        <v>268</v>
      </c>
      <c r="D32" s="138">
        <f>매출원가계획!D12</f>
        <v>0</v>
      </c>
      <c r="E32" s="138">
        <v>0</v>
      </c>
      <c r="F32" s="138">
        <f t="shared" si="18"/>
        <v>347.48526128820913</v>
      </c>
      <c r="G32" s="138">
        <f>매출원가계획!E12</f>
        <v>347.48526128820913</v>
      </c>
      <c r="H32" s="138">
        <f>매출원가계획!F12</f>
        <v>789.73923020047539</v>
      </c>
      <c r="I32" s="138">
        <f>매출원가계획!G12</f>
        <v>716.55151540169857</v>
      </c>
      <c r="J32" s="138">
        <f>매출원가계획!H12</f>
        <v>741.88572437050595</v>
      </c>
      <c r="K32" s="138">
        <f>매출원가계획!I12</f>
        <v>767.84546936323443</v>
      </c>
      <c r="L32" s="169"/>
    </row>
    <row r="33" spans="1:12">
      <c r="A33"/>
      <c r="B33"/>
      <c r="C33" s="73" t="s">
        <v>269</v>
      </c>
      <c r="D33" s="138">
        <f>매출원가계획!D13</f>
        <v>0</v>
      </c>
      <c r="E33" s="138">
        <v>0</v>
      </c>
      <c r="F33" s="138">
        <f t="shared" si="18"/>
        <v>263.21961998971335</v>
      </c>
      <c r="G33" s="138">
        <f>매출원가계획!E13</f>
        <v>263.21961998971335</v>
      </c>
      <c r="H33" s="138">
        <f>매출원가계획!F13</f>
        <v>3169.0858466255313</v>
      </c>
      <c r="I33" s="138">
        <f>매출원가계획!G13</f>
        <v>2247.4906014506291</v>
      </c>
      <c r="J33" s="138">
        <f>매출원가계획!H13</f>
        <v>1790.9384566049478</v>
      </c>
      <c r="K33" s="138">
        <f>매출원가계획!I13</f>
        <v>1853.6408970987752</v>
      </c>
      <c r="L33" s="169"/>
    </row>
    <row r="34" spans="1:12">
      <c r="A34"/>
      <c r="B34"/>
      <c r="C34" s="73" t="s">
        <v>270</v>
      </c>
      <c r="D34" s="138">
        <f>매출원가계획!D14</f>
        <v>0</v>
      </c>
      <c r="E34" s="138">
        <v>0</v>
      </c>
      <c r="F34" s="138">
        <f t="shared" si="18"/>
        <v>0</v>
      </c>
      <c r="G34" s="138">
        <f>매출원가계획!E14</f>
        <v>0</v>
      </c>
      <c r="H34" s="138">
        <f>매출원가계획!F14</f>
        <v>498.55221106517138</v>
      </c>
      <c r="I34" s="138">
        <f>매출원가계획!G14</f>
        <v>785.04771002106656</v>
      </c>
      <c r="J34" s="138">
        <f>매출원가계획!H14</f>
        <v>736.25590015521539</v>
      </c>
      <c r="K34" s="138">
        <f>매출원가계획!I14</f>
        <v>761.90287713598332</v>
      </c>
      <c r="L34" s="169"/>
    </row>
    <row r="35" spans="1:12">
      <c r="A35"/>
      <c r="B35"/>
      <c r="C35" s="73" t="s">
        <v>271</v>
      </c>
      <c r="D35" s="138">
        <f>매출원가계획!D15</f>
        <v>0</v>
      </c>
      <c r="E35" s="138">
        <v>0</v>
      </c>
      <c r="F35" s="138">
        <f t="shared" si="18"/>
        <v>0</v>
      </c>
      <c r="G35" s="138">
        <f>매출원가계획!E15</f>
        <v>0</v>
      </c>
      <c r="H35" s="138">
        <f>매출원가계획!F15</f>
        <v>71.311106727013225</v>
      </c>
      <c r="I35" s="138">
        <f>매출원가계획!G15</f>
        <v>873.56105740591192</v>
      </c>
      <c r="J35" s="138">
        <f>매출원가계획!H15</f>
        <v>736.25590015521539</v>
      </c>
      <c r="K35" s="138">
        <f>매출원가계획!I15</f>
        <v>761.90287713598332</v>
      </c>
      <c r="L35" s="169"/>
    </row>
    <row r="36" spans="1:12">
      <c r="A36"/>
      <c r="B36"/>
      <c r="C36" s="73" t="s">
        <v>272</v>
      </c>
      <c r="D36" s="138">
        <f>매출원가계획!D16</f>
        <v>0</v>
      </c>
      <c r="E36" s="138">
        <v>0</v>
      </c>
      <c r="F36" s="138">
        <f t="shared" si="18"/>
        <v>0</v>
      </c>
      <c r="G36" s="138">
        <f>매출원가계획!E16</f>
        <v>0</v>
      </c>
      <c r="H36" s="138">
        <f>매출원가계획!F16</f>
        <v>0</v>
      </c>
      <c r="I36" s="138">
        <f>매출원가계획!G16</f>
        <v>518.88213184260928</v>
      </c>
      <c r="J36" s="138">
        <f>매출원가계획!H16</f>
        <v>814.13513513340092</v>
      </c>
      <c r="K36" s="138">
        <f>매출원가계획!I16</f>
        <v>763.7794852077468</v>
      </c>
      <c r="L36" s="169"/>
    </row>
    <row r="37" spans="1:12">
      <c r="A37"/>
      <c r="B37"/>
      <c r="C37" s="73" t="s">
        <v>273</v>
      </c>
      <c r="D37" s="138">
        <f>매출원가계획!D17</f>
        <v>0</v>
      </c>
      <c r="E37" s="138">
        <v>0</v>
      </c>
      <c r="F37" s="138">
        <f t="shared" si="18"/>
        <v>0</v>
      </c>
      <c r="G37" s="138">
        <f>매출원가계획!E17</f>
        <v>0</v>
      </c>
      <c r="H37" s="138">
        <f>매출원가계획!F17</f>
        <v>0</v>
      </c>
      <c r="I37" s="138">
        <f>매출원가계획!G17</f>
        <v>74.126018834658481</v>
      </c>
      <c r="J37" s="138">
        <f>매출원가계획!H17</f>
        <v>905.46339462589151</v>
      </c>
      <c r="K37" s="138">
        <f>매출원가계획!I17</f>
        <v>763.7794852077468</v>
      </c>
      <c r="L37" s="169"/>
    </row>
    <row r="38" spans="1:12">
      <c r="A38"/>
      <c r="B38"/>
      <c r="C38" s="73" t="s">
        <v>274</v>
      </c>
      <c r="D38" s="138">
        <f>매출원가계획!D18</f>
        <v>0</v>
      </c>
      <c r="E38" s="138">
        <v>0</v>
      </c>
      <c r="F38" s="138">
        <f t="shared" si="18"/>
        <v>0</v>
      </c>
      <c r="G38" s="138">
        <f>매출원가계획!E18</f>
        <v>0</v>
      </c>
      <c r="H38" s="138">
        <f>매출원가계획!F18</f>
        <v>0</v>
      </c>
      <c r="I38" s="138">
        <f>매출원가계획!G18</f>
        <v>0</v>
      </c>
      <c r="J38" s="138">
        <f>매출원가계획!H18</f>
        <v>536.70990852436262</v>
      </c>
      <c r="K38" s="138">
        <f>매출원가계획!I18</f>
        <v>841.65872018593234</v>
      </c>
      <c r="L38" s="169"/>
    </row>
    <row r="39" spans="1:12">
      <c r="A39"/>
      <c r="B39"/>
      <c r="C39" s="73" t="s">
        <v>275</v>
      </c>
      <c r="D39" s="138">
        <f>매출원가계획!D19</f>
        <v>0</v>
      </c>
      <c r="E39" s="138">
        <v>0</v>
      </c>
      <c r="F39" s="138">
        <f t="shared" si="18"/>
        <v>0</v>
      </c>
      <c r="G39" s="138">
        <f>매출원가계획!E19</f>
        <v>0</v>
      </c>
      <c r="H39" s="138">
        <f>매출원가계획!F19</f>
        <v>0</v>
      </c>
      <c r="I39" s="138">
        <f>매출원가계획!G19</f>
        <v>0</v>
      </c>
      <c r="J39" s="138">
        <f>매출원가계획!H19</f>
        <v>76.940930942303737</v>
      </c>
      <c r="K39" s="138">
        <f>매출원가계획!I19</f>
        <v>936.7401958219499</v>
      </c>
      <c r="L39" s="169"/>
    </row>
    <row r="41" spans="1:12">
      <c r="C41" s="175" t="s">
        <v>31</v>
      </c>
      <c r="D41" s="173"/>
      <c r="E41" s="173"/>
      <c r="F41" s="173"/>
      <c r="G41" s="173"/>
      <c r="H41" s="173"/>
      <c r="I41" s="173"/>
      <c r="J41" s="173"/>
      <c r="K41" s="173"/>
      <c r="L41" s="173"/>
    </row>
    <row r="43" spans="1:12">
      <c r="C43" s="47" t="s">
        <v>495</v>
      </c>
    </row>
    <row r="44" spans="1:12">
      <c r="C44" s="47" t="s">
        <v>496</v>
      </c>
    </row>
  </sheetData>
  <phoneticPr fontId="9" type="noConversion"/>
  <pageMargins left="0.7" right="0.7" top="0.75" bottom="0.75" header="0.3" footer="0.3"/>
  <pageSetup paperSize="9" orientation="portrait" r:id="rId1"/>
  <extLst>
    <ext xmlns:x14="http://schemas.microsoft.com/office/spreadsheetml/2009/9/main" uri="{05C60535-1F16-4fd2-B633-F4F36F0B64E0}">
      <x14:sparklineGroups xmlns:xm="http://schemas.microsoft.com/office/excel/2006/main">
        <x14:sparklineGroup manualMax="0" manualMin="0" type="column" displayEmptyCellsAs="gap" high="1" low="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매출원가!D7:K7</xm:f>
              <xm:sqref>L7</xm:sqref>
            </x14:sparkline>
            <x14:sparkline>
              <xm:f>매출원가!D8:K8</xm:f>
              <xm:sqref>L8</xm:sqref>
            </x14:sparkline>
            <x14:sparkline>
              <xm:f>매출원가!D9:K9</xm:f>
              <xm:sqref>L9</xm:sqref>
            </x14:sparkline>
            <x14:sparkline>
              <xm:f>매출원가!D10:K10</xm:f>
              <xm:sqref>L10</xm:sqref>
            </x14:sparkline>
            <x14:sparkline>
              <xm:f>매출원가!D11:K11</xm:f>
              <xm:sqref>L11</xm:sqref>
            </x14:sparkline>
            <x14:sparkline>
              <xm:f>매출원가!D12:K12</xm:f>
              <xm:sqref>L12</xm:sqref>
            </x14:sparkline>
            <x14:sparkline>
              <xm:f>매출원가!D13:K13</xm:f>
              <xm:sqref>L13</xm:sqref>
            </x14:sparkline>
            <x14:sparkline>
              <xm:f>매출원가!D14:K14</xm:f>
              <xm:sqref>L14</xm:sqref>
            </x14:sparkline>
            <x14:sparkline>
              <xm:f>매출원가!D15:K15</xm:f>
              <xm:sqref>L15</xm:sqref>
            </x14:sparkline>
            <x14:sparkline>
              <xm:f>매출원가!D16:K16</xm:f>
              <xm:sqref>L16</xm:sqref>
            </x14:sparkline>
            <x14:sparkline>
              <xm:f>매출원가!D17:K17</xm:f>
              <xm:sqref>L17</xm:sqref>
            </x14:sparkline>
            <x14:sparkline>
              <xm:f>매출원가!D18:K18</xm:f>
              <xm:sqref>L18</xm:sqref>
            </x14:sparkline>
            <x14:sparkline>
              <xm:f>매출원가!D19:K19</xm:f>
              <xm:sqref>L19</xm:sqref>
            </x14:sparkline>
            <x14:sparkline>
              <xm:f>매출원가!D20:K20</xm:f>
              <xm:sqref>L20</xm:sqref>
            </x14:sparkline>
            <x14:sparkline>
              <xm:f>매출원가!D21:K21</xm:f>
              <xm:sqref>L21</xm:sqref>
            </x14:sparkline>
          </x14:sparklines>
        </x14:sparklineGroup>
        <x14:sparklineGroup manualMax="0" manualMin="0" type="column" displayEmptyCellsAs="gap" high="1" low="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매출원가!D25:K25</xm:f>
              <xm:sqref>L25</xm:sqref>
            </x14:sparkline>
            <x14:sparkline>
              <xm:f>매출원가!D26:K26</xm:f>
              <xm:sqref>L26</xm:sqref>
            </x14:sparkline>
            <x14:sparkline>
              <xm:f>매출원가!D27:K27</xm:f>
              <xm:sqref>L27</xm:sqref>
            </x14:sparkline>
            <x14:sparkline>
              <xm:f>매출원가!D28:K28</xm:f>
              <xm:sqref>L28</xm:sqref>
            </x14:sparkline>
            <x14:sparkline>
              <xm:f>매출원가!D29:K29</xm:f>
              <xm:sqref>L29</xm:sqref>
            </x14:sparkline>
            <x14:sparkline>
              <xm:f>매출원가!D30:K30</xm:f>
              <xm:sqref>L30</xm:sqref>
            </x14:sparkline>
            <x14:sparkline>
              <xm:f>매출원가!D31:K31</xm:f>
              <xm:sqref>L31</xm:sqref>
            </x14:sparkline>
            <x14:sparkline>
              <xm:f>매출원가!D32:K32</xm:f>
              <xm:sqref>L32</xm:sqref>
            </x14:sparkline>
            <x14:sparkline>
              <xm:f>매출원가!D33:K33</xm:f>
              <xm:sqref>L33</xm:sqref>
            </x14:sparkline>
            <x14:sparkline>
              <xm:f>매출원가!D34:K34</xm:f>
              <xm:sqref>L34</xm:sqref>
            </x14:sparkline>
            <x14:sparkline>
              <xm:f>매출원가!D35:K35</xm:f>
              <xm:sqref>L35</xm:sqref>
            </x14:sparkline>
            <x14:sparkline>
              <xm:f>매출원가!D36:K36</xm:f>
              <xm:sqref>L36</xm:sqref>
            </x14:sparkline>
            <x14:sparkline>
              <xm:f>매출원가!D37:K37</xm:f>
              <xm:sqref>L37</xm:sqref>
            </x14:sparkline>
            <x14:sparkline>
              <xm:f>매출원가!D38:K38</xm:f>
              <xm:sqref>L38</xm:sqref>
            </x14:sparkline>
            <x14:sparkline>
              <xm:f>매출원가!D39:K39</xm:f>
              <xm:sqref>L39</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N30"/>
  <sheetViews>
    <sheetView showGridLines="0" zoomScale="85" zoomScaleNormal="85" workbookViewId="0">
      <pane ySplit="6" topLeftCell="A7" activePane="bottomLeft" state="frozen"/>
      <selection pane="bottomLeft" activeCell="F38" sqref="F38"/>
    </sheetView>
  </sheetViews>
  <sheetFormatPr defaultColWidth="9.140625" defaultRowHeight="13.5"/>
  <cols>
    <col min="1" max="1" width="4.140625" style="47" customWidth="1"/>
    <col min="2" max="2" width="18.5703125" style="47" customWidth="1"/>
    <col min="3" max="3" width="22.140625" style="47" customWidth="1"/>
    <col min="4" max="14" width="17.28515625" style="47" customWidth="1"/>
    <col min="15" max="16384" width="9.140625" style="47"/>
  </cols>
  <sheetData>
    <row r="1" spans="1:14" s="131" customFormat="1" ht="20.25">
      <c r="A1" s="164" t="str" cm="1">
        <f t="array" aca="1" ref="A1" ca="1">REPLACE(CELL("filename",$A$1),1,FIND("]",CELL("filename",$A$1),1),"")</f>
        <v>판관비</v>
      </c>
      <c r="B1" s="170"/>
      <c r="C1" s="170"/>
      <c r="D1" s="170"/>
      <c r="E1" s="170"/>
      <c r="F1" s="170"/>
      <c r="G1" s="172"/>
      <c r="H1" s="172"/>
      <c r="I1" s="170"/>
      <c r="J1" s="170"/>
      <c r="K1" s="170"/>
      <c r="L1" s="170"/>
      <c r="M1" s="170"/>
      <c r="N1" s="171" t="e">
        <f>#REF!</f>
        <v>#REF!</v>
      </c>
    </row>
    <row r="3" spans="1:14">
      <c r="B3" s="47" t="s">
        <v>198</v>
      </c>
      <c r="C3" s="47" t="s">
        <v>118</v>
      </c>
      <c r="D3" s="64" t="s">
        <v>103</v>
      </c>
      <c r="E3" s="80">
        <v>2024</v>
      </c>
      <c r="F3" s="80">
        <v>2025</v>
      </c>
      <c r="G3" s="80">
        <v>2026</v>
      </c>
      <c r="H3" s="80">
        <v>2027</v>
      </c>
      <c r="I3" s="80">
        <v>2028</v>
      </c>
    </row>
    <row r="4" spans="1:14">
      <c r="D4" s="63" t="s">
        <v>185</v>
      </c>
      <c r="E4" s="165">
        <v>3.6000000000000004E-2</v>
      </c>
      <c r="F4" s="165">
        <v>3.2000000000000001E-2</v>
      </c>
      <c r="G4" s="165">
        <v>3.9E-2</v>
      </c>
      <c r="H4" s="165">
        <v>3.5000000000000003E-2</v>
      </c>
      <c r="I4" s="165">
        <v>3.5000000000000003E-2</v>
      </c>
      <c r="K4" s="58"/>
    </row>
    <row r="5" spans="1:14">
      <c r="D5" s="63" t="s">
        <v>197</v>
      </c>
      <c r="E5" s="165">
        <v>2.6000000000000002E-2</v>
      </c>
      <c r="F5" s="165">
        <v>0.02</v>
      </c>
      <c r="G5" s="165">
        <v>1.7000000000000001E-2</v>
      </c>
      <c r="H5" s="165">
        <v>1.9E-2</v>
      </c>
      <c r="I5" s="165">
        <v>1.8000000000000002E-2</v>
      </c>
    </row>
    <row r="8" spans="1:14">
      <c r="A8" s="60" t="s">
        <v>34</v>
      </c>
      <c r="B8" t="s">
        <v>209</v>
      </c>
      <c r="C8" s="140" t="s">
        <v>138</v>
      </c>
      <c r="D8" s="78">
        <f>D15</f>
        <v>2023</v>
      </c>
      <c r="E8" s="78" t="str">
        <f t="shared" ref="E8:K8" si="0">E15</f>
        <v>2024년6개월(A)</v>
      </c>
      <c r="F8" s="78" t="str">
        <f t="shared" si="0"/>
        <v>2024년6개월(F)</v>
      </c>
      <c r="G8" s="77">
        <f t="shared" si="0"/>
        <v>2024</v>
      </c>
      <c r="H8" s="77">
        <f t="shared" si="0"/>
        <v>2025</v>
      </c>
      <c r="I8" s="77">
        <f t="shared" si="0"/>
        <v>2026</v>
      </c>
      <c r="J8" s="77">
        <f t="shared" si="0"/>
        <v>2027</v>
      </c>
      <c r="K8" s="77">
        <f t="shared" si="0"/>
        <v>2028</v>
      </c>
      <c r="L8" s="290" t="s">
        <v>199</v>
      </c>
      <c r="M8" s="293"/>
    </row>
    <row r="9" spans="1:14">
      <c r="A9"/>
      <c r="B9"/>
      <c r="C9" s="71" t="s">
        <v>73</v>
      </c>
      <c r="D9" s="137">
        <f t="shared" ref="D9:K9" si="1">SUM(D10:D13)</f>
        <v>10059</v>
      </c>
      <c r="E9" s="137">
        <f t="shared" si="1"/>
        <v>5548</v>
      </c>
      <c r="F9" s="137">
        <f t="shared" si="1"/>
        <v>5578.2168232289969</v>
      </c>
      <c r="G9" s="137">
        <f t="shared" si="1"/>
        <v>11126.216823228997</v>
      </c>
      <c r="H9" s="137">
        <f t="shared" si="1"/>
        <v>16076.076027590012</v>
      </c>
      <c r="I9" s="137">
        <f t="shared" si="1"/>
        <v>18876.984131104797</v>
      </c>
      <c r="J9" s="137">
        <f t="shared" si="1"/>
        <v>22100.417072785145</v>
      </c>
      <c r="K9" s="137">
        <f t="shared" si="1"/>
        <v>23571.048594088898</v>
      </c>
      <c r="L9" s="291"/>
      <c r="M9" s="294"/>
    </row>
    <row r="10" spans="1:14">
      <c r="A10"/>
      <c r="B10"/>
      <c r="C10" s="73" t="s">
        <v>95</v>
      </c>
      <c r="D10" s="138">
        <f t="shared" ref="D10:K13" si="2">D17</f>
        <v>4462</v>
      </c>
      <c r="E10" s="138">
        <f t="shared" si="2"/>
        <v>2746</v>
      </c>
      <c r="F10" s="138">
        <f t="shared" si="2"/>
        <v>1766.4740337944759</v>
      </c>
      <c r="G10" s="138">
        <f t="shared" si="2"/>
        <v>4512.4740337944759</v>
      </c>
      <c r="H10" s="138">
        <f t="shared" si="2"/>
        <v>7224.1865713520428</v>
      </c>
      <c r="I10" s="138">
        <f t="shared" si="2"/>
        <v>8658.9634206807114</v>
      </c>
      <c r="J10" s="138">
        <f t="shared" si="2"/>
        <v>10985.867444435547</v>
      </c>
      <c r="K10" s="138">
        <f t="shared" si="2"/>
        <v>11934.367032938415</v>
      </c>
      <c r="L10" s="292"/>
      <c r="M10" s="294"/>
    </row>
    <row r="11" spans="1:14">
      <c r="A11"/>
      <c r="B11"/>
      <c r="C11" s="73" t="s">
        <v>186</v>
      </c>
      <c r="D11" s="138">
        <f t="shared" si="2"/>
        <v>2535</v>
      </c>
      <c r="E11" s="138">
        <f t="shared" si="2"/>
        <v>1693</v>
      </c>
      <c r="F11" s="138">
        <f t="shared" si="2"/>
        <v>1029.8927894345206</v>
      </c>
      <c r="G11" s="138">
        <f t="shared" si="2"/>
        <v>2722.8927894345206</v>
      </c>
      <c r="H11" s="138">
        <f t="shared" si="2"/>
        <v>4355.7794562379686</v>
      </c>
      <c r="I11" s="138">
        <f t="shared" si="2"/>
        <v>5281.5172904240862</v>
      </c>
      <c r="J11" s="138">
        <f t="shared" si="2"/>
        <v>5820.2237683695985</v>
      </c>
      <c r="K11" s="138">
        <f t="shared" si="2"/>
        <v>6375.7320856908445</v>
      </c>
      <c r="L11" s="292"/>
      <c r="M11" s="294"/>
    </row>
    <row r="12" spans="1:14">
      <c r="A12"/>
      <c r="B12"/>
      <c r="C12" s="73" t="s">
        <v>187</v>
      </c>
      <c r="D12" s="138">
        <f t="shared" si="2"/>
        <v>1472</v>
      </c>
      <c r="E12" s="138">
        <f t="shared" si="2"/>
        <v>433</v>
      </c>
      <c r="F12" s="138">
        <f t="shared" si="2"/>
        <v>981</v>
      </c>
      <c r="G12" s="138">
        <f t="shared" si="2"/>
        <v>1414</v>
      </c>
      <c r="H12" s="138">
        <f t="shared" si="2"/>
        <v>2170.2600000000002</v>
      </c>
      <c r="I12" s="138">
        <f t="shared" si="2"/>
        <v>2711.12842</v>
      </c>
      <c r="J12" s="138">
        <f t="shared" si="2"/>
        <v>3273.2008599799997</v>
      </c>
      <c r="K12" s="138">
        <f t="shared" si="2"/>
        <v>3681.8244754596394</v>
      </c>
      <c r="L12" s="292"/>
      <c r="M12" s="294"/>
    </row>
    <row r="13" spans="1:14">
      <c r="C13" s="73" t="s">
        <v>247</v>
      </c>
      <c r="D13" s="138">
        <f t="shared" si="2"/>
        <v>1590</v>
      </c>
      <c r="E13" s="138">
        <f t="shared" si="2"/>
        <v>676</v>
      </c>
      <c r="F13" s="138">
        <f t="shared" si="2"/>
        <v>1800.85</v>
      </c>
      <c r="G13" s="138">
        <f t="shared" si="2"/>
        <v>2476.85</v>
      </c>
      <c r="H13" s="138">
        <f t="shared" si="2"/>
        <v>2325.85</v>
      </c>
      <c r="I13" s="138">
        <f t="shared" si="2"/>
        <v>2225.375</v>
      </c>
      <c r="J13" s="138">
        <f t="shared" si="2"/>
        <v>2021.125</v>
      </c>
      <c r="K13" s="138">
        <f t="shared" si="2"/>
        <v>1579.125</v>
      </c>
      <c r="L13" s="292"/>
      <c r="M13" s="294"/>
    </row>
    <row r="15" spans="1:14">
      <c r="A15" s="60" t="s">
        <v>34</v>
      </c>
      <c r="B15" t="s">
        <v>230</v>
      </c>
      <c r="C15" s="140" t="s">
        <v>138</v>
      </c>
      <c r="D15" s="78">
        <v>2023</v>
      </c>
      <c r="E15" s="78" t="s">
        <v>834</v>
      </c>
      <c r="F15" s="78" t="s">
        <v>835</v>
      </c>
      <c r="G15" s="77">
        <v>2024</v>
      </c>
      <c r="H15" s="77">
        <v>2025</v>
      </c>
      <c r="I15" s="77">
        <v>2026</v>
      </c>
      <c r="J15" s="77">
        <v>2027</v>
      </c>
      <c r="K15" s="77">
        <v>2028</v>
      </c>
      <c r="L15" s="290" t="s">
        <v>199</v>
      </c>
      <c r="M15" s="293"/>
    </row>
    <row r="16" spans="1:14">
      <c r="A16"/>
      <c r="B16"/>
      <c r="C16" s="71" t="s">
        <v>73</v>
      </c>
      <c r="D16" s="137">
        <f t="shared" ref="D16:K16" si="3">SUM(D17:D20)</f>
        <v>10059</v>
      </c>
      <c r="E16" s="137">
        <f t="shared" si="3"/>
        <v>5548</v>
      </c>
      <c r="F16" s="137">
        <f t="shared" si="3"/>
        <v>5578.2168232289969</v>
      </c>
      <c r="G16" s="137">
        <f t="shared" si="3"/>
        <v>11126.216823228997</v>
      </c>
      <c r="H16" s="137">
        <f t="shared" si="3"/>
        <v>16076.076027590012</v>
      </c>
      <c r="I16" s="137">
        <f t="shared" si="3"/>
        <v>18876.984131104797</v>
      </c>
      <c r="J16" s="137">
        <f t="shared" si="3"/>
        <v>22100.417072785145</v>
      </c>
      <c r="K16" s="137">
        <f t="shared" si="3"/>
        <v>23571.048594088898</v>
      </c>
      <c r="L16" s="291"/>
      <c r="M16" s="294"/>
    </row>
    <row r="17" spans="1:13">
      <c r="A17"/>
      <c r="B17"/>
      <c r="C17" s="73" t="s">
        <v>100</v>
      </c>
      <c r="D17" s="138">
        <f>인건비!C22</f>
        <v>4462</v>
      </c>
      <c r="E17" s="138">
        <f>ROUND(SUM('지점별 손익'!J17:J21)/10^6,)</f>
        <v>2746</v>
      </c>
      <c r="F17" s="138">
        <f>G17-E17</f>
        <v>1766.4740337944759</v>
      </c>
      <c r="G17" s="138">
        <f>인건비!D22</f>
        <v>4512.4740337944759</v>
      </c>
      <c r="H17" s="138">
        <f>인건비!E22</f>
        <v>7224.1865713520428</v>
      </c>
      <c r="I17" s="138">
        <f>인건비!F22</f>
        <v>8658.9634206807114</v>
      </c>
      <c r="J17" s="138">
        <f>인건비!G22</f>
        <v>10985.867444435547</v>
      </c>
      <c r="K17" s="138">
        <f>인건비!H22</f>
        <v>11934.367032938415</v>
      </c>
      <c r="L17" s="292"/>
      <c r="M17" s="294"/>
    </row>
    <row r="18" spans="1:13">
      <c r="A18"/>
      <c r="B18"/>
      <c r="C18" s="73" t="s">
        <v>186</v>
      </c>
      <c r="D18" s="138">
        <f>변동비!D29</f>
        <v>2535</v>
      </c>
      <c r="E18" s="138">
        <f>ROUND(SUM('지점별 손익'!J29,'지점별 손익'!J36,'지점별 손익'!J41)/10^6,0)</f>
        <v>1693</v>
      </c>
      <c r="F18" s="138">
        <f t="shared" ref="F18:F20" si="4">G18-E18</f>
        <v>1029.8927894345206</v>
      </c>
      <c r="G18" s="138">
        <f>변동비!E29</f>
        <v>2722.8927894345206</v>
      </c>
      <c r="H18" s="138">
        <f>변동비!F29</f>
        <v>4355.7794562379686</v>
      </c>
      <c r="I18" s="138">
        <f>변동비!G29</f>
        <v>5281.5172904240862</v>
      </c>
      <c r="J18" s="138">
        <f>변동비!H29</f>
        <v>5820.2237683695985</v>
      </c>
      <c r="K18" s="138">
        <f>변동비!I29</f>
        <v>6375.7320856908445</v>
      </c>
      <c r="L18" s="292"/>
      <c r="M18" s="294"/>
    </row>
    <row r="19" spans="1:13">
      <c r="A19"/>
      <c r="B19"/>
      <c r="C19" s="73" t="s">
        <v>187</v>
      </c>
      <c r="D19" s="138">
        <f>고정비!D29</f>
        <v>1472</v>
      </c>
      <c r="E19" s="138">
        <f>ROUND(SUM('지점별 손익'!K37,'지점별 손익'!J38)/10^6,)</f>
        <v>433</v>
      </c>
      <c r="F19" s="138">
        <f t="shared" si="4"/>
        <v>981</v>
      </c>
      <c r="G19" s="138">
        <f>고정비!E29</f>
        <v>1414</v>
      </c>
      <c r="H19" s="138">
        <f>고정비!F29</f>
        <v>2170.2600000000002</v>
      </c>
      <c r="I19" s="138">
        <f>고정비!G29</f>
        <v>2711.12842</v>
      </c>
      <c r="J19" s="138">
        <f>고정비!H29</f>
        <v>3273.2008599799997</v>
      </c>
      <c r="K19" s="138">
        <f>고정비!I29</f>
        <v>3681.8244754596394</v>
      </c>
      <c r="L19" s="292"/>
      <c r="M19" s="294"/>
    </row>
    <row r="20" spans="1:13">
      <c r="A20"/>
      <c r="B20"/>
      <c r="C20" s="73" t="s">
        <v>502</v>
      </c>
      <c r="D20" s="138">
        <f>CAPEX!D12</f>
        <v>1590</v>
      </c>
      <c r="E20" s="138">
        <f>ROUND(SUM('지점별 손익'!J28,'지점별 손익'!J39)/10^6,)</f>
        <v>676</v>
      </c>
      <c r="F20" s="138">
        <f t="shared" si="4"/>
        <v>1800.85</v>
      </c>
      <c r="G20" s="138">
        <f>CAPEX!G12</f>
        <v>2476.85</v>
      </c>
      <c r="H20" s="138">
        <f>CAPEX!H12</f>
        <v>2325.85</v>
      </c>
      <c r="I20" s="138">
        <f>CAPEX!I12</f>
        <v>2225.375</v>
      </c>
      <c r="J20" s="138">
        <f>CAPEX!J12</f>
        <v>2021.125</v>
      </c>
      <c r="K20" s="138">
        <f>CAPEX!K12</f>
        <v>1579.125</v>
      </c>
      <c r="L20" s="292"/>
      <c r="M20" s="294"/>
    </row>
    <row r="22" spans="1:13">
      <c r="C22" s="1" t="s">
        <v>95</v>
      </c>
      <c r="D22" s="47" t="s">
        <v>836</v>
      </c>
    </row>
    <row r="23" spans="1:13">
      <c r="D23" s="47" t="s">
        <v>837</v>
      </c>
    </row>
    <row r="24" spans="1:13">
      <c r="D24" s="47" t="s">
        <v>838</v>
      </c>
    </row>
    <row r="25" spans="1:13">
      <c r="D25" s="47" t="s">
        <v>839</v>
      </c>
    </row>
    <row r="27" spans="1:13">
      <c r="C27" s="47" t="s">
        <v>240</v>
      </c>
      <c r="D27" s="47" t="s">
        <v>840</v>
      </c>
    </row>
    <row r="28" spans="1:13">
      <c r="D28" s="47" t="s">
        <v>841</v>
      </c>
    </row>
    <row r="30" spans="1:13">
      <c r="C30" s="47" t="s">
        <v>196</v>
      </c>
      <c r="D30" s="47" t="s">
        <v>842</v>
      </c>
    </row>
  </sheetData>
  <phoneticPr fontId="9" type="noConversion"/>
  <pageMargins left="0.7" right="0.7" top="0.75" bottom="0.75" header="0.3" footer="0.3"/>
  <extLst>
    <ext xmlns:x14="http://schemas.microsoft.com/office/spreadsheetml/2009/9/main" uri="{05C60535-1F16-4fd2-B633-F4F36F0B64E0}">
      <x14:sparklineGroups xmlns:xm="http://schemas.microsoft.com/office/excel/2006/main">
        <x14:sparklineGroup manualMax="0" manualMin="0" type="column" displayEmptyCellsAs="gap" high="1" low="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판관비!D16:K16</xm:f>
              <xm:sqref>L16</xm:sqref>
            </x14:sparkline>
            <x14:sparkline>
              <xm:f>판관비!D17:K17</xm:f>
              <xm:sqref>L17</xm:sqref>
            </x14:sparkline>
            <x14:sparkline>
              <xm:f>판관비!D18:K18</xm:f>
              <xm:sqref>L18</xm:sqref>
            </x14:sparkline>
            <x14:sparkline>
              <xm:f>판관비!D19:K19</xm:f>
              <xm:sqref>L19</xm:sqref>
            </x14:sparkline>
            <x14:sparkline>
              <xm:f>판관비!D20:K20</xm:f>
              <xm:sqref>L20</xm:sqref>
            </x14:sparkline>
          </x14:sparklines>
        </x14:sparklineGroup>
        <x14:sparklineGroup manualMax="0" manualMin="0" type="column" displayEmptyCellsAs="gap" high="1" low="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판관비!D9:K9</xm:f>
              <xm:sqref>L9</xm:sqref>
            </x14:sparkline>
            <x14:sparkline>
              <xm:f>판관비!D10:K10</xm:f>
              <xm:sqref>L10</xm:sqref>
            </x14:sparkline>
            <x14:sparkline>
              <xm:f>판관비!D11:K11</xm:f>
              <xm:sqref>L11</xm:sqref>
            </x14:sparkline>
            <x14:sparkline>
              <xm:f>판관비!D12:K12</xm:f>
              <xm:sqref>L12</xm:sqref>
            </x14:sparkline>
            <x14:sparkline>
              <xm:f>판관비!D13:K13</xm:f>
              <xm:sqref>L13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52"/>
  <sheetViews>
    <sheetView showGridLines="0" zoomScaleNormal="100" workbookViewId="0">
      <pane ySplit="8" topLeftCell="A9" activePane="bottomLeft" state="frozen"/>
      <selection pane="bottomLeft" activeCell="J22" sqref="J22"/>
    </sheetView>
  </sheetViews>
  <sheetFormatPr defaultColWidth="9.140625" defaultRowHeight="13.5"/>
  <cols>
    <col min="1" max="1" width="3" style="57" customWidth="1"/>
    <col min="2" max="2" width="14.42578125" style="57" customWidth="1"/>
    <col min="3" max="3" width="28.5703125" style="57" customWidth="1"/>
    <col min="4" max="16" width="15.7109375" style="57" customWidth="1"/>
    <col min="17" max="16384" width="9.140625" style="57"/>
  </cols>
  <sheetData>
    <row r="1" spans="1:16" s="131" customFormat="1" ht="20.25">
      <c r="A1" s="164" t="str" cm="1">
        <f t="array" aca="1" ref="A1" ca="1">REPLACE(CELL("filename",$A$1),1,FIND("]",CELL("filename",$A$1),1),"")</f>
        <v>CAPEX</v>
      </c>
      <c r="B1" s="164"/>
      <c r="C1" s="164"/>
      <c r="D1" s="170"/>
      <c r="E1" s="170"/>
      <c r="F1" s="170"/>
      <c r="G1" s="170"/>
      <c r="H1" s="170"/>
      <c r="I1" s="172"/>
      <c r="J1" s="172"/>
      <c r="K1" s="170"/>
      <c r="L1" s="170"/>
      <c r="M1" s="170"/>
      <c r="N1" s="170"/>
      <c r="O1" s="170"/>
      <c r="P1" s="171" t="e">
        <f>#REF!</f>
        <v>#REF!</v>
      </c>
    </row>
    <row r="2" spans="1:16" customFormat="1">
      <c r="D2" s="167"/>
      <c r="E2" s="167"/>
      <c r="F2" s="167"/>
      <c r="G2" s="167"/>
      <c r="H2" s="167"/>
      <c r="I2" s="167"/>
      <c r="J2" s="167"/>
      <c r="K2" s="167"/>
      <c r="L2" s="167"/>
      <c r="M2" s="167"/>
      <c r="N2" s="167"/>
      <c r="O2" s="167"/>
      <c r="P2" s="167"/>
    </row>
    <row r="3" spans="1:16">
      <c r="B3" s="57" t="s">
        <v>244</v>
      </c>
      <c r="C3" s="57" t="s">
        <v>245</v>
      </c>
    </row>
    <row r="4" spans="1:16">
      <c r="C4" s="47" t="s">
        <v>263</v>
      </c>
    </row>
    <row r="6" spans="1:16">
      <c r="C6" s="47" t="s">
        <v>118</v>
      </c>
      <c r="D6" s="64" t="s">
        <v>103</v>
      </c>
      <c r="E6" s="80">
        <v>2024</v>
      </c>
      <c r="F6" s="80">
        <v>2025</v>
      </c>
      <c r="G6" s="80">
        <v>2026</v>
      </c>
      <c r="H6" s="80">
        <v>2027</v>
      </c>
      <c r="I6" s="80">
        <v>2028</v>
      </c>
    </row>
    <row r="7" spans="1:16">
      <c r="C7" s="47"/>
      <c r="D7" s="63" t="s">
        <v>197</v>
      </c>
      <c r="E7" s="165">
        <v>2.6000000000000002E-2</v>
      </c>
      <c r="F7" s="165">
        <v>0.02</v>
      </c>
      <c r="G7" s="165">
        <v>1.7000000000000001E-2</v>
      </c>
      <c r="H7" s="165">
        <v>1.9E-2</v>
      </c>
      <c r="I7" s="165">
        <v>1.8000000000000002E-2</v>
      </c>
    </row>
    <row r="10" spans="1:16">
      <c r="A10" s="60" t="s">
        <v>34</v>
      </c>
      <c r="B10" t="s">
        <v>209</v>
      </c>
      <c r="C10" s="192" t="s">
        <v>138</v>
      </c>
      <c r="D10" s="78">
        <v>2023</v>
      </c>
      <c r="E10" s="78" t="s">
        <v>844</v>
      </c>
      <c r="F10" s="78" t="s">
        <v>845</v>
      </c>
      <c r="G10" s="77">
        <v>2024</v>
      </c>
      <c r="H10" s="77">
        <v>2025</v>
      </c>
      <c r="I10" s="77">
        <v>2026</v>
      </c>
      <c r="J10" s="77">
        <v>2027</v>
      </c>
      <c r="K10" s="77">
        <v>2028</v>
      </c>
      <c r="L10" s="176" t="s">
        <v>199</v>
      </c>
    </row>
    <row r="11" spans="1:16">
      <c r="C11" s="71" t="s">
        <v>246</v>
      </c>
      <c r="D11" s="137">
        <f>D52</f>
        <v>5506</v>
      </c>
      <c r="E11" s="137">
        <f t="shared" ref="E11:F11" si="0">E52</f>
        <v>0</v>
      </c>
      <c r="F11" s="137">
        <f t="shared" si="0"/>
        <v>4266</v>
      </c>
      <c r="G11" s="137">
        <f t="shared" ref="G11:K11" si="1">G52</f>
        <v>4266</v>
      </c>
      <c r="H11" s="137">
        <f t="shared" si="1"/>
        <v>2131</v>
      </c>
      <c r="I11" s="137">
        <f t="shared" si="1"/>
        <v>2174</v>
      </c>
      <c r="J11" s="137">
        <f t="shared" si="1"/>
        <v>2211</v>
      </c>
      <c r="K11" s="137">
        <f t="shared" si="1"/>
        <v>0</v>
      </c>
      <c r="L11" s="191"/>
    </row>
    <row r="12" spans="1:16">
      <c r="C12" s="71" t="s">
        <v>247</v>
      </c>
      <c r="D12" s="137">
        <f>SUM(D13:D16)</f>
        <v>1590</v>
      </c>
      <c r="E12" s="137">
        <f t="shared" ref="E12:F12" si="2">SUM(E13:E16)</f>
        <v>630</v>
      </c>
      <c r="F12" s="137">
        <f t="shared" si="2"/>
        <v>1846.85</v>
      </c>
      <c r="G12" s="137">
        <f t="shared" ref="G12:K12" si="3">SUM(G13:G16)</f>
        <v>2476.85</v>
      </c>
      <c r="H12" s="137">
        <f t="shared" si="3"/>
        <v>2325.85</v>
      </c>
      <c r="I12" s="137">
        <f t="shared" si="3"/>
        <v>2225.375</v>
      </c>
      <c r="J12" s="137">
        <f t="shared" si="3"/>
        <v>2021.125</v>
      </c>
      <c r="K12" s="137">
        <f t="shared" si="3"/>
        <v>1579.125</v>
      </c>
      <c r="L12" s="191"/>
    </row>
    <row r="13" spans="1:16">
      <c r="C13" s="73" t="s">
        <v>560</v>
      </c>
      <c r="D13" s="138">
        <f t="shared" ref="D13:F16" si="4">D30+D38</f>
        <v>269</v>
      </c>
      <c r="E13" s="138">
        <f t="shared" si="4"/>
        <v>84</v>
      </c>
      <c r="F13" s="138">
        <f t="shared" si="4"/>
        <v>279.125</v>
      </c>
      <c r="G13" s="138">
        <f t="shared" ref="G13" si="5">G30+G38</f>
        <v>363.125</v>
      </c>
      <c r="H13" s="138">
        <f>H30+H38</f>
        <v>324.75</v>
      </c>
      <c r="I13" s="138">
        <f t="shared" ref="I13:K13" si="6">I30+I38</f>
        <v>318.625</v>
      </c>
      <c r="J13" s="138">
        <f t="shared" si="6"/>
        <v>287</v>
      </c>
      <c r="K13" s="138">
        <f t="shared" si="6"/>
        <v>233</v>
      </c>
      <c r="L13" s="169"/>
    </row>
    <row r="14" spans="1:16">
      <c r="C14" s="73" t="s">
        <v>561</v>
      </c>
      <c r="D14" s="138">
        <f t="shared" si="4"/>
        <v>21</v>
      </c>
      <c r="E14" s="138">
        <f t="shared" si="4"/>
        <v>11</v>
      </c>
      <c r="F14" s="138">
        <f t="shared" si="4"/>
        <v>39.6</v>
      </c>
      <c r="G14" s="138">
        <f t="shared" ref="G14:K16" si="7">G31+G39</f>
        <v>50.6</v>
      </c>
      <c r="H14" s="138">
        <f t="shared" si="7"/>
        <v>56.6</v>
      </c>
      <c r="I14" s="138">
        <f t="shared" si="7"/>
        <v>64</v>
      </c>
      <c r="J14" s="138">
        <f t="shared" si="7"/>
        <v>85</v>
      </c>
      <c r="K14" s="138">
        <f t="shared" si="7"/>
        <v>85</v>
      </c>
      <c r="L14" s="169"/>
    </row>
    <row r="15" spans="1:16">
      <c r="C15" s="73" t="s">
        <v>121</v>
      </c>
      <c r="D15" s="138">
        <f t="shared" si="4"/>
        <v>1173</v>
      </c>
      <c r="E15" s="138">
        <f t="shared" si="4"/>
        <v>389</v>
      </c>
      <c r="F15" s="138">
        <f t="shared" si="4"/>
        <v>1317.125</v>
      </c>
      <c r="G15" s="138">
        <f t="shared" si="7"/>
        <v>1706.125</v>
      </c>
      <c r="H15" s="138">
        <f t="shared" si="7"/>
        <v>1465.5</v>
      </c>
      <c r="I15" s="138">
        <f t="shared" si="7"/>
        <v>1363.75</v>
      </c>
      <c r="J15" s="138">
        <f t="shared" si="7"/>
        <v>1170.125</v>
      </c>
      <c r="K15" s="138">
        <f t="shared" si="7"/>
        <v>909.125</v>
      </c>
      <c r="L15" s="169"/>
    </row>
    <row r="16" spans="1:16">
      <c r="C16" s="73" t="s">
        <v>562</v>
      </c>
      <c r="D16" s="138">
        <f t="shared" si="4"/>
        <v>127</v>
      </c>
      <c r="E16" s="138">
        <f t="shared" si="4"/>
        <v>146</v>
      </c>
      <c r="F16" s="138">
        <f t="shared" si="4"/>
        <v>211</v>
      </c>
      <c r="G16" s="138">
        <f t="shared" si="7"/>
        <v>357</v>
      </c>
      <c r="H16" s="138">
        <f t="shared" si="7"/>
        <v>479</v>
      </c>
      <c r="I16" s="138">
        <f t="shared" si="7"/>
        <v>479</v>
      </c>
      <c r="J16" s="138">
        <f t="shared" si="7"/>
        <v>479</v>
      </c>
      <c r="K16" s="138">
        <f t="shared" si="7"/>
        <v>352</v>
      </c>
      <c r="L16" s="169"/>
    </row>
    <row r="17" spans="1:12">
      <c r="C17" s="71" t="s">
        <v>248</v>
      </c>
      <c r="D17" s="137">
        <f>D12-D11</f>
        <v>-3916</v>
      </c>
      <c r="E17" s="137">
        <f t="shared" ref="E17:F17" si="8">E12-E11</f>
        <v>630</v>
      </c>
      <c r="F17" s="137">
        <f t="shared" si="8"/>
        <v>-2419.15</v>
      </c>
      <c r="G17" s="137">
        <f t="shared" ref="G17" si="9">G12-G11</f>
        <v>-1789.15</v>
      </c>
      <c r="H17" s="137">
        <f>H12-H11</f>
        <v>194.84999999999991</v>
      </c>
      <c r="I17" s="137">
        <f>I12-I11</f>
        <v>51.375</v>
      </c>
      <c r="J17" s="137">
        <f>J12-J11</f>
        <v>-189.875</v>
      </c>
      <c r="K17" s="137">
        <f>K12-K11</f>
        <v>1579.125</v>
      </c>
      <c r="L17" s="191"/>
    </row>
    <row r="20" spans="1:12">
      <c r="A20" s="60" t="s">
        <v>34</v>
      </c>
      <c r="B20" t="s">
        <v>242</v>
      </c>
      <c r="C20" s="193" t="s">
        <v>224</v>
      </c>
      <c r="D20" s="193" t="s">
        <v>252</v>
      </c>
      <c r="E20" s="193" t="s">
        <v>254</v>
      </c>
      <c r="F20" s="193" t="s">
        <v>255</v>
      </c>
      <c r="G20" s="193" t="s">
        <v>256</v>
      </c>
    </row>
    <row r="21" spans="1:12">
      <c r="C21" s="194" t="s">
        <v>249</v>
      </c>
      <c r="D21" s="193">
        <v>4</v>
      </c>
      <c r="E21" s="195"/>
      <c r="F21" s="195"/>
      <c r="G21" s="195">
        <f>E21/D21</f>
        <v>0</v>
      </c>
    </row>
    <row r="22" spans="1:12">
      <c r="C22" s="194" t="s">
        <v>250</v>
      </c>
      <c r="D22" s="193">
        <v>4</v>
      </c>
      <c r="E22" s="195"/>
      <c r="F22" s="195"/>
      <c r="G22" s="195">
        <f>E22/D22</f>
        <v>0</v>
      </c>
    </row>
    <row r="23" spans="1:12">
      <c r="C23" s="194" t="s">
        <v>121</v>
      </c>
      <c r="D23" s="193">
        <v>5</v>
      </c>
      <c r="E23" s="195"/>
      <c r="F23" s="195"/>
      <c r="G23" s="195">
        <f>E23/D23</f>
        <v>0</v>
      </c>
    </row>
    <row r="24" spans="1:12">
      <c r="C24" s="194" t="s">
        <v>251</v>
      </c>
      <c r="D24" s="193" t="s">
        <v>253</v>
      </c>
      <c r="E24" s="195"/>
      <c r="F24" s="195"/>
      <c r="G24" s="195"/>
      <c r="H24" s="57" t="s">
        <v>258</v>
      </c>
    </row>
    <row r="25" spans="1:12">
      <c r="C25" s="194" t="s">
        <v>120</v>
      </c>
      <c r="D25" s="193">
        <v>5</v>
      </c>
      <c r="E25" s="195"/>
      <c r="F25" s="195"/>
      <c r="G25" s="195">
        <f>E25/D25</f>
        <v>0</v>
      </c>
    </row>
    <row r="28" spans="1:12">
      <c r="C28" s="57" t="s">
        <v>259</v>
      </c>
    </row>
    <row r="29" spans="1:12">
      <c r="C29" s="192" t="s">
        <v>138</v>
      </c>
      <c r="D29" s="78">
        <v>2023</v>
      </c>
      <c r="E29" s="78" t="s">
        <v>844</v>
      </c>
      <c r="F29" s="78" t="s">
        <v>845</v>
      </c>
      <c r="G29" s="77">
        <v>2024</v>
      </c>
      <c r="H29" s="77">
        <v>2025</v>
      </c>
      <c r="I29" s="77">
        <v>2026</v>
      </c>
      <c r="J29" s="77">
        <v>2027</v>
      </c>
      <c r="K29" s="77">
        <v>2028</v>
      </c>
      <c r="L29" s="176" t="s">
        <v>199</v>
      </c>
    </row>
    <row r="30" spans="1:12">
      <c r="C30" s="53" t="s">
        <v>560</v>
      </c>
      <c r="D30" s="138">
        <f>CAPEX계획!D70</f>
        <v>269</v>
      </c>
      <c r="E30" s="138">
        <f>ROUND(감가상각집계표!I5/10^6,)</f>
        <v>84</v>
      </c>
      <c r="F30" s="138">
        <f>G30-E30</f>
        <v>229</v>
      </c>
      <c r="G30" s="138">
        <f>CAPEX계획!E70</f>
        <v>313</v>
      </c>
      <c r="H30" s="138">
        <f>CAPEX계획!F70</f>
        <v>215</v>
      </c>
      <c r="I30" s="138">
        <f>CAPEX계획!G70</f>
        <v>148</v>
      </c>
      <c r="J30" s="138">
        <f>CAPEX계획!H70</f>
        <v>54</v>
      </c>
      <c r="K30" s="138">
        <f>CAPEX계획!I70</f>
        <v>0</v>
      </c>
      <c r="L30" s="169"/>
    </row>
    <row r="31" spans="1:12">
      <c r="C31" s="53" t="s">
        <v>561</v>
      </c>
      <c r="D31" s="138">
        <f>CAPEX계획!D71</f>
        <v>21</v>
      </c>
      <c r="E31" s="138">
        <f>ROUND(감가상각집계표!I6/10^6,)</f>
        <v>11</v>
      </c>
      <c r="F31" s="138">
        <f t="shared" ref="F31:F33" si="10">G31-E31</f>
        <v>26</v>
      </c>
      <c r="G31" s="138">
        <f>CAPEX계획!E71</f>
        <v>37</v>
      </c>
      <c r="H31" s="138">
        <f>CAPEX계획!F71</f>
        <v>20</v>
      </c>
      <c r="I31" s="138">
        <f>CAPEX계획!G71</f>
        <v>4</v>
      </c>
      <c r="J31" s="138">
        <f>CAPEX계획!H71</f>
        <v>0</v>
      </c>
      <c r="K31" s="138">
        <f>CAPEX계획!I71</f>
        <v>0</v>
      </c>
      <c r="L31" s="169"/>
    </row>
    <row r="32" spans="1:12">
      <c r="C32" s="53" t="s">
        <v>121</v>
      </c>
      <c r="D32" s="138">
        <f>CAPEX계획!D72</f>
        <v>1173</v>
      </c>
      <c r="E32" s="138">
        <f>ROUND(감가상각집계표!I4/10^6,0)</f>
        <v>389</v>
      </c>
      <c r="F32" s="138">
        <f t="shared" si="10"/>
        <v>995</v>
      </c>
      <c r="G32" s="138">
        <f>CAPEX계획!E72</f>
        <v>1384</v>
      </c>
      <c r="H32" s="138">
        <f>CAPEX계획!F72</f>
        <v>951</v>
      </c>
      <c r="I32" s="138">
        <f>CAPEX계획!G72</f>
        <v>653</v>
      </c>
      <c r="J32" s="138">
        <f>CAPEX계획!H72</f>
        <v>261</v>
      </c>
      <c r="K32" s="138">
        <f>CAPEX계획!I72</f>
        <v>0</v>
      </c>
      <c r="L32" s="169"/>
    </row>
    <row r="33" spans="3:12">
      <c r="C33" s="53" t="s">
        <v>562</v>
      </c>
      <c r="D33" s="138">
        <f>CAPEX계획!D74</f>
        <v>127</v>
      </c>
      <c r="E33" s="138">
        <f>ROUND(감가상각집계표!I7/10^6,)</f>
        <v>146</v>
      </c>
      <c r="F33" s="138">
        <f t="shared" si="10"/>
        <v>89</v>
      </c>
      <c r="G33" s="138">
        <f>CAPEX계획!E74</f>
        <v>235</v>
      </c>
      <c r="H33" s="138">
        <f>CAPEX계획!F74</f>
        <v>235</v>
      </c>
      <c r="I33" s="138">
        <f>CAPEX계획!G74</f>
        <v>235</v>
      </c>
      <c r="J33" s="138">
        <f>CAPEX계획!H74</f>
        <v>235</v>
      </c>
      <c r="K33" s="138">
        <f>CAPEX계획!I74</f>
        <v>108</v>
      </c>
      <c r="L33" s="169"/>
    </row>
    <row r="34" spans="3:12">
      <c r="C34" s="190" t="s">
        <v>7</v>
      </c>
      <c r="D34" s="138">
        <f>SUM(D30:D33)</f>
        <v>1590</v>
      </c>
      <c r="E34" s="138">
        <f t="shared" ref="E34:K34" si="11">SUM(E30:E33)</f>
        <v>630</v>
      </c>
      <c r="F34" s="138">
        <f t="shared" si="11"/>
        <v>1339</v>
      </c>
      <c r="G34" s="138">
        <f t="shared" si="11"/>
        <v>1969</v>
      </c>
      <c r="H34" s="138">
        <f t="shared" si="11"/>
        <v>1421</v>
      </c>
      <c r="I34" s="138">
        <f t="shared" si="11"/>
        <v>1040</v>
      </c>
      <c r="J34" s="138">
        <f t="shared" si="11"/>
        <v>550</v>
      </c>
      <c r="K34" s="138">
        <f t="shared" si="11"/>
        <v>108</v>
      </c>
      <c r="L34" s="169"/>
    </row>
    <row r="36" spans="3:12">
      <c r="C36" s="57" t="s">
        <v>260</v>
      </c>
    </row>
    <row r="37" spans="3:12">
      <c r="C37" s="192" t="s">
        <v>138</v>
      </c>
      <c r="D37" s="78">
        <v>2023</v>
      </c>
      <c r="E37" s="78" t="s">
        <v>844</v>
      </c>
      <c r="F37" s="78" t="s">
        <v>845</v>
      </c>
      <c r="G37" s="77">
        <v>2024</v>
      </c>
      <c r="H37" s="77">
        <v>2025</v>
      </c>
      <c r="I37" s="77">
        <v>2026</v>
      </c>
      <c r="J37" s="77">
        <v>2027</v>
      </c>
      <c r="K37" s="77">
        <v>2028</v>
      </c>
      <c r="L37" s="176" t="s">
        <v>199</v>
      </c>
    </row>
    <row r="38" spans="3:12">
      <c r="C38" s="53" t="s">
        <v>560</v>
      </c>
      <c r="D38" s="138">
        <f>CAPEX계획!D81</f>
        <v>0</v>
      </c>
      <c r="E38" s="138"/>
      <c r="F38" s="138">
        <f>G38</f>
        <v>50.125</v>
      </c>
      <c r="G38" s="138">
        <f>CAPEX계획!E81</f>
        <v>50.125</v>
      </c>
      <c r="H38" s="138">
        <f>CAPEX계획!F81</f>
        <v>109.75</v>
      </c>
      <c r="I38" s="138">
        <f>CAPEX계획!G81</f>
        <v>170.625</v>
      </c>
      <c r="J38" s="138">
        <f>CAPEX계획!H81</f>
        <v>233</v>
      </c>
      <c r="K38" s="138">
        <f>CAPEX계획!I81</f>
        <v>233</v>
      </c>
      <c r="L38" s="169"/>
    </row>
    <row r="39" spans="3:12">
      <c r="C39" s="53" t="s">
        <v>561</v>
      </c>
      <c r="D39" s="138">
        <f>CAPEX계획!D82</f>
        <v>0</v>
      </c>
      <c r="E39" s="138"/>
      <c r="F39" s="138">
        <f t="shared" ref="F39:F41" si="12">G39</f>
        <v>13.6</v>
      </c>
      <c r="G39" s="138">
        <f>CAPEX계획!E82</f>
        <v>13.6</v>
      </c>
      <c r="H39" s="138">
        <f>CAPEX계획!F82</f>
        <v>36.6</v>
      </c>
      <c r="I39" s="138">
        <f>CAPEX계획!G82</f>
        <v>60</v>
      </c>
      <c r="J39" s="138">
        <f>CAPEX계획!H82</f>
        <v>85</v>
      </c>
      <c r="K39" s="138">
        <f>CAPEX계획!I82</f>
        <v>85</v>
      </c>
      <c r="L39" s="169"/>
    </row>
    <row r="40" spans="3:12">
      <c r="C40" s="53" t="s">
        <v>121</v>
      </c>
      <c r="D40" s="138">
        <f>CAPEX계획!D83</f>
        <v>0</v>
      </c>
      <c r="E40" s="138"/>
      <c r="F40" s="138">
        <f t="shared" si="12"/>
        <v>322.125</v>
      </c>
      <c r="G40" s="138">
        <f>CAPEX계획!E83</f>
        <v>322.125</v>
      </c>
      <c r="H40" s="138">
        <f>CAPEX계획!F83</f>
        <v>514.5</v>
      </c>
      <c r="I40" s="138">
        <f>CAPEX계획!G83</f>
        <v>710.75</v>
      </c>
      <c r="J40" s="138">
        <f>CAPEX계획!H83</f>
        <v>909.125</v>
      </c>
      <c r="K40" s="138">
        <f>CAPEX계획!I83</f>
        <v>909.125</v>
      </c>
      <c r="L40" s="169"/>
    </row>
    <row r="41" spans="3:12">
      <c r="C41" s="53" t="s">
        <v>562</v>
      </c>
      <c r="D41" s="138"/>
      <c r="E41" s="138"/>
      <c r="F41" s="138">
        <f t="shared" si="12"/>
        <v>122</v>
      </c>
      <c r="G41" s="138">
        <f>CAPEX계획!E85</f>
        <v>122</v>
      </c>
      <c r="H41" s="138">
        <f>CAPEX계획!F85</f>
        <v>244</v>
      </c>
      <c r="I41" s="138">
        <f>CAPEX계획!G85</f>
        <v>244</v>
      </c>
      <c r="J41" s="138">
        <f>CAPEX계획!H85</f>
        <v>244</v>
      </c>
      <c r="K41" s="138">
        <f>CAPEX계획!I85</f>
        <v>244</v>
      </c>
      <c r="L41" s="169"/>
    </row>
    <row r="42" spans="3:12">
      <c r="C42" s="190" t="s">
        <v>7</v>
      </c>
      <c r="D42" s="138"/>
      <c r="E42" s="138"/>
      <c r="F42" s="138">
        <f t="shared" ref="F42:K42" si="13">SUM(F38:F41)</f>
        <v>507.85</v>
      </c>
      <c r="G42" s="138">
        <f t="shared" si="13"/>
        <v>507.85</v>
      </c>
      <c r="H42" s="138">
        <f t="shared" si="13"/>
        <v>904.85</v>
      </c>
      <c r="I42" s="138">
        <f t="shared" si="13"/>
        <v>1185.375</v>
      </c>
      <c r="J42" s="138">
        <f t="shared" si="13"/>
        <v>1471.125</v>
      </c>
      <c r="K42" s="138">
        <f t="shared" si="13"/>
        <v>1471.125</v>
      </c>
      <c r="L42" s="169"/>
    </row>
    <row r="44" spans="3:12">
      <c r="C44" s="57" t="s">
        <v>257</v>
      </c>
    </row>
    <row r="45" spans="3:12">
      <c r="C45" s="192" t="s">
        <v>138</v>
      </c>
      <c r="D45" s="78">
        <v>2023</v>
      </c>
      <c r="E45" s="78" t="s">
        <v>844</v>
      </c>
      <c r="F45" s="78" t="s">
        <v>845</v>
      </c>
      <c r="G45" s="77">
        <v>2024</v>
      </c>
      <c r="H45" s="77">
        <v>2025</v>
      </c>
      <c r="I45" s="77">
        <v>2026</v>
      </c>
      <c r="J45" s="77">
        <v>2027</v>
      </c>
      <c r="K45" s="77">
        <v>2028</v>
      </c>
      <c r="L45" s="176" t="s">
        <v>199</v>
      </c>
    </row>
    <row r="46" spans="3:12">
      <c r="C46" s="53" t="s">
        <v>261</v>
      </c>
      <c r="D46" s="138">
        <f>SUM(D47:D49)</f>
        <v>4331</v>
      </c>
      <c r="E46" s="138">
        <f t="shared" ref="E46:F46" si="14">SUM(E47:E49)</f>
        <v>0</v>
      </c>
      <c r="F46" s="138">
        <f t="shared" si="14"/>
        <v>3046</v>
      </c>
      <c r="G46" s="138">
        <f t="shared" ref="G46:K46" si="15">SUM(G47:G49)</f>
        <v>3046</v>
      </c>
      <c r="H46" s="138">
        <f t="shared" si="15"/>
        <v>2131</v>
      </c>
      <c r="I46" s="138">
        <f t="shared" si="15"/>
        <v>2174</v>
      </c>
      <c r="J46" s="138">
        <f t="shared" si="15"/>
        <v>2211</v>
      </c>
      <c r="K46" s="138">
        <f t="shared" si="15"/>
        <v>0</v>
      </c>
      <c r="L46" s="169"/>
    </row>
    <row r="47" spans="3:12">
      <c r="C47" s="53" t="s">
        <v>560</v>
      </c>
      <c r="D47" s="138">
        <v>914</v>
      </c>
      <c r="E47" s="138"/>
      <c r="F47" s="138">
        <f>G47</f>
        <v>401</v>
      </c>
      <c r="G47" s="138">
        <v>401</v>
      </c>
      <c r="H47" s="138">
        <v>477</v>
      </c>
      <c r="I47" s="138">
        <v>487</v>
      </c>
      <c r="J47" s="138">
        <v>495</v>
      </c>
      <c r="K47" s="138"/>
      <c r="L47" s="169"/>
    </row>
    <row r="48" spans="3:12">
      <c r="C48" s="53" t="s">
        <v>561</v>
      </c>
      <c r="D48" s="138">
        <v>78</v>
      </c>
      <c r="E48" s="138"/>
      <c r="F48" s="138">
        <f t="shared" ref="F48:F51" si="16">G48</f>
        <v>68</v>
      </c>
      <c r="G48" s="138">
        <v>68</v>
      </c>
      <c r="H48" s="138">
        <v>115</v>
      </c>
      <c r="I48" s="138">
        <v>117</v>
      </c>
      <c r="J48" s="138">
        <v>119</v>
      </c>
      <c r="K48" s="138"/>
      <c r="L48" s="169"/>
    </row>
    <row r="49" spans="3:12">
      <c r="C49" s="53" t="s">
        <v>121</v>
      </c>
      <c r="D49" s="138">
        <v>3339</v>
      </c>
      <c r="E49" s="138"/>
      <c r="F49" s="138">
        <f t="shared" si="16"/>
        <v>2577</v>
      </c>
      <c r="G49" s="138">
        <v>2577</v>
      </c>
      <c r="H49" s="138">
        <v>1539</v>
      </c>
      <c r="I49" s="138">
        <v>1570</v>
      </c>
      <c r="J49" s="138">
        <v>1597</v>
      </c>
      <c r="K49" s="138"/>
      <c r="L49" s="169"/>
    </row>
    <row r="50" spans="3:12">
      <c r="C50" s="53" t="s">
        <v>262</v>
      </c>
      <c r="D50" s="138">
        <f>D51</f>
        <v>1175</v>
      </c>
      <c r="E50" s="138"/>
      <c r="F50" s="138">
        <f t="shared" ref="F50" si="17">F51</f>
        <v>1220</v>
      </c>
      <c r="G50" s="138">
        <f t="shared" ref="G50:K50" si="18">G51</f>
        <v>1220</v>
      </c>
      <c r="H50" s="138">
        <f t="shared" si="18"/>
        <v>0</v>
      </c>
      <c r="I50" s="138">
        <f t="shared" si="18"/>
        <v>0</v>
      </c>
      <c r="J50" s="138">
        <f t="shared" si="18"/>
        <v>0</v>
      </c>
      <c r="K50" s="138">
        <f t="shared" si="18"/>
        <v>0</v>
      </c>
      <c r="L50" s="169"/>
    </row>
    <row r="51" spans="3:12">
      <c r="C51" s="53" t="s">
        <v>562</v>
      </c>
      <c r="D51" s="138">
        <v>1175</v>
      </c>
      <c r="E51" s="138"/>
      <c r="F51" s="138">
        <f t="shared" si="16"/>
        <v>1220</v>
      </c>
      <c r="G51" s="138">
        <v>1220</v>
      </c>
      <c r="H51" s="138">
        <v>0</v>
      </c>
      <c r="I51" s="138">
        <v>0</v>
      </c>
      <c r="J51" s="138">
        <v>0</v>
      </c>
      <c r="K51" s="138"/>
      <c r="L51" s="169"/>
    </row>
    <row r="52" spans="3:12">
      <c r="C52" s="190" t="s">
        <v>548</v>
      </c>
      <c r="D52" s="138">
        <f>D46+D50</f>
        <v>5506</v>
      </c>
      <c r="E52" s="138">
        <f>E46+E50</f>
        <v>0</v>
      </c>
      <c r="F52" s="138">
        <f>F46+F50</f>
        <v>4266</v>
      </c>
      <c r="G52" s="138">
        <f t="shared" ref="G52:J52" si="19">G46+G50</f>
        <v>4266</v>
      </c>
      <c r="H52" s="138">
        <f t="shared" si="19"/>
        <v>2131</v>
      </c>
      <c r="I52" s="138">
        <f t="shared" si="19"/>
        <v>2174</v>
      </c>
      <c r="J52" s="138">
        <f t="shared" si="19"/>
        <v>2211</v>
      </c>
      <c r="K52" s="138">
        <f>SUM(K47:K51)</f>
        <v>0</v>
      </c>
      <c r="L52" s="169"/>
    </row>
  </sheetData>
  <phoneticPr fontId="9" type="noConversion"/>
  <pageMargins left="0.7" right="0.7" top="0.75" bottom="0.75" header="0.3" footer="0.3"/>
  <extLst>
    <ext xmlns:x14="http://schemas.microsoft.com/office/spreadsheetml/2009/9/main" uri="{05C60535-1F16-4fd2-B633-F4F36F0B64E0}">
      <x14:sparklineGroups xmlns:xm="http://schemas.microsoft.com/office/excel/2006/main">
        <x14:sparklineGroup manualMax="0" manualMin="0" type="column" displayEmptyCellsAs="gap" high="1" low="1" first="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CAPEX!G47:K47</xm:f>
              <xm:sqref>L47</xm:sqref>
            </x14:sparkline>
            <x14:sparkline>
              <xm:f>CAPEX!G48:K48</xm:f>
              <xm:sqref>L48</xm:sqref>
            </x14:sparkline>
            <x14:sparkline>
              <xm:f>CAPEX!G49:K49</xm:f>
              <xm:sqref>L49</xm:sqref>
            </x14:sparkline>
            <x14:sparkline>
              <xm:f>CAPEX!G50:K50</xm:f>
              <xm:sqref>L50</xm:sqref>
            </x14:sparkline>
            <x14:sparkline>
              <xm:f>CAPEX!G51:K51</xm:f>
              <xm:sqref>L51</xm:sqref>
            </x14:sparkline>
            <x14:sparkline>
              <xm:f>CAPEX!G52:K52</xm:f>
              <xm:sqref>L52</xm:sqref>
            </x14:sparkline>
          </x14:sparklines>
        </x14:sparklineGroup>
        <x14:sparklineGroup manualMax="0" manualMin="0" type="column" displayEmptyCellsAs="gap" high="1" low="1" first="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CAPEX!G11:K11</xm:f>
              <xm:sqref>L11</xm:sqref>
            </x14:sparkline>
          </x14:sparklines>
        </x14:sparklineGroup>
        <x14:sparklineGroup manualMax="0" manualMin="0" type="column" displayEmptyCellsAs="gap" high="1" low="1" first="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CAPEX!G12:K12</xm:f>
              <xm:sqref>L12</xm:sqref>
            </x14:sparkline>
            <x14:sparkline>
              <xm:f>CAPEX!G13:K13</xm:f>
              <xm:sqref>L13</xm:sqref>
            </x14:sparkline>
            <x14:sparkline>
              <xm:f>CAPEX!G14:K14</xm:f>
              <xm:sqref>L14</xm:sqref>
            </x14:sparkline>
            <x14:sparkline>
              <xm:f>CAPEX!G15:K15</xm:f>
              <xm:sqref>L15</xm:sqref>
            </x14:sparkline>
            <x14:sparkline>
              <xm:f>CAPEX!G16:K16</xm:f>
              <xm:sqref>L16</xm:sqref>
            </x14:sparkline>
          </x14:sparklines>
        </x14:sparklineGroup>
        <x14:sparklineGroup manualMax="0" manualMin="0" type="column" displayEmptyCellsAs="gap" high="1" low="1" first="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CAPEX!G17:K17</xm:f>
              <xm:sqref>L17</xm:sqref>
            </x14:sparkline>
          </x14:sparklines>
        </x14:sparklineGroup>
        <x14:sparklineGroup manualMax="0" manualMin="0" type="column" displayEmptyCellsAs="gap" high="1" low="1" first="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CAPEX!G30:K30</xm:f>
              <xm:sqref>L30</xm:sqref>
            </x14:sparkline>
            <x14:sparkline>
              <xm:f>CAPEX!G31:K31</xm:f>
              <xm:sqref>L31</xm:sqref>
            </x14:sparkline>
            <x14:sparkline>
              <xm:f>CAPEX!G32:K32</xm:f>
              <xm:sqref>L32</xm:sqref>
            </x14:sparkline>
            <x14:sparkline>
              <xm:f>CAPEX!G33:K33</xm:f>
              <xm:sqref>L33</xm:sqref>
            </x14:sparkline>
            <x14:sparkline>
              <xm:f>CAPEX!G34:K34</xm:f>
              <xm:sqref>L34</xm:sqref>
            </x14:sparkline>
          </x14:sparklines>
        </x14:sparklineGroup>
        <x14:sparklineGroup manualMax="0" manualMin="0" type="column" displayEmptyCellsAs="gap" high="1" low="1" first="1" displayHidden="1">
          <x14:colorSeries theme="9" tint="0.59999389629810485"/>
          <x14:colorNegative rgb="FFD00000"/>
          <x14:colorAxis rgb="FF000000"/>
          <x14:colorMarkers rgb="FFD00000"/>
          <x14:colorFirst theme="4" tint="0.39997558519241921"/>
          <x14:colorLast rgb="FFD00000"/>
          <x14:colorHigh rgb="FFFF0000"/>
          <x14:colorLow theme="1"/>
          <x14:sparklines>
            <x14:sparkline>
              <xm:f>CAPEX!G38:K38</xm:f>
              <xm:sqref>L38</xm:sqref>
            </x14:sparkline>
            <x14:sparkline>
              <xm:f>CAPEX!G39:K39</xm:f>
              <xm:sqref>L39</xm:sqref>
            </x14:sparkline>
            <x14:sparkline>
              <xm:f>CAPEX!G40:K40</xm:f>
              <xm:sqref>L40</xm:sqref>
            </x14:sparkline>
            <x14:sparkline>
              <xm:f>CAPEX!G41:K41</xm:f>
              <xm:sqref>L41</xm:sqref>
            </x14:sparkline>
            <x14:sparkline>
              <xm:f>CAPEX!G42:K42</xm:f>
              <xm:sqref>L42</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W525"/>
  <sheetViews>
    <sheetView topLeftCell="A493" workbookViewId="0">
      <selection activeCell="J523" sqref="J523"/>
    </sheetView>
  </sheetViews>
  <sheetFormatPr defaultRowHeight="13.5"/>
  <cols>
    <col min="3" max="3" width="9.85546875" customWidth="1"/>
    <col min="4" max="4" width="14.140625" bestFit="1" customWidth="1"/>
    <col min="5" max="5" width="9.140625" bestFit="1" customWidth="1"/>
    <col min="6" max="6" width="9.5703125" bestFit="1" customWidth="1"/>
    <col min="8" max="8" width="9.140625" bestFit="1" customWidth="1"/>
    <col min="10" max="10" width="11.140625" bestFit="1" customWidth="1"/>
    <col min="11" max="11" width="12.28515625" bestFit="1" customWidth="1"/>
    <col min="12" max="13" width="11.140625" bestFit="1" customWidth="1"/>
    <col min="16" max="18" width="9.5703125" bestFit="1" customWidth="1"/>
  </cols>
  <sheetData>
    <row r="2" spans="3:23">
      <c r="C2" s="201" t="s">
        <v>406</v>
      </c>
      <c r="I2" s="168" t="s">
        <v>407</v>
      </c>
    </row>
    <row r="3" spans="3:23">
      <c r="C3" s="337" t="s">
        <v>3</v>
      </c>
      <c r="D3" s="197" t="s">
        <v>276</v>
      </c>
      <c r="E3" s="199" t="s">
        <v>242</v>
      </c>
      <c r="F3" s="199"/>
      <c r="G3" s="199"/>
      <c r="H3" s="199"/>
      <c r="I3" s="199"/>
      <c r="K3" s="336"/>
      <c r="L3" s="201"/>
      <c r="M3" s="282"/>
      <c r="N3" s="282"/>
      <c r="O3" s="282"/>
      <c r="P3" s="282"/>
      <c r="Q3" s="282"/>
    </row>
    <row r="4" spans="3:23">
      <c r="C4" s="338"/>
      <c r="D4" s="197" t="s">
        <v>111</v>
      </c>
      <c r="E4" s="197" t="s">
        <v>200</v>
      </c>
      <c r="F4" s="197" t="s">
        <v>148</v>
      </c>
      <c r="G4" s="197" t="s">
        <v>149</v>
      </c>
      <c r="H4" s="197" t="s">
        <v>150</v>
      </c>
      <c r="I4" s="197" t="s">
        <v>207</v>
      </c>
      <c r="K4" s="336"/>
      <c r="L4" s="201"/>
      <c r="M4" s="201"/>
      <c r="N4" s="201"/>
      <c r="O4" s="201"/>
      <c r="P4" s="201"/>
      <c r="Q4" s="201"/>
    </row>
    <row r="5" spans="3:23">
      <c r="C5" s="197" t="s">
        <v>394</v>
      </c>
      <c r="D5" s="198">
        <f t="shared" ref="D5:I8" si="0">ROUND(D31*D16/10^6,0)</f>
        <v>4363</v>
      </c>
      <c r="E5" s="198">
        <f t="shared" si="0"/>
        <v>3427</v>
      </c>
      <c r="F5" s="198">
        <f>ROUND(F31*F16/10^6,0)</f>
        <v>3537</v>
      </c>
      <c r="G5" s="198">
        <f t="shared" si="0"/>
        <v>3675</v>
      </c>
      <c r="H5" s="198">
        <f t="shared" si="0"/>
        <v>3803</v>
      </c>
      <c r="I5" s="198">
        <f t="shared" si="0"/>
        <v>3937</v>
      </c>
      <c r="K5" s="201"/>
    </row>
    <row r="6" spans="3:23">
      <c r="C6" s="197" t="s">
        <v>395</v>
      </c>
      <c r="D6" s="198">
        <f t="shared" si="0"/>
        <v>1098</v>
      </c>
      <c r="E6" s="198">
        <f t="shared" si="0"/>
        <v>885</v>
      </c>
      <c r="F6" s="198">
        <f t="shared" si="0"/>
        <v>913</v>
      </c>
      <c r="G6" s="198">
        <f t="shared" si="0"/>
        <v>949</v>
      </c>
      <c r="H6" s="198">
        <f t="shared" si="0"/>
        <v>982</v>
      </c>
      <c r="I6" s="198">
        <f t="shared" si="0"/>
        <v>1017</v>
      </c>
      <c r="K6" s="201"/>
    </row>
    <row r="7" spans="3:23">
      <c r="C7" s="197" t="s">
        <v>396</v>
      </c>
      <c r="D7" s="198">
        <f t="shared" si="0"/>
        <v>696</v>
      </c>
      <c r="E7" s="198">
        <f t="shared" si="0"/>
        <v>302</v>
      </c>
      <c r="F7" s="198">
        <f t="shared" si="0"/>
        <v>312</v>
      </c>
      <c r="G7" s="198">
        <f t="shared" si="0"/>
        <v>324</v>
      </c>
      <c r="H7" s="198">
        <f t="shared" si="0"/>
        <v>336</v>
      </c>
      <c r="I7" s="198">
        <f t="shared" si="0"/>
        <v>347</v>
      </c>
      <c r="K7" s="201"/>
    </row>
    <row r="8" spans="3:23">
      <c r="C8" s="197" t="s">
        <v>397</v>
      </c>
      <c r="D8" s="198">
        <f t="shared" si="0"/>
        <v>396</v>
      </c>
      <c r="E8" s="198">
        <f t="shared" si="0"/>
        <v>327</v>
      </c>
      <c r="F8" s="198">
        <f t="shared" si="0"/>
        <v>337</v>
      </c>
      <c r="G8" s="198">
        <f t="shared" si="0"/>
        <v>350</v>
      </c>
      <c r="H8" s="198">
        <f t="shared" si="0"/>
        <v>362</v>
      </c>
      <c r="I8" s="198">
        <f t="shared" si="0"/>
        <v>375</v>
      </c>
      <c r="K8" s="201"/>
    </row>
    <row r="9" spans="3:23">
      <c r="C9" s="197" t="s">
        <v>408</v>
      </c>
      <c r="D9" s="200">
        <f>SUM(D5:D8)</f>
        <v>6553</v>
      </c>
      <c r="E9" s="200">
        <f t="shared" ref="E9:I9" si="1">SUM(E5:E8)</f>
        <v>4941</v>
      </c>
      <c r="F9" s="200">
        <f t="shared" si="1"/>
        <v>5099</v>
      </c>
      <c r="G9" s="200">
        <f t="shared" si="1"/>
        <v>5298</v>
      </c>
      <c r="H9" s="200">
        <f t="shared" si="1"/>
        <v>5483</v>
      </c>
      <c r="I9" s="200">
        <f t="shared" si="1"/>
        <v>5676</v>
      </c>
      <c r="K9" s="201"/>
      <c r="R9" s="205"/>
      <c r="S9" s="205"/>
      <c r="T9" s="205"/>
      <c r="U9" s="205"/>
      <c r="V9" s="205"/>
      <c r="W9" s="205"/>
    </row>
    <row r="11" spans="3:23">
      <c r="C11" t="s">
        <v>403</v>
      </c>
    </row>
    <row r="12" spans="3:23">
      <c r="C12" t="s">
        <v>405</v>
      </c>
    </row>
    <row r="14" spans="3:23">
      <c r="C14" s="337" t="s">
        <v>403</v>
      </c>
      <c r="D14" s="197" t="s">
        <v>276</v>
      </c>
      <c r="E14" s="199" t="s">
        <v>242</v>
      </c>
      <c r="F14" s="199"/>
      <c r="G14" s="199"/>
      <c r="H14" s="199"/>
      <c r="I14" s="199"/>
      <c r="K14" s="336"/>
      <c r="L14" s="201"/>
      <c r="M14" s="282"/>
      <c r="N14" s="282"/>
      <c r="O14" s="282"/>
      <c r="P14" s="282"/>
      <c r="Q14" s="282"/>
    </row>
    <row r="15" spans="3:23">
      <c r="C15" s="338"/>
      <c r="D15" s="197" t="s">
        <v>111</v>
      </c>
      <c r="E15" s="197" t="s">
        <v>200</v>
      </c>
      <c r="F15" s="197" t="s">
        <v>148</v>
      </c>
      <c r="G15" s="197" t="s">
        <v>149</v>
      </c>
      <c r="H15" s="197" t="s">
        <v>150</v>
      </c>
      <c r="I15" s="197" t="s">
        <v>207</v>
      </c>
      <c r="K15" s="336"/>
      <c r="L15" s="201"/>
      <c r="M15" s="201"/>
      <c r="N15" s="201"/>
      <c r="O15" s="201"/>
      <c r="P15" s="201" t="s">
        <v>815</v>
      </c>
      <c r="Q15" s="201" t="s">
        <v>816</v>
      </c>
      <c r="R15" s="201" t="s">
        <v>817</v>
      </c>
      <c r="S15" s="201"/>
      <c r="T15" s="201"/>
      <c r="U15" s="201"/>
      <c r="V15" s="201"/>
    </row>
    <row r="16" spans="3:23">
      <c r="C16" s="197" t="s">
        <v>394</v>
      </c>
      <c r="D16" s="198">
        <v>145786</v>
      </c>
      <c r="E16" s="198">
        <v>114528</v>
      </c>
      <c r="F16" s="198">
        <f>E16</f>
        <v>114528</v>
      </c>
      <c r="G16" s="198">
        <f t="shared" ref="G16:G19" si="2">F16</f>
        <v>114528</v>
      </c>
      <c r="H16" s="198">
        <f t="shared" ref="H16:H19" si="3">G16</f>
        <v>114528</v>
      </c>
      <c r="I16" s="198">
        <f t="shared" ref="I16:I19" si="4">H16</f>
        <v>114528</v>
      </c>
      <c r="O16" t="s">
        <v>394</v>
      </c>
      <c r="P16" s="202">
        <f>D230*12</f>
        <v>218484</v>
      </c>
      <c r="Q16" s="205">
        <f>M230</f>
        <v>145788</v>
      </c>
      <c r="R16" s="202">
        <v>145786</v>
      </c>
      <c r="S16" s="205"/>
    </row>
    <row r="17" spans="3:20">
      <c r="C17" s="197" t="s">
        <v>395</v>
      </c>
      <c r="D17" s="198">
        <v>83252</v>
      </c>
      <c r="E17" s="198">
        <v>67088</v>
      </c>
      <c r="F17" s="198">
        <f t="shared" ref="F17:F19" si="5">E17</f>
        <v>67088</v>
      </c>
      <c r="G17" s="198">
        <f t="shared" si="2"/>
        <v>67088</v>
      </c>
      <c r="H17" s="198">
        <f t="shared" si="3"/>
        <v>67088</v>
      </c>
      <c r="I17" s="198">
        <f t="shared" si="4"/>
        <v>67088</v>
      </c>
      <c r="K17" s="201"/>
      <c r="O17" t="s">
        <v>395</v>
      </c>
      <c r="P17" s="202">
        <f>D231*12</f>
        <v>125160</v>
      </c>
      <c r="Q17" s="205">
        <f t="shared" ref="Q17:Q19" si="6">M231</f>
        <v>83256</v>
      </c>
      <c r="R17" s="202">
        <v>83252</v>
      </c>
      <c r="S17" s="205"/>
    </row>
    <row r="18" spans="3:20">
      <c r="C18" s="197" t="s">
        <v>396</v>
      </c>
      <c r="D18" s="198">
        <v>101802</v>
      </c>
      <c r="E18" s="198">
        <v>44252</v>
      </c>
      <c r="F18" s="198">
        <f t="shared" si="5"/>
        <v>44252</v>
      </c>
      <c r="G18" s="198">
        <f t="shared" si="2"/>
        <v>44252</v>
      </c>
      <c r="H18" s="198">
        <f t="shared" si="3"/>
        <v>44252</v>
      </c>
      <c r="I18" s="198">
        <f t="shared" si="4"/>
        <v>44252</v>
      </c>
      <c r="K18" s="201"/>
      <c r="O18" t="s">
        <v>396</v>
      </c>
      <c r="P18" s="202">
        <f>D232*12</f>
        <v>166476</v>
      </c>
      <c r="Q18" s="205">
        <f t="shared" si="6"/>
        <v>101856</v>
      </c>
      <c r="R18" s="202">
        <v>101802</v>
      </c>
      <c r="S18" s="205"/>
    </row>
    <row r="19" spans="3:20">
      <c r="C19" s="197" t="s">
        <v>397</v>
      </c>
      <c r="D19" s="198">
        <v>37426</v>
      </c>
      <c r="E19" s="198">
        <v>30872</v>
      </c>
      <c r="F19" s="198">
        <f t="shared" si="5"/>
        <v>30872</v>
      </c>
      <c r="G19" s="198">
        <f t="shared" si="2"/>
        <v>30872</v>
      </c>
      <c r="H19" s="198">
        <f t="shared" si="3"/>
        <v>30872</v>
      </c>
      <c r="I19" s="198">
        <f t="shared" si="4"/>
        <v>30872</v>
      </c>
      <c r="K19" s="201"/>
      <c r="O19" t="s">
        <v>397</v>
      </c>
      <c r="P19" s="202">
        <f>D233*12</f>
        <v>31704</v>
      </c>
      <c r="Q19" s="205">
        <f t="shared" si="6"/>
        <v>37416</v>
      </c>
      <c r="R19" s="202">
        <v>37426</v>
      </c>
      <c r="S19" s="205"/>
    </row>
    <row r="20" spans="3:20">
      <c r="C20" s="197" t="s">
        <v>398</v>
      </c>
      <c r="D20" s="200">
        <f>SUM(D16:D19)</f>
        <v>368266</v>
      </c>
      <c r="E20" s="200">
        <f t="shared" ref="E20:I20" si="7">SUM(E16:E19)</f>
        <v>256740</v>
      </c>
      <c r="F20" s="200">
        <f t="shared" si="7"/>
        <v>256740</v>
      </c>
      <c r="G20" s="200">
        <f t="shared" si="7"/>
        <v>256740</v>
      </c>
      <c r="H20" s="200">
        <f t="shared" si="7"/>
        <v>256740</v>
      </c>
      <c r="I20" s="200">
        <f t="shared" si="7"/>
        <v>256740</v>
      </c>
      <c r="K20" s="201"/>
      <c r="P20" s="205">
        <f>SUM(P16:P19)</f>
        <v>541824</v>
      </c>
      <c r="Q20" s="205">
        <f t="shared" ref="Q20:R20" si="8">SUM(Q16:Q19)</f>
        <v>368316</v>
      </c>
      <c r="R20" s="205">
        <f t="shared" si="8"/>
        <v>368266</v>
      </c>
      <c r="S20" s="196">
        <f>Q20/P20-1</f>
        <v>-0.32022944720056701</v>
      </c>
      <c r="T20" s="196">
        <f>R20/Q20-1</f>
        <v>-1.3575299471102475E-4</v>
      </c>
    </row>
    <row r="22" spans="3:20">
      <c r="C22" t="s">
        <v>399</v>
      </c>
    </row>
    <row r="24" spans="3:20">
      <c r="C24" t="s">
        <v>400</v>
      </c>
    </row>
    <row r="25" spans="3:20">
      <c r="C25" t="s">
        <v>401</v>
      </c>
    </row>
    <row r="27" spans="3:20">
      <c r="E27" s="196">
        <f>E31/D31-1</f>
        <v>0</v>
      </c>
      <c r="F27" s="196">
        <v>3.2000000000000001E-2</v>
      </c>
      <c r="G27" s="196">
        <v>3.9E-2</v>
      </c>
      <c r="H27" s="196">
        <v>3.5000000000000003E-2</v>
      </c>
      <c r="I27" s="196">
        <v>3.5000000000000003E-2</v>
      </c>
    </row>
    <row r="28" spans="3:20">
      <c r="I28" t="s">
        <v>402</v>
      </c>
    </row>
    <row r="29" spans="3:20">
      <c r="C29" s="337" t="s">
        <v>399</v>
      </c>
      <c r="D29" s="197" t="s">
        <v>276</v>
      </c>
      <c r="E29" s="199" t="s">
        <v>242</v>
      </c>
      <c r="F29" s="199"/>
      <c r="G29" s="199"/>
      <c r="H29" s="199"/>
      <c r="I29" s="199"/>
    </row>
    <row r="30" spans="3:20">
      <c r="C30" s="338"/>
      <c r="D30" s="197" t="s">
        <v>111</v>
      </c>
      <c r="E30" s="197" t="s">
        <v>200</v>
      </c>
      <c r="F30" s="197" t="s">
        <v>148</v>
      </c>
      <c r="G30" s="197" t="s">
        <v>149</v>
      </c>
      <c r="H30" s="197" t="s">
        <v>150</v>
      </c>
      <c r="I30" s="197" t="s">
        <v>207</v>
      </c>
      <c r="L30" s="201"/>
      <c r="M30" s="201"/>
      <c r="N30" s="201"/>
      <c r="O30" s="201"/>
      <c r="P30" s="201"/>
      <c r="Q30" s="201"/>
    </row>
    <row r="31" spans="3:20">
      <c r="C31" s="197" t="s">
        <v>394</v>
      </c>
      <c r="D31" s="198">
        <v>29925</v>
      </c>
      <c r="E31" s="198">
        <f>D31</f>
        <v>29925</v>
      </c>
      <c r="F31" s="198">
        <f>E31*(1+$F$27)</f>
        <v>30882.600000000002</v>
      </c>
      <c r="G31" s="198">
        <f>F31*(1+$G$27)</f>
        <v>32087.021400000001</v>
      </c>
      <c r="H31" s="198">
        <f>G31*(1+$H$27)</f>
        <v>33210.067149000002</v>
      </c>
      <c r="I31" s="198">
        <f>H31*(1+$I$27)</f>
        <v>34372.419499215001</v>
      </c>
    </row>
    <row r="32" spans="3:20">
      <c r="C32" s="197" t="s">
        <v>395</v>
      </c>
      <c r="D32" s="198">
        <v>13193</v>
      </c>
      <c r="E32" s="198">
        <f t="shared" ref="E32:E34" si="9">D32</f>
        <v>13193</v>
      </c>
      <c r="F32" s="198">
        <f>E32*(1+$F$27)</f>
        <v>13615.175999999999</v>
      </c>
      <c r="G32" s="198">
        <f>F32*(1+$G$27)</f>
        <v>14146.167863999999</v>
      </c>
      <c r="H32" s="198">
        <f>G32*(1+$H$27)</f>
        <v>14641.283739239998</v>
      </c>
      <c r="I32" s="198">
        <f>H32*(1+$I$27)</f>
        <v>15153.728670113396</v>
      </c>
    </row>
    <row r="33" spans="3:9">
      <c r="C33" s="197" t="s">
        <v>396</v>
      </c>
      <c r="D33" s="198">
        <v>6833</v>
      </c>
      <c r="E33" s="198">
        <f t="shared" si="9"/>
        <v>6833</v>
      </c>
      <c r="F33" s="198">
        <f>E33*(1+$F$27)</f>
        <v>7051.6559999999999</v>
      </c>
      <c r="G33" s="198">
        <f>F33*(1+$G$27)</f>
        <v>7326.6705839999995</v>
      </c>
      <c r="H33" s="198">
        <f>G33*(1+$H$27)</f>
        <v>7583.1040544399993</v>
      </c>
      <c r="I33" s="198">
        <f>H33*(1+$I$27)</f>
        <v>7848.5126963453986</v>
      </c>
    </row>
    <row r="34" spans="3:9">
      <c r="C34" s="197" t="s">
        <v>397</v>
      </c>
      <c r="D34" s="198">
        <v>10576</v>
      </c>
      <c r="E34" s="198">
        <f t="shared" si="9"/>
        <v>10576</v>
      </c>
      <c r="F34" s="198">
        <f>E34*(1+$F$27)</f>
        <v>10914.432000000001</v>
      </c>
      <c r="G34" s="198">
        <f>F34*(1+$G$27)</f>
        <v>11340.094848000001</v>
      </c>
      <c r="H34" s="198">
        <f>G34*(1+$H$27)</f>
        <v>11736.99816768</v>
      </c>
      <c r="I34" s="198">
        <f>H34*(1+$I$27)</f>
        <v>12147.793103548798</v>
      </c>
    </row>
    <row r="36" spans="3:9">
      <c r="C36" s="201" t="s">
        <v>409</v>
      </c>
    </row>
    <row r="38" spans="3:9">
      <c r="C38" s="201" t="s">
        <v>410</v>
      </c>
      <c r="I38" s="168" t="s">
        <v>407</v>
      </c>
    </row>
    <row r="39" spans="3:9">
      <c r="C39" s="337" t="s">
        <v>3</v>
      </c>
      <c r="D39" s="197" t="s">
        <v>276</v>
      </c>
      <c r="E39" s="199" t="s">
        <v>242</v>
      </c>
      <c r="F39" s="199"/>
      <c r="G39" s="199"/>
      <c r="H39" s="199"/>
      <c r="I39" s="199"/>
    </row>
    <row r="40" spans="3:9">
      <c r="C40" s="338"/>
      <c r="D40" s="197" t="s">
        <v>111</v>
      </c>
      <c r="E40" s="197" t="s">
        <v>200</v>
      </c>
      <c r="F40" s="197" t="s">
        <v>148</v>
      </c>
      <c r="G40" s="197" t="s">
        <v>149</v>
      </c>
      <c r="H40" s="197" t="s">
        <v>150</v>
      </c>
      <c r="I40" s="197" t="s">
        <v>207</v>
      </c>
    </row>
    <row r="41" spans="3:9">
      <c r="C41" s="197" t="s">
        <v>394</v>
      </c>
      <c r="D41" s="198">
        <f t="shared" ref="D41:I45" si="10">ROUND(D71*D54/10^6,0)</f>
        <v>797</v>
      </c>
      <c r="E41" s="198">
        <f t="shared" si="10"/>
        <v>803</v>
      </c>
      <c r="F41" s="198">
        <f t="shared" si="10"/>
        <v>829</v>
      </c>
      <c r="G41" s="198">
        <f t="shared" si="10"/>
        <v>861</v>
      </c>
      <c r="H41" s="198">
        <f t="shared" si="10"/>
        <v>891</v>
      </c>
      <c r="I41" s="198">
        <f t="shared" si="10"/>
        <v>923</v>
      </c>
    </row>
    <row r="42" spans="3:9">
      <c r="C42" s="197" t="s">
        <v>413</v>
      </c>
      <c r="D42" s="198">
        <f t="shared" si="10"/>
        <v>1364</v>
      </c>
      <c r="E42" s="198">
        <f t="shared" si="10"/>
        <v>1304</v>
      </c>
      <c r="F42" s="198">
        <f t="shared" si="10"/>
        <v>1346</v>
      </c>
      <c r="G42" s="198">
        <f t="shared" si="10"/>
        <v>1399</v>
      </c>
      <c r="H42" s="198">
        <f t="shared" si="10"/>
        <v>1448</v>
      </c>
      <c r="I42" s="198">
        <f t="shared" si="10"/>
        <v>1498</v>
      </c>
    </row>
    <row r="43" spans="3:9">
      <c r="C43" s="197" t="s">
        <v>395</v>
      </c>
      <c r="D43" s="198">
        <f t="shared" si="10"/>
        <v>173</v>
      </c>
      <c r="E43" s="198">
        <f t="shared" si="10"/>
        <v>157</v>
      </c>
      <c r="F43" s="198">
        <f t="shared" si="10"/>
        <v>162</v>
      </c>
      <c r="G43" s="198">
        <f t="shared" si="10"/>
        <v>168</v>
      </c>
      <c r="H43" s="198">
        <f t="shared" si="10"/>
        <v>174</v>
      </c>
      <c r="I43" s="198">
        <f t="shared" si="10"/>
        <v>180</v>
      </c>
    </row>
    <row r="44" spans="3:9">
      <c r="C44" s="197" t="s">
        <v>396</v>
      </c>
      <c r="D44" s="198">
        <f t="shared" si="10"/>
        <v>93</v>
      </c>
      <c r="E44" s="198">
        <f t="shared" si="10"/>
        <v>90</v>
      </c>
      <c r="F44" s="198">
        <f t="shared" si="10"/>
        <v>93</v>
      </c>
      <c r="G44" s="198">
        <f t="shared" si="10"/>
        <v>97</v>
      </c>
      <c r="H44" s="198">
        <f t="shared" si="10"/>
        <v>100</v>
      </c>
      <c r="I44" s="198">
        <f t="shared" si="10"/>
        <v>103</v>
      </c>
    </row>
    <row r="45" spans="3:9">
      <c r="C45" s="197" t="s">
        <v>397</v>
      </c>
      <c r="D45" s="198">
        <f t="shared" si="10"/>
        <v>67</v>
      </c>
      <c r="E45" s="198">
        <f t="shared" si="10"/>
        <v>72</v>
      </c>
      <c r="F45" s="198">
        <f t="shared" si="10"/>
        <v>74</v>
      </c>
      <c r="G45" s="198">
        <f t="shared" si="10"/>
        <v>77</v>
      </c>
      <c r="H45" s="198">
        <f t="shared" si="10"/>
        <v>79</v>
      </c>
      <c r="I45" s="198">
        <f t="shared" si="10"/>
        <v>82</v>
      </c>
    </row>
    <row r="46" spans="3:9">
      <c r="C46" s="197" t="s">
        <v>408</v>
      </c>
      <c r="D46" s="200">
        <f>SUM(D41:D45)</f>
        <v>2494</v>
      </c>
      <c r="E46" s="200">
        <f t="shared" ref="E46" si="11">SUM(E41:E45)</f>
        <v>2426</v>
      </c>
      <c r="F46" s="200">
        <f t="shared" ref="F46" si="12">SUM(F41:F45)</f>
        <v>2504</v>
      </c>
      <c r="G46" s="200">
        <f t="shared" ref="G46" si="13">SUM(G41:G45)</f>
        <v>2602</v>
      </c>
      <c r="H46" s="200">
        <f t="shared" ref="H46" si="14">SUM(H41:H45)</f>
        <v>2692</v>
      </c>
      <c r="I46" s="200">
        <f t="shared" ref="I46" si="15">SUM(I41:I45)</f>
        <v>2786</v>
      </c>
    </row>
    <row r="49" spans="3:13">
      <c r="C49" t="s">
        <v>403</v>
      </c>
    </row>
    <row r="50" spans="3:13">
      <c r="C50" t="s">
        <v>412</v>
      </c>
    </row>
    <row r="52" spans="3:13">
      <c r="C52" s="337" t="s">
        <v>403</v>
      </c>
      <c r="D52" s="197" t="s">
        <v>276</v>
      </c>
      <c r="E52" s="199" t="s">
        <v>242</v>
      </c>
      <c r="F52" s="199"/>
      <c r="G52" s="199"/>
      <c r="H52" s="199"/>
      <c r="I52" s="199"/>
    </row>
    <row r="53" spans="3:13">
      <c r="C53" s="338"/>
      <c r="D53" s="197" t="s">
        <v>111</v>
      </c>
      <c r="E53" s="197" t="s">
        <v>200</v>
      </c>
      <c r="F53" s="197" t="s">
        <v>148</v>
      </c>
      <c r="G53" s="197" t="s">
        <v>149</v>
      </c>
      <c r="H53" s="197" t="s">
        <v>150</v>
      </c>
      <c r="I53" s="197" t="s">
        <v>207</v>
      </c>
    </row>
    <row r="54" spans="3:13">
      <c r="C54" s="197" t="s">
        <v>394</v>
      </c>
      <c r="D54" s="198">
        <v>56747</v>
      </c>
      <c r="E54" s="198">
        <v>57388</v>
      </c>
      <c r="F54" s="198">
        <f>E54</f>
        <v>57388</v>
      </c>
      <c r="G54" s="198">
        <f t="shared" ref="G54:I54" si="16">F54</f>
        <v>57388</v>
      </c>
      <c r="H54" s="198">
        <f t="shared" si="16"/>
        <v>57388</v>
      </c>
      <c r="I54" s="198">
        <f t="shared" si="16"/>
        <v>57388</v>
      </c>
      <c r="J54">
        <f>E54/D54-1</f>
        <v>1.1295751317250247E-2</v>
      </c>
      <c r="L54" s="206"/>
      <c r="M54" s="206"/>
    </row>
    <row r="55" spans="3:13">
      <c r="C55" s="197" t="s">
        <v>414</v>
      </c>
      <c r="D55" s="198">
        <v>65951</v>
      </c>
      <c r="E55" s="198">
        <v>63124</v>
      </c>
      <c r="F55" s="198">
        <f t="shared" ref="F55:I55" si="17">E55</f>
        <v>63124</v>
      </c>
      <c r="G55" s="198">
        <f t="shared" si="17"/>
        <v>63124</v>
      </c>
      <c r="H55" s="198">
        <f t="shared" si="17"/>
        <v>63124</v>
      </c>
      <c r="I55" s="198">
        <f t="shared" si="17"/>
        <v>63124</v>
      </c>
      <c r="J55">
        <f t="shared" ref="J55:J58" si="18">E55/D55-1</f>
        <v>-4.2865157465390991E-2</v>
      </c>
      <c r="L55" s="206"/>
      <c r="M55" s="206"/>
    </row>
    <row r="56" spans="3:13">
      <c r="C56" s="197" t="s">
        <v>395</v>
      </c>
      <c r="D56" s="198">
        <v>25830</v>
      </c>
      <c r="E56" s="198">
        <v>23480</v>
      </c>
      <c r="F56" s="198">
        <f t="shared" ref="F56:I56" si="19">E56</f>
        <v>23480</v>
      </c>
      <c r="G56" s="198">
        <f t="shared" si="19"/>
        <v>23480</v>
      </c>
      <c r="H56" s="198">
        <f t="shared" si="19"/>
        <v>23480</v>
      </c>
      <c r="I56" s="198">
        <f t="shared" si="19"/>
        <v>23480</v>
      </c>
      <c r="J56">
        <f t="shared" si="18"/>
        <v>-9.0979481223383618E-2</v>
      </c>
      <c r="L56" s="206"/>
      <c r="M56" s="206"/>
    </row>
    <row r="57" spans="3:13">
      <c r="C57" s="197" t="s">
        <v>396</v>
      </c>
      <c r="D57" s="198">
        <v>20943</v>
      </c>
      <c r="E57" s="198">
        <v>20436</v>
      </c>
      <c r="F57" s="198">
        <f t="shared" ref="F57:I57" si="20">E57</f>
        <v>20436</v>
      </c>
      <c r="G57" s="198">
        <f t="shared" si="20"/>
        <v>20436</v>
      </c>
      <c r="H57" s="198">
        <f t="shared" si="20"/>
        <v>20436</v>
      </c>
      <c r="I57" s="198">
        <f t="shared" si="20"/>
        <v>20436</v>
      </c>
      <c r="J57">
        <f t="shared" si="18"/>
        <v>-2.4208566108007479E-2</v>
      </c>
      <c r="L57" s="206"/>
      <c r="M57" s="206"/>
    </row>
    <row r="58" spans="3:13">
      <c r="C58" s="197" t="s">
        <v>397</v>
      </c>
      <c r="D58" s="198">
        <v>10135</v>
      </c>
      <c r="E58" s="198">
        <v>11312</v>
      </c>
      <c r="F58" s="198">
        <f t="shared" ref="F58:I58" si="21">E58</f>
        <v>11312</v>
      </c>
      <c r="G58" s="198">
        <f t="shared" si="21"/>
        <v>11312</v>
      </c>
      <c r="H58" s="198">
        <f t="shared" si="21"/>
        <v>11312</v>
      </c>
      <c r="I58" s="198">
        <f t="shared" si="21"/>
        <v>11312</v>
      </c>
      <c r="J58">
        <f t="shared" si="18"/>
        <v>0.1161322150962012</v>
      </c>
      <c r="L58" s="206"/>
      <c r="M58" s="206"/>
    </row>
    <row r="59" spans="3:13">
      <c r="C59" s="197" t="s">
        <v>398</v>
      </c>
      <c r="D59" s="200">
        <f>SUM(D54:D58)</f>
        <v>179606</v>
      </c>
      <c r="E59" s="200">
        <f t="shared" ref="E59" si="22">SUM(E54:E58)</f>
        <v>175740</v>
      </c>
      <c r="F59" s="200">
        <f t="shared" ref="F59" si="23">SUM(F54:F58)</f>
        <v>175740</v>
      </c>
      <c r="G59" s="200">
        <f t="shared" ref="G59" si="24">SUM(G54:G58)</f>
        <v>175740</v>
      </c>
      <c r="H59" s="200">
        <f t="shared" ref="H59" si="25">SUM(H54:H58)</f>
        <v>175740</v>
      </c>
      <c r="I59" s="200">
        <f t="shared" ref="I59" si="26">SUM(I54:I58)</f>
        <v>175740</v>
      </c>
    </row>
    <row r="62" spans="3:13">
      <c r="C62" t="s">
        <v>399</v>
      </c>
    </row>
    <row r="64" spans="3:13">
      <c r="C64" t="s">
        <v>416</v>
      </c>
    </row>
    <row r="65" spans="3:9">
      <c r="C65" t="s">
        <v>415</v>
      </c>
    </row>
    <row r="67" spans="3:9">
      <c r="E67" s="196">
        <v>0</v>
      </c>
      <c r="F67" s="196">
        <f>F27</f>
        <v>3.2000000000000001E-2</v>
      </c>
      <c r="G67" s="196">
        <f t="shared" ref="G67:I67" si="27">G27</f>
        <v>3.9E-2</v>
      </c>
      <c r="H67" s="196">
        <f t="shared" si="27"/>
        <v>3.5000000000000003E-2</v>
      </c>
      <c r="I67" s="196">
        <f t="shared" si="27"/>
        <v>3.5000000000000003E-2</v>
      </c>
    </row>
    <row r="68" spans="3:9">
      <c r="I68" t="s">
        <v>402</v>
      </c>
    </row>
    <row r="69" spans="3:9">
      <c r="C69" s="337" t="s">
        <v>399</v>
      </c>
      <c r="D69" s="197" t="s">
        <v>276</v>
      </c>
      <c r="E69" s="199" t="s">
        <v>242</v>
      </c>
      <c r="F69" s="199"/>
      <c r="G69" s="199"/>
      <c r="H69" s="199"/>
      <c r="I69" s="199"/>
    </row>
    <row r="70" spans="3:9">
      <c r="C70" s="338"/>
      <c r="D70" s="197" t="s">
        <v>111</v>
      </c>
      <c r="E70" s="197" t="s">
        <v>200</v>
      </c>
      <c r="F70" s="197" t="s">
        <v>148</v>
      </c>
      <c r="G70" s="197" t="s">
        <v>149</v>
      </c>
      <c r="H70" s="197" t="s">
        <v>150</v>
      </c>
      <c r="I70" s="197" t="s">
        <v>207</v>
      </c>
    </row>
    <row r="71" spans="3:9">
      <c r="C71" s="197" t="s">
        <v>394</v>
      </c>
      <c r="D71" s="198">
        <v>14051</v>
      </c>
      <c r="E71" s="198">
        <v>13994</v>
      </c>
      <c r="F71" s="198">
        <f>E71*(1+F67)+1</f>
        <v>14442.808000000001</v>
      </c>
      <c r="G71" s="198">
        <f t="shared" ref="G71:I71" si="28">F71*(1+G67)+1</f>
        <v>15007.077512</v>
      </c>
      <c r="H71" s="198">
        <f t="shared" si="28"/>
        <v>15533.32522492</v>
      </c>
      <c r="I71" s="198">
        <f t="shared" si="28"/>
        <v>16077.991607792199</v>
      </c>
    </row>
    <row r="72" spans="3:9">
      <c r="C72" s="197" t="s">
        <v>413</v>
      </c>
      <c r="D72" s="198">
        <v>20688</v>
      </c>
      <c r="E72" s="198">
        <v>20663</v>
      </c>
      <c r="F72" s="198">
        <f>E72*(1+F67)+1</f>
        <v>21325.216</v>
      </c>
      <c r="G72" s="198">
        <f t="shared" ref="G72:I72" si="29">F72*(1+G67)+1</f>
        <v>22157.899423999999</v>
      </c>
      <c r="H72" s="198">
        <f t="shared" si="29"/>
        <v>22934.425903839998</v>
      </c>
      <c r="I72" s="198">
        <f t="shared" si="29"/>
        <v>23738.130810474395</v>
      </c>
    </row>
    <row r="73" spans="3:9">
      <c r="C73" s="197" t="s">
        <v>395</v>
      </c>
      <c r="D73" s="198">
        <v>6700</v>
      </c>
      <c r="E73" s="198">
        <v>6671</v>
      </c>
      <c r="F73" s="198">
        <f>E73*(1+F67)+1</f>
        <v>6885.4719999999998</v>
      </c>
      <c r="G73" s="198">
        <f>F73*(1+G67)-1</f>
        <v>7153.0054079999991</v>
      </c>
      <c r="H73" s="198">
        <f>G73*(1+H67)</f>
        <v>7403.3605972799987</v>
      </c>
      <c r="I73" s="198">
        <f>H73*(1+I67)</f>
        <v>7662.4782181847977</v>
      </c>
    </row>
    <row r="74" spans="3:9">
      <c r="C74" s="197" t="s">
        <v>396</v>
      </c>
      <c r="D74" s="198">
        <v>4464</v>
      </c>
      <c r="E74" s="198">
        <v>4409</v>
      </c>
      <c r="F74" s="198">
        <f>E74*(1+F67)</f>
        <v>4550.0879999999997</v>
      </c>
      <c r="G74" s="198">
        <f>F74*(1+G67)-1</f>
        <v>4726.5414319999991</v>
      </c>
      <c r="H74" s="198">
        <f>G74*(1+H67)+1</f>
        <v>4892.9703821199982</v>
      </c>
      <c r="I74" s="198">
        <f>H74*(1+I67)-1</f>
        <v>5063.2243454941981</v>
      </c>
    </row>
    <row r="75" spans="3:9">
      <c r="C75" s="197" t="s">
        <v>397</v>
      </c>
      <c r="D75" s="198">
        <v>6563</v>
      </c>
      <c r="E75" s="198">
        <v>6322</v>
      </c>
      <c r="F75" s="198">
        <f>E75*(1+F67)</f>
        <v>6524.3040000000001</v>
      </c>
      <c r="G75" s="198">
        <f>F75*(1+G67)</f>
        <v>6778.7518559999999</v>
      </c>
      <c r="H75" s="198">
        <f>G75*(1+H67)</f>
        <v>7016.008170959999</v>
      </c>
      <c r="I75" s="198">
        <f>H75*(1+I67)+1</f>
        <v>7262.568456943598</v>
      </c>
    </row>
    <row r="79" spans="3:9">
      <c r="C79" s="201" t="s">
        <v>419</v>
      </c>
      <c r="I79" s="168" t="s">
        <v>407</v>
      </c>
    </row>
    <row r="80" spans="3:9">
      <c r="C80" s="337" t="s">
        <v>3</v>
      </c>
      <c r="D80" s="197" t="s">
        <v>276</v>
      </c>
      <c r="E80" s="199" t="s">
        <v>242</v>
      </c>
      <c r="F80" s="199"/>
      <c r="G80" s="199"/>
      <c r="H80" s="199"/>
      <c r="I80" s="199"/>
    </row>
    <row r="81" spans="3:9">
      <c r="C81" s="338"/>
      <c r="D81" s="197" t="s">
        <v>111</v>
      </c>
      <c r="E81" s="197" t="s">
        <v>200</v>
      </c>
      <c r="F81" s="197" t="s">
        <v>148</v>
      </c>
      <c r="G81" s="197" t="s">
        <v>149</v>
      </c>
      <c r="H81" s="197" t="s">
        <v>150</v>
      </c>
      <c r="I81" s="197" t="s">
        <v>207</v>
      </c>
    </row>
    <row r="82" spans="3:9">
      <c r="C82" s="197" t="s">
        <v>394</v>
      </c>
      <c r="D82" s="198">
        <f t="shared" ref="D82:I85" si="30">ROUND(D110*D94/10^6,0)</f>
        <v>1665</v>
      </c>
      <c r="E82" s="198">
        <f t="shared" si="30"/>
        <v>1639</v>
      </c>
      <c r="F82" s="198">
        <f t="shared" si="30"/>
        <v>1692</v>
      </c>
      <c r="G82" s="198">
        <f t="shared" si="30"/>
        <v>1758</v>
      </c>
      <c r="H82" s="198">
        <f t="shared" si="30"/>
        <v>1819</v>
      </c>
      <c r="I82" s="198">
        <f t="shared" si="30"/>
        <v>1883</v>
      </c>
    </row>
    <row r="83" spans="3:9">
      <c r="C83" s="197" t="s">
        <v>395</v>
      </c>
      <c r="D83" s="198">
        <f t="shared" si="30"/>
        <v>427</v>
      </c>
      <c r="E83" s="198">
        <f t="shared" si="30"/>
        <v>455</v>
      </c>
      <c r="F83" s="198">
        <f t="shared" si="30"/>
        <v>469</v>
      </c>
      <c r="G83" s="198">
        <f t="shared" si="30"/>
        <v>487</v>
      </c>
      <c r="H83" s="198">
        <f t="shared" si="30"/>
        <v>504</v>
      </c>
      <c r="I83" s="198">
        <f t="shared" si="30"/>
        <v>522</v>
      </c>
    </row>
    <row r="84" spans="3:9">
      <c r="C84" s="197" t="s">
        <v>396</v>
      </c>
      <c r="D84" s="198">
        <f t="shared" si="30"/>
        <v>271</v>
      </c>
      <c r="E84" s="198">
        <f t="shared" si="30"/>
        <v>262</v>
      </c>
      <c r="F84" s="198">
        <f t="shared" si="30"/>
        <v>270</v>
      </c>
      <c r="G84" s="198">
        <f t="shared" si="30"/>
        <v>281</v>
      </c>
      <c r="H84" s="198">
        <f t="shared" si="30"/>
        <v>291</v>
      </c>
      <c r="I84" s="198">
        <f t="shared" si="30"/>
        <v>301</v>
      </c>
    </row>
    <row r="85" spans="3:9">
      <c r="C85" s="197" t="s">
        <v>397</v>
      </c>
      <c r="D85" s="198">
        <f t="shared" si="30"/>
        <v>59</v>
      </c>
      <c r="E85" s="198">
        <f t="shared" si="30"/>
        <v>71</v>
      </c>
      <c r="F85" s="198">
        <f t="shared" si="30"/>
        <v>73</v>
      </c>
      <c r="G85" s="198">
        <f t="shared" si="30"/>
        <v>76</v>
      </c>
      <c r="H85" s="198">
        <f t="shared" si="30"/>
        <v>79</v>
      </c>
      <c r="I85" s="198">
        <f t="shared" si="30"/>
        <v>82</v>
      </c>
    </row>
    <row r="86" spans="3:9">
      <c r="C86" s="197" t="s">
        <v>408</v>
      </c>
      <c r="D86" s="200">
        <f t="shared" ref="D86:I86" si="31">SUM(D82:D85)</f>
        <v>2422</v>
      </c>
      <c r="E86" s="200">
        <f t="shared" si="31"/>
        <v>2427</v>
      </c>
      <c r="F86" s="200">
        <f t="shared" si="31"/>
        <v>2504</v>
      </c>
      <c r="G86" s="200">
        <f t="shared" si="31"/>
        <v>2602</v>
      </c>
      <c r="H86" s="200">
        <f t="shared" si="31"/>
        <v>2693</v>
      </c>
      <c r="I86" s="200">
        <f t="shared" si="31"/>
        <v>2788</v>
      </c>
    </row>
    <row r="89" spans="3:9">
      <c r="C89" t="s">
        <v>403</v>
      </c>
    </row>
    <row r="90" spans="3:9">
      <c r="C90" t="s">
        <v>420</v>
      </c>
    </row>
    <row r="91" spans="3:9">
      <c r="C91" t="s">
        <v>411</v>
      </c>
    </row>
    <row r="92" spans="3:9">
      <c r="C92" s="337" t="s">
        <v>403</v>
      </c>
      <c r="D92" s="197" t="s">
        <v>276</v>
      </c>
      <c r="E92" s="199" t="s">
        <v>242</v>
      </c>
      <c r="F92" s="199"/>
      <c r="G92" s="199"/>
      <c r="H92" s="199"/>
      <c r="I92" s="199"/>
    </row>
    <row r="93" spans="3:9">
      <c r="C93" s="338"/>
      <c r="D93" s="197" t="s">
        <v>111</v>
      </c>
      <c r="E93" s="197" t="s">
        <v>200</v>
      </c>
      <c r="F93" s="197" t="s">
        <v>148</v>
      </c>
      <c r="G93" s="197" t="s">
        <v>149</v>
      </c>
      <c r="H93" s="197" t="s">
        <v>150</v>
      </c>
      <c r="I93" s="197" t="s">
        <v>207</v>
      </c>
    </row>
    <row r="94" spans="3:9">
      <c r="C94" s="197" t="s">
        <v>394</v>
      </c>
      <c r="D94" s="198">
        <v>53718</v>
      </c>
      <c r="E94" s="198">
        <v>53676</v>
      </c>
      <c r="F94" s="198">
        <f>E94</f>
        <v>53676</v>
      </c>
      <c r="G94" s="198">
        <f t="shared" ref="G94:I94" si="32">F94</f>
        <v>53676</v>
      </c>
      <c r="H94" s="198">
        <f t="shared" si="32"/>
        <v>53676</v>
      </c>
      <c r="I94" s="198">
        <f t="shared" si="32"/>
        <v>53676</v>
      </c>
    </row>
    <row r="95" spans="3:9">
      <c r="C95" s="197" t="s">
        <v>395</v>
      </c>
      <c r="D95" s="198">
        <v>31593</v>
      </c>
      <c r="E95" s="198">
        <v>33500</v>
      </c>
      <c r="F95" s="198">
        <f t="shared" ref="F95:I95" si="33">E95</f>
        <v>33500</v>
      </c>
      <c r="G95" s="198">
        <f t="shared" si="33"/>
        <v>33500</v>
      </c>
      <c r="H95" s="198">
        <f t="shared" si="33"/>
        <v>33500</v>
      </c>
      <c r="I95" s="198">
        <f t="shared" si="33"/>
        <v>33500</v>
      </c>
    </row>
    <row r="96" spans="3:9">
      <c r="C96" s="197" t="s">
        <v>396</v>
      </c>
      <c r="D96" s="198">
        <v>39847</v>
      </c>
      <c r="E96" s="198">
        <v>38984</v>
      </c>
      <c r="F96" s="198">
        <f t="shared" ref="F96:I96" si="34">E96</f>
        <v>38984</v>
      </c>
      <c r="G96" s="198">
        <f t="shared" si="34"/>
        <v>38984</v>
      </c>
      <c r="H96" s="198">
        <f t="shared" si="34"/>
        <v>38984</v>
      </c>
      <c r="I96" s="198">
        <f t="shared" si="34"/>
        <v>38984</v>
      </c>
    </row>
    <row r="97" spans="3:9">
      <c r="C97" s="197" t="s">
        <v>397</v>
      </c>
      <c r="D97" s="198">
        <v>23714</v>
      </c>
      <c r="E97" s="198">
        <v>29032</v>
      </c>
      <c r="F97" s="198">
        <f t="shared" ref="F97:I97" si="35">E97</f>
        <v>29032</v>
      </c>
      <c r="G97" s="198">
        <f t="shared" si="35"/>
        <v>29032</v>
      </c>
      <c r="H97" s="198">
        <f t="shared" si="35"/>
        <v>29032</v>
      </c>
      <c r="I97" s="198">
        <f t="shared" si="35"/>
        <v>29032</v>
      </c>
    </row>
    <row r="98" spans="3:9">
      <c r="C98" s="197" t="s">
        <v>398</v>
      </c>
      <c r="D98" s="200">
        <f t="shared" ref="D98:I98" si="36">SUM(D94:D97)</f>
        <v>148872</v>
      </c>
      <c r="E98" s="200">
        <f t="shared" si="36"/>
        <v>155192</v>
      </c>
      <c r="F98" s="200">
        <f t="shared" si="36"/>
        <v>155192</v>
      </c>
      <c r="G98" s="200">
        <f t="shared" si="36"/>
        <v>155192</v>
      </c>
      <c r="H98" s="200">
        <f t="shared" si="36"/>
        <v>155192</v>
      </c>
      <c r="I98" s="200">
        <f t="shared" si="36"/>
        <v>155192</v>
      </c>
    </row>
    <row r="101" spans="3:9">
      <c r="C101" t="s">
        <v>399</v>
      </c>
    </row>
    <row r="102" spans="3:9">
      <c r="C102" t="s">
        <v>421</v>
      </c>
    </row>
    <row r="103" spans="3:9">
      <c r="C103" t="s">
        <v>415</v>
      </c>
    </row>
    <row r="106" spans="3:9">
      <c r="E106" s="196">
        <f>E67</f>
        <v>0</v>
      </c>
      <c r="F106" s="196">
        <f t="shared" ref="F106:I106" si="37">F67</f>
        <v>3.2000000000000001E-2</v>
      </c>
      <c r="G106" s="196">
        <f t="shared" si="37"/>
        <v>3.9E-2</v>
      </c>
      <c r="H106" s="196">
        <f t="shared" si="37"/>
        <v>3.5000000000000003E-2</v>
      </c>
      <c r="I106" s="196">
        <f t="shared" si="37"/>
        <v>3.5000000000000003E-2</v>
      </c>
    </row>
    <row r="107" spans="3:9">
      <c r="I107" t="s">
        <v>402</v>
      </c>
    </row>
    <row r="108" spans="3:9">
      <c r="C108" s="337" t="s">
        <v>399</v>
      </c>
      <c r="D108" s="197" t="s">
        <v>276</v>
      </c>
      <c r="E108" s="199" t="s">
        <v>242</v>
      </c>
      <c r="F108" s="199"/>
      <c r="G108" s="199"/>
      <c r="H108" s="199"/>
      <c r="I108" s="199"/>
    </row>
    <row r="109" spans="3:9">
      <c r="C109" s="338"/>
      <c r="D109" s="197" t="s">
        <v>111</v>
      </c>
      <c r="E109" s="197" t="s">
        <v>200</v>
      </c>
      <c r="F109" s="197" t="s">
        <v>148</v>
      </c>
      <c r="G109" s="197" t="s">
        <v>149</v>
      </c>
      <c r="H109" s="197" t="s">
        <v>150</v>
      </c>
      <c r="I109" s="197" t="s">
        <v>207</v>
      </c>
    </row>
    <row r="110" spans="3:9">
      <c r="C110" s="197" t="s">
        <v>394</v>
      </c>
      <c r="D110" s="198">
        <v>30997</v>
      </c>
      <c r="E110" s="198">
        <v>30539</v>
      </c>
      <c r="F110" s="198">
        <f>E110*(1+F106)+1</f>
        <v>31517.248</v>
      </c>
      <c r="G110" s="198">
        <f t="shared" ref="G110:I110" si="38">F110*(1+G106)+1</f>
        <v>32747.420671999997</v>
      </c>
      <c r="H110" s="198">
        <f t="shared" si="38"/>
        <v>33894.580395519995</v>
      </c>
      <c r="I110" s="198">
        <f t="shared" si="38"/>
        <v>35081.890709363193</v>
      </c>
    </row>
    <row r="111" spans="3:9">
      <c r="C111" s="197" t="s">
        <v>395</v>
      </c>
      <c r="D111" s="198">
        <v>13523</v>
      </c>
      <c r="E111" s="198">
        <v>13569</v>
      </c>
      <c r="F111" s="198">
        <f>E111*(1+F106)+1</f>
        <v>14004.208000000001</v>
      </c>
      <c r="G111" s="198">
        <f>F111*(1+G106)-1</f>
        <v>14549.372111999999</v>
      </c>
      <c r="H111" s="198">
        <f>G111*(1+H106)</f>
        <v>15058.600135919998</v>
      </c>
      <c r="I111" s="198">
        <f>H111*(1+I106)</f>
        <v>15585.651140677197</v>
      </c>
    </row>
    <row r="112" spans="3:9">
      <c r="C112" s="197" t="s">
        <v>396</v>
      </c>
      <c r="D112" s="198">
        <v>6791</v>
      </c>
      <c r="E112" s="198">
        <v>6718</v>
      </c>
      <c r="F112" s="198">
        <f>E112*(1+F106)</f>
        <v>6932.9760000000006</v>
      </c>
      <c r="G112" s="198">
        <f>F112*(1+G106)-1</f>
        <v>7202.3620639999999</v>
      </c>
      <c r="H112" s="198">
        <f>G112*(1+H106)+1</f>
        <v>7455.4447362399997</v>
      </c>
      <c r="I112" s="198">
        <f>H112*(1+I106)-1</f>
        <v>7715.3853020083989</v>
      </c>
    </row>
    <row r="113" spans="3:9">
      <c r="C113" s="197" t="s">
        <v>397</v>
      </c>
      <c r="D113" s="198">
        <v>2473</v>
      </c>
      <c r="E113" s="198">
        <v>2452</v>
      </c>
      <c r="F113" s="198">
        <f>E113*(1+F106)</f>
        <v>2530.4639999999999</v>
      </c>
      <c r="G113" s="198">
        <f>F113*(1+G106)</f>
        <v>2629.1520959999998</v>
      </c>
      <c r="H113" s="198">
        <f>G113*(1+H106)</f>
        <v>2721.1724193599994</v>
      </c>
      <c r="I113" s="198">
        <f>H113*(1+I106)+1</f>
        <v>2817.413454037599</v>
      </c>
    </row>
    <row r="117" spans="3:9">
      <c r="C117" s="201" t="s">
        <v>422</v>
      </c>
      <c r="I117" s="168" t="s">
        <v>407</v>
      </c>
    </row>
    <row r="118" spans="3:9">
      <c r="C118" s="337" t="s">
        <v>3</v>
      </c>
      <c r="D118" s="197" t="s">
        <v>276</v>
      </c>
      <c r="E118" s="199" t="s">
        <v>242</v>
      </c>
      <c r="F118" s="199"/>
      <c r="G118" s="199"/>
      <c r="H118" s="199"/>
      <c r="I118" s="199"/>
    </row>
    <row r="119" spans="3:9">
      <c r="C119" s="338"/>
      <c r="D119" s="197" t="s">
        <v>111</v>
      </c>
      <c r="E119" s="197" t="s">
        <v>200</v>
      </c>
      <c r="F119" s="197" t="s">
        <v>148</v>
      </c>
      <c r="G119" s="197" t="s">
        <v>149</v>
      </c>
      <c r="H119" s="197" t="s">
        <v>150</v>
      </c>
      <c r="I119" s="197" t="s">
        <v>207</v>
      </c>
    </row>
    <row r="120" spans="3:9">
      <c r="C120" s="197" t="s">
        <v>394</v>
      </c>
      <c r="D120" s="198">
        <f>ROUND(D155*D135/10^6,0)</f>
        <v>93</v>
      </c>
      <c r="E120" s="198">
        <f t="shared" ref="E120:I120" si="39">ROUND(E155*E135/10^6,0)</f>
        <v>810</v>
      </c>
      <c r="F120" s="198">
        <f t="shared" si="39"/>
        <v>687</v>
      </c>
      <c r="G120" s="198">
        <f t="shared" si="39"/>
        <v>714</v>
      </c>
      <c r="H120" s="198">
        <f t="shared" si="39"/>
        <v>739</v>
      </c>
      <c r="I120" s="198">
        <f t="shared" si="39"/>
        <v>765</v>
      </c>
    </row>
    <row r="121" spans="3:9">
      <c r="C121" s="197" t="s">
        <v>413</v>
      </c>
      <c r="D121" s="198">
        <f t="shared" ref="D121:I124" si="40">ROUND(D156*D136/10^6,0)</f>
        <v>151</v>
      </c>
      <c r="E121" s="198">
        <f t="shared" si="40"/>
        <v>1466</v>
      </c>
      <c r="F121" s="198">
        <f t="shared" si="40"/>
        <v>1191</v>
      </c>
      <c r="G121" s="198">
        <f t="shared" si="40"/>
        <v>1238</v>
      </c>
      <c r="H121" s="198">
        <f t="shared" si="40"/>
        <v>1281</v>
      </c>
      <c r="I121" s="198">
        <f t="shared" si="40"/>
        <v>1326</v>
      </c>
    </row>
    <row r="122" spans="3:9">
      <c r="C122" s="197" t="s">
        <v>395</v>
      </c>
      <c r="D122" s="198">
        <f t="shared" si="40"/>
        <v>19</v>
      </c>
      <c r="E122" s="198">
        <f t="shared" si="40"/>
        <v>158</v>
      </c>
      <c r="F122" s="198">
        <f t="shared" si="40"/>
        <v>123</v>
      </c>
      <c r="G122" s="198">
        <f t="shared" si="40"/>
        <v>128</v>
      </c>
      <c r="H122" s="198">
        <f t="shared" si="40"/>
        <v>133</v>
      </c>
      <c r="I122" s="198">
        <f t="shared" si="40"/>
        <v>137</v>
      </c>
    </row>
    <row r="123" spans="3:9">
      <c r="C123" s="197" t="s">
        <v>396</v>
      </c>
      <c r="D123" s="198">
        <f t="shared" si="40"/>
        <v>8</v>
      </c>
      <c r="E123" s="198">
        <f t="shared" si="40"/>
        <v>105</v>
      </c>
      <c r="F123" s="198">
        <f t="shared" si="40"/>
        <v>86</v>
      </c>
      <c r="G123" s="198">
        <f t="shared" si="40"/>
        <v>90</v>
      </c>
      <c r="H123" s="198">
        <f t="shared" si="40"/>
        <v>93</v>
      </c>
      <c r="I123" s="198">
        <f t="shared" si="40"/>
        <v>96</v>
      </c>
    </row>
    <row r="124" spans="3:9">
      <c r="C124" s="197" t="s">
        <v>397</v>
      </c>
      <c r="D124" s="198">
        <f t="shared" si="40"/>
        <v>5</v>
      </c>
      <c r="E124" s="198">
        <f t="shared" si="40"/>
        <v>120</v>
      </c>
      <c r="F124" s="198">
        <f t="shared" si="40"/>
        <v>109</v>
      </c>
      <c r="G124" s="198">
        <f t="shared" si="40"/>
        <v>114</v>
      </c>
      <c r="H124" s="198">
        <f t="shared" si="40"/>
        <v>118</v>
      </c>
      <c r="I124" s="198">
        <f t="shared" si="40"/>
        <v>122</v>
      </c>
    </row>
    <row r="125" spans="3:9">
      <c r="C125" s="197" t="s">
        <v>408</v>
      </c>
      <c r="D125" s="200">
        <f t="shared" ref="D125:I125" si="41">SUM(D120:D124)</f>
        <v>276</v>
      </c>
      <c r="E125" s="200">
        <f t="shared" si="41"/>
        <v>2659</v>
      </c>
      <c r="F125" s="200">
        <f t="shared" si="41"/>
        <v>2196</v>
      </c>
      <c r="G125" s="200">
        <f t="shared" si="41"/>
        <v>2284</v>
      </c>
      <c r="H125" s="200">
        <f t="shared" si="41"/>
        <v>2364</v>
      </c>
      <c r="I125" s="200">
        <f t="shared" si="41"/>
        <v>2446</v>
      </c>
    </row>
    <row r="128" spans="3:9">
      <c r="C128" t="s">
        <v>403</v>
      </c>
    </row>
    <row r="129" spans="3:10">
      <c r="C129" t="s">
        <v>424</v>
      </c>
    </row>
    <row r="130" spans="3:10">
      <c r="C130" t="s">
        <v>425</v>
      </c>
    </row>
    <row r="131" spans="3:10">
      <c r="C131" t="s">
        <v>423</v>
      </c>
    </row>
    <row r="133" spans="3:10">
      <c r="C133" s="337" t="s">
        <v>403</v>
      </c>
      <c r="D133" s="197" t="s">
        <v>276</v>
      </c>
      <c r="E133" s="199" t="s">
        <v>242</v>
      </c>
      <c r="F133" s="199"/>
      <c r="G133" s="199"/>
      <c r="H133" s="199"/>
      <c r="I133" s="199"/>
    </row>
    <row r="134" spans="3:10">
      <c r="C134" s="338"/>
      <c r="D134" s="197" t="s">
        <v>111</v>
      </c>
      <c r="E134" s="197" t="s">
        <v>200</v>
      </c>
      <c r="F134" s="197" t="s">
        <v>148</v>
      </c>
      <c r="G134" s="197" t="s">
        <v>149</v>
      </c>
      <c r="H134" s="197" t="s">
        <v>150</v>
      </c>
      <c r="I134" s="197" t="s">
        <v>207</v>
      </c>
    </row>
    <row r="135" spans="3:10">
      <c r="C135" s="197" t="s">
        <v>394</v>
      </c>
      <c r="D135" s="198">
        <v>6607</v>
      </c>
      <c r="E135" s="198">
        <v>57805</v>
      </c>
      <c r="F135" s="198">
        <v>47509</v>
      </c>
      <c r="G135" s="198">
        <f t="shared" ref="G135:I136" si="42">F135</f>
        <v>47509</v>
      </c>
      <c r="H135" s="198">
        <f t="shared" si="42"/>
        <v>47509</v>
      </c>
      <c r="I135" s="198">
        <f t="shared" si="42"/>
        <v>47509</v>
      </c>
      <c r="J135">
        <f>F135/E135-1</f>
        <v>-0.17811607992388201</v>
      </c>
    </row>
    <row r="136" spans="3:10">
      <c r="C136" s="197" t="s">
        <v>414</v>
      </c>
      <c r="D136" s="198">
        <v>7327</v>
      </c>
      <c r="E136" s="198">
        <v>71117</v>
      </c>
      <c r="F136" s="198">
        <v>55994</v>
      </c>
      <c r="G136" s="198">
        <f t="shared" si="42"/>
        <v>55994</v>
      </c>
      <c r="H136" s="198">
        <f t="shared" si="42"/>
        <v>55994</v>
      </c>
      <c r="I136" s="198">
        <f t="shared" si="42"/>
        <v>55994</v>
      </c>
      <c r="J136">
        <f t="shared" ref="J136:J139" si="43">F136/E136-1</f>
        <v>-0.21264957745686686</v>
      </c>
    </row>
    <row r="137" spans="3:10">
      <c r="C137" s="197" t="s">
        <v>395</v>
      </c>
      <c r="D137" s="198">
        <v>2821</v>
      </c>
      <c r="E137" s="198">
        <v>23117</v>
      </c>
      <c r="F137" s="198">
        <v>17485</v>
      </c>
      <c r="G137" s="198">
        <f t="shared" ref="G137:I137" si="44">F137</f>
        <v>17485</v>
      </c>
      <c r="H137" s="198">
        <f t="shared" si="44"/>
        <v>17485</v>
      </c>
      <c r="I137" s="198">
        <f t="shared" si="44"/>
        <v>17485</v>
      </c>
      <c r="J137">
        <f t="shared" si="43"/>
        <v>-0.24363022883592167</v>
      </c>
    </row>
    <row r="138" spans="3:10">
      <c r="C138" s="197" t="s">
        <v>396</v>
      </c>
      <c r="D138" s="198">
        <v>1437</v>
      </c>
      <c r="E138" s="198">
        <v>20459</v>
      </c>
      <c r="F138" s="198">
        <v>16376</v>
      </c>
      <c r="G138" s="198">
        <f t="shared" ref="G138:I138" si="45">F138</f>
        <v>16376</v>
      </c>
      <c r="H138" s="198">
        <f t="shared" si="45"/>
        <v>16376</v>
      </c>
      <c r="I138" s="198">
        <f t="shared" si="45"/>
        <v>16376</v>
      </c>
      <c r="J138">
        <f t="shared" si="43"/>
        <v>-0.19956987145021754</v>
      </c>
    </row>
    <row r="139" spans="3:10">
      <c r="C139" s="197" t="s">
        <v>397</v>
      </c>
      <c r="D139" s="198">
        <v>709</v>
      </c>
      <c r="E139" s="198">
        <v>17602</v>
      </c>
      <c r="F139" s="198">
        <v>15580</v>
      </c>
      <c r="G139" s="198">
        <f t="shared" ref="G139:I139" si="46">F139</f>
        <v>15580</v>
      </c>
      <c r="H139" s="198">
        <f t="shared" si="46"/>
        <v>15580</v>
      </c>
      <c r="I139" s="198">
        <f t="shared" si="46"/>
        <v>15580</v>
      </c>
      <c r="J139">
        <f t="shared" si="43"/>
        <v>-0.11487330985115329</v>
      </c>
    </row>
    <row r="140" spans="3:10">
      <c r="C140" s="197" t="s">
        <v>398</v>
      </c>
      <c r="D140" s="200">
        <f t="shared" ref="D140:I140" si="47">SUM(D135:D139)</f>
        <v>18901</v>
      </c>
      <c r="E140" s="200">
        <f t="shared" si="47"/>
        <v>190100</v>
      </c>
      <c r="F140" s="200">
        <f t="shared" si="47"/>
        <v>152944</v>
      </c>
      <c r="G140" s="200">
        <f t="shared" si="47"/>
        <v>152944</v>
      </c>
      <c r="H140" s="200">
        <f t="shared" si="47"/>
        <v>152944</v>
      </c>
      <c r="I140" s="200">
        <f t="shared" si="47"/>
        <v>152944</v>
      </c>
    </row>
    <row r="143" spans="3:10">
      <c r="C143" t="s">
        <v>399</v>
      </c>
    </row>
    <row r="144" spans="3:10">
      <c r="C144" t="s">
        <v>426</v>
      </c>
    </row>
    <row r="145" spans="3:9">
      <c r="C145" t="s">
        <v>427</v>
      </c>
    </row>
    <row r="146" spans="3:9">
      <c r="C146" t="s">
        <v>428</v>
      </c>
    </row>
    <row r="147" spans="3:9">
      <c r="C147" t="s">
        <v>429</v>
      </c>
    </row>
    <row r="151" spans="3:9">
      <c r="E151" s="196">
        <f>E106</f>
        <v>0</v>
      </c>
      <c r="F151" s="196">
        <f t="shared" ref="F151:I151" si="48">F106</f>
        <v>3.2000000000000001E-2</v>
      </c>
      <c r="G151" s="196">
        <f t="shared" si="48"/>
        <v>3.9E-2</v>
      </c>
      <c r="H151" s="196">
        <f t="shared" si="48"/>
        <v>3.5000000000000003E-2</v>
      </c>
      <c r="I151" s="196">
        <f t="shared" si="48"/>
        <v>3.5000000000000003E-2</v>
      </c>
    </row>
    <row r="152" spans="3:9">
      <c r="I152" t="s">
        <v>402</v>
      </c>
    </row>
    <row r="153" spans="3:9">
      <c r="C153" s="337" t="s">
        <v>399</v>
      </c>
      <c r="D153" s="197" t="s">
        <v>276</v>
      </c>
      <c r="E153" s="199" t="s">
        <v>242</v>
      </c>
      <c r="F153" s="199"/>
      <c r="G153" s="199"/>
      <c r="H153" s="199"/>
      <c r="I153" s="199"/>
    </row>
    <row r="154" spans="3:9">
      <c r="C154" s="338"/>
      <c r="D154" s="197" t="s">
        <v>111</v>
      </c>
      <c r="E154" s="197" t="s">
        <v>200</v>
      </c>
      <c r="F154" s="197" t="s">
        <v>148</v>
      </c>
      <c r="G154" s="197" t="s">
        <v>149</v>
      </c>
      <c r="H154" s="197" t="s">
        <v>150</v>
      </c>
      <c r="I154" s="197" t="s">
        <v>207</v>
      </c>
    </row>
    <row r="155" spans="3:9">
      <c r="C155" s="197" t="s">
        <v>394</v>
      </c>
      <c r="D155" s="198">
        <v>14015</v>
      </c>
      <c r="E155" s="198">
        <f>D155</f>
        <v>14015</v>
      </c>
      <c r="F155" s="198">
        <f>E155*(1+F151)</f>
        <v>14463.48</v>
      </c>
      <c r="G155" s="198">
        <f t="shared" ref="G155:I155" si="49">F155*(1+G151)+1</f>
        <v>15028.555719999998</v>
      </c>
      <c r="H155" s="198">
        <f t="shared" si="49"/>
        <v>15555.555170199998</v>
      </c>
      <c r="I155" s="198">
        <f t="shared" si="49"/>
        <v>16100.999601156997</v>
      </c>
    </row>
    <row r="156" spans="3:9">
      <c r="C156" s="197" t="s">
        <v>413</v>
      </c>
      <c r="D156" s="198">
        <v>20556</v>
      </c>
      <c r="E156" s="198">
        <v>20617</v>
      </c>
      <c r="F156" s="198">
        <f>E156*(1+F151)+1</f>
        <v>21277.743999999999</v>
      </c>
      <c r="G156" s="198">
        <f t="shared" ref="G156:I156" si="50">F156*(1+G151)+1</f>
        <v>22108.576015999995</v>
      </c>
      <c r="H156" s="198">
        <f t="shared" si="50"/>
        <v>22883.376176559992</v>
      </c>
      <c r="I156" s="198">
        <f t="shared" si="50"/>
        <v>23685.294342739591</v>
      </c>
    </row>
    <row r="157" spans="3:9">
      <c r="C157" s="197" t="s">
        <v>395</v>
      </c>
      <c r="D157" s="198">
        <v>6652</v>
      </c>
      <c r="E157" s="198">
        <v>6843</v>
      </c>
      <c r="F157" s="198">
        <f>E157*(1+F151)+1</f>
        <v>7062.9760000000006</v>
      </c>
      <c r="G157" s="198">
        <f>F157*(1+G151)-1</f>
        <v>7337.4320639999996</v>
      </c>
      <c r="H157" s="198">
        <f>G157*(1+H151)</f>
        <v>7594.2421862399988</v>
      </c>
      <c r="I157" s="198">
        <f>H157*(1+I151)</f>
        <v>7860.040662758398</v>
      </c>
    </row>
    <row r="158" spans="3:9">
      <c r="C158" s="197" t="s">
        <v>396</v>
      </c>
      <c r="D158" s="198">
        <v>5254</v>
      </c>
      <c r="E158" s="198">
        <v>5115</v>
      </c>
      <c r="F158" s="198">
        <f>E158*(1+F151)</f>
        <v>5278.68</v>
      </c>
      <c r="G158" s="198">
        <f>F158*(1+G151)-1</f>
        <v>5483.5485200000003</v>
      </c>
      <c r="H158" s="198">
        <f>G158*(1+H151)+1</f>
        <v>5676.4727181999997</v>
      </c>
      <c r="I158" s="198">
        <f>H158*(1+I151)-1</f>
        <v>5874.149263336999</v>
      </c>
    </row>
    <row r="159" spans="3:9">
      <c r="C159" s="197" t="s">
        <v>397</v>
      </c>
      <c r="D159" s="198">
        <v>7555</v>
      </c>
      <c r="E159" s="198">
        <v>6804</v>
      </c>
      <c r="F159" s="198">
        <f>E159*(1+F151)</f>
        <v>7021.7280000000001</v>
      </c>
      <c r="G159" s="198">
        <f>F159*(1+G151)</f>
        <v>7295.5753919999997</v>
      </c>
      <c r="H159" s="198">
        <f>G159*(1+H151)</f>
        <v>7550.9205307199991</v>
      </c>
      <c r="I159" s="198">
        <f>H159*(1+I151)+1</f>
        <v>7816.2027492951984</v>
      </c>
    </row>
    <row r="162" spans="3:9">
      <c r="C162" s="201" t="s">
        <v>430</v>
      </c>
      <c r="I162" s="168" t="s">
        <v>407</v>
      </c>
    </row>
    <row r="163" spans="3:9">
      <c r="C163" s="337" t="s">
        <v>3</v>
      </c>
      <c r="D163" s="199" t="s">
        <v>242</v>
      </c>
      <c r="E163" s="199"/>
      <c r="F163" s="199"/>
      <c r="G163" s="199"/>
      <c r="H163" s="199"/>
    </row>
    <row r="164" spans="3:9">
      <c r="C164" s="338"/>
      <c r="D164" s="197" t="s">
        <v>200</v>
      </c>
      <c r="E164" s="197" t="s">
        <v>148</v>
      </c>
      <c r="F164" s="197" t="s">
        <v>149</v>
      </c>
      <c r="G164" s="197" t="s">
        <v>150</v>
      </c>
      <c r="H164" s="197" t="s">
        <v>207</v>
      </c>
    </row>
    <row r="165" spans="3:9">
      <c r="C165" s="197" t="s">
        <v>394</v>
      </c>
      <c r="D165" s="198">
        <f t="shared" ref="D165:H169" si="51">ROUND(D201*D185/10^6,0)</f>
        <v>338</v>
      </c>
      <c r="E165" s="198">
        <f t="shared" si="51"/>
        <v>774</v>
      </c>
      <c r="F165" s="198">
        <f t="shared" si="51"/>
        <v>714</v>
      </c>
      <c r="G165" s="198">
        <f t="shared" si="51"/>
        <v>739</v>
      </c>
      <c r="H165" s="198">
        <f t="shared" si="51"/>
        <v>765</v>
      </c>
    </row>
    <row r="166" spans="3:9">
      <c r="C166" s="197" t="s">
        <v>413</v>
      </c>
      <c r="D166" s="198">
        <f t="shared" si="51"/>
        <v>609</v>
      </c>
      <c r="E166" s="198">
        <f t="shared" si="51"/>
        <v>1375</v>
      </c>
      <c r="F166" s="198">
        <f t="shared" si="51"/>
        <v>1234</v>
      </c>
      <c r="G166" s="198">
        <f t="shared" si="51"/>
        <v>1278</v>
      </c>
      <c r="H166" s="198">
        <f t="shared" si="51"/>
        <v>1322</v>
      </c>
    </row>
    <row r="167" spans="3:9">
      <c r="C167" s="197" t="s">
        <v>395</v>
      </c>
      <c r="D167" s="198">
        <f t="shared" si="51"/>
        <v>64</v>
      </c>
      <c r="E167" s="198">
        <f t="shared" si="51"/>
        <v>143</v>
      </c>
      <c r="F167" s="198">
        <f t="shared" si="51"/>
        <v>125</v>
      </c>
      <c r="G167" s="198">
        <f t="shared" si="51"/>
        <v>129</v>
      </c>
      <c r="H167" s="198">
        <f t="shared" si="51"/>
        <v>134</v>
      </c>
    </row>
    <row r="168" spans="3:9">
      <c r="C168" s="197" t="s">
        <v>396</v>
      </c>
      <c r="D168" s="198">
        <f t="shared" si="51"/>
        <v>45</v>
      </c>
      <c r="E168" s="198">
        <f t="shared" si="51"/>
        <v>102</v>
      </c>
      <c r="F168" s="198">
        <f t="shared" si="51"/>
        <v>92</v>
      </c>
      <c r="G168" s="198">
        <f t="shared" si="51"/>
        <v>95</v>
      </c>
      <c r="H168" s="198">
        <f t="shared" si="51"/>
        <v>99</v>
      </c>
    </row>
    <row r="169" spans="3:9">
      <c r="C169" s="197" t="s">
        <v>397</v>
      </c>
      <c r="D169" s="198">
        <f t="shared" si="51"/>
        <v>55</v>
      </c>
      <c r="E169" s="198">
        <f t="shared" si="51"/>
        <v>131</v>
      </c>
      <c r="F169" s="198">
        <f t="shared" si="51"/>
        <v>126</v>
      </c>
      <c r="G169" s="198">
        <f t="shared" si="51"/>
        <v>131</v>
      </c>
      <c r="H169" s="198">
        <f t="shared" si="51"/>
        <v>135</v>
      </c>
    </row>
    <row r="170" spans="3:9">
      <c r="C170" s="197" t="s">
        <v>408</v>
      </c>
      <c r="D170" s="200">
        <f>SUM(D165:D169)</f>
        <v>1111</v>
      </c>
      <c r="E170" s="200">
        <f>SUM(E165:E169)</f>
        <v>2525</v>
      </c>
      <c r="F170" s="200">
        <f>SUM(F165:F169)</f>
        <v>2291</v>
      </c>
      <c r="G170" s="200">
        <f>SUM(G165:G169)</f>
        <v>2372</v>
      </c>
      <c r="H170" s="200">
        <f>SUM(H165:H169)</f>
        <v>2455</v>
      </c>
    </row>
    <row r="173" spans="3:9">
      <c r="C173" t="s">
        <v>403</v>
      </c>
    </row>
    <row r="174" spans="3:9">
      <c r="C174" t="s">
        <v>431</v>
      </c>
    </row>
    <row r="175" spans="3:9">
      <c r="C175" t="s">
        <v>432</v>
      </c>
    </row>
    <row r="176" spans="3:9">
      <c r="C176" t="s">
        <v>433</v>
      </c>
    </row>
    <row r="177" spans="3:12">
      <c r="C177" t="s">
        <v>434</v>
      </c>
    </row>
    <row r="178" spans="3:12">
      <c r="C178" t="s">
        <v>435</v>
      </c>
    </row>
    <row r="179" spans="3:12">
      <c r="C179" t="s">
        <v>436</v>
      </c>
    </row>
    <row r="180" spans="3:12">
      <c r="C180" t="s">
        <v>437</v>
      </c>
    </row>
    <row r="181" spans="3:12">
      <c r="C181" t="s">
        <v>438</v>
      </c>
    </row>
    <row r="183" spans="3:12">
      <c r="C183" s="337" t="s">
        <v>403</v>
      </c>
      <c r="D183" s="199" t="s">
        <v>242</v>
      </c>
      <c r="E183" s="199"/>
      <c r="F183" s="199"/>
      <c r="G183" s="199"/>
      <c r="H183" s="199"/>
    </row>
    <row r="184" spans="3:12">
      <c r="C184" s="338"/>
      <c r="D184" s="197" t="s">
        <v>200</v>
      </c>
      <c r="E184" s="197" t="s">
        <v>148</v>
      </c>
      <c r="F184" s="197" t="s">
        <v>149</v>
      </c>
      <c r="G184" s="197" t="s">
        <v>150</v>
      </c>
      <c r="H184" s="197" t="s">
        <v>207</v>
      </c>
    </row>
    <row r="185" spans="3:12">
      <c r="C185" s="197" t="s">
        <v>394</v>
      </c>
      <c r="D185" s="198">
        <f>E135*5/12</f>
        <v>24085.416666666668</v>
      </c>
      <c r="E185" s="198">
        <f>E135*7/12+F135*5/12</f>
        <v>53515</v>
      </c>
      <c r="F185" s="198">
        <f>G135</f>
        <v>47509</v>
      </c>
      <c r="G185" s="198">
        <f>H135</f>
        <v>47509</v>
      </c>
      <c r="H185" s="198">
        <f>I135</f>
        <v>47509</v>
      </c>
      <c r="J185" s="206"/>
      <c r="K185" s="206"/>
      <c r="L185" s="206"/>
    </row>
    <row r="186" spans="3:12">
      <c r="C186" s="197" t="s">
        <v>414</v>
      </c>
      <c r="D186" s="198">
        <f t="shared" ref="D186:D189" si="52">E136*5/12</f>
        <v>29632.083333333332</v>
      </c>
      <c r="E186" s="198">
        <f t="shared" ref="E186:E189" si="53">E136*7/12+F136*5/12</f>
        <v>64815.75</v>
      </c>
      <c r="F186" s="198">
        <f t="shared" ref="F186:G189" si="54">G136</f>
        <v>55994</v>
      </c>
      <c r="G186" s="198">
        <f t="shared" si="54"/>
        <v>55994</v>
      </c>
      <c r="H186" s="198">
        <f t="shared" ref="H186" si="55">I136</f>
        <v>55994</v>
      </c>
      <c r="J186" s="206"/>
    </row>
    <row r="187" spans="3:12">
      <c r="C187" s="197" t="s">
        <v>395</v>
      </c>
      <c r="D187" s="198">
        <f t="shared" si="52"/>
        <v>9632.0833333333339</v>
      </c>
      <c r="E187" s="198">
        <f t="shared" si="53"/>
        <v>20770.333333333332</v>
      </c>
      <c r="F187" s="198">
        <f t="shared" si="54"/>
        <v>17485</v>
      </c>
      <c r="G187" s="198">
        <f t="shared" si="54"/>
        <v>17485</v>
      </c>
      <c r="H187" s="198">
        <f t="shared" ref="H187" si="56">I137</f>
        <v>17485</v>
      </c>
      <c r="J187" s="206"/>
    </row>
    <row r="188" spans="3:12">
      <c r="C188" s="197" t="s">
        <v>396</v>
      </c>
      <c r="D188" s="198">
        <f t="shared" si="52"/>
        <v>8524.5833333333339</v>
      </c>
      <c r="E188" s="198">
        <f t="shared" si="53"/>
        <v>18757.75</v>
      </c>
      <c r="F188" s="198">
        <f t="shared" si="54"/>
        <v>16376</v>
      </c>
      <c r="G188" s="198">
        <f t="shared" si="54"/>
        <v>16376</v>
      </c>
      <c r="H188" s="198">
        <f t="shared" ref="H188" si="57">I138</f>
        <v>16376</v>
      </c>
      <c r="J188" s="206"/>
    </row>
    <row r="189" spans="3:12">
      <c r="C189" s="197" t="s">
        <v>397</v>
      </c>
      <c r="D189" s="198">
        <f t="shared" si="52"/>
        <v>7334.166666666667</v>
      </c>
      <c r="E189" s="198">
        <f t="shared" si="53"/>
        <v>16759.5</v>
      </c>
      <c r="F189" s="198">
        <f t="shared" si="54"/>
        <v>15580</v>
      </c>
      <c r="G189" s="198">
        <f t="shared" si="54"/>
        <v>15580</v>
      </c>
      <c r="H189" s="198">
        <f t="shared" ref="H189" si="58">I139</f>
        <v>15580</v>
      </c>
      <c r="J189" s="206"/>
    </row>
    <row r="190" spans="3:12">
      <c r="C190" s="197" t="s">
        <v>398</v>
      </c>
      <c r="D190" s="200">
        <f>SUM(D185:D189)</f>
        <v>79208.333333333343</v>
      </c>
      <c r="E190" s="200">
        <f>SUM(E185:E189)</f>
        <v>174618.33333333334</v>
      </c>
      <c r="F190" s="200">
        <f>SUM(F185:F189)</f>
        <v>152944</v>
      </c>
      <c r="G190" s="200">
        <f>SUM(G185:G189)</f>
        <v>152944</v>
      </c>
      <c r="H190" s="200">
        <f>SUM(H185:H189)</f>
        <v>152944</v>
      </c>
    </row>
    <row r="193" spans="3:8">
      <c r="C193" t="s">
        <v>399</v>
      </c>
    </row>
    <row r="194" spans="3:8">
      <c r="C194" t="s">
        <v>439</v>
      </c>
    </row>
    <row r="195" spans="3:8">
      <c r="C195" t="s">
        <v>440</v>
      </c>
    </row>
    <row r="197" spans="3:8">
      <c r="D197" s="196">
        <f>E151</f>
        <v>0</v>
      </c>
      <c r="E197" s="196">
        <f t="shared" ref="E197:H197" si="59">F151</f>
        <v>3.2000000000000001E-2</v>
      </c>
      <c r="F197" s="196">
        <f t="shared" si="59"/>
        <v>3.9E-2</v>
      </c>
      <c r="G197" s="196">
        <f t="shared" si="59"/>
        <v>3.5000000000000003E-2</v>
      </c>
      <c r="H197" s="196">
        <f t="shared" si="59"/>
        <v>3.5000000000000003E-2</v>
      </c>
    </row>
    <row r="198" spans="3:8">
      <c r="H198" t="s">
        <v>402</v>
      </c>
    </row>
    <row r="199" spans="3:8">
      <c r="C199" s="337" t="s">
        <v>399</v>
      </c>
      <c r="D199" s="199" t="s">
        <v>242</v>
      </c>
      <c r="E199" s="199"/>
      <c r="F199" s="199"/>
      <c r="G199" s="199"/>
      <c r="H199" s="199"/>
    </row>
    <row r="200" spans="3:8">
      <c r="C200" s="338"/>
      <c r="D200" s="197" t="s">
        <v>200</v>
      </c>
      <c r="E200" s="197" t="s">
        <v>148</v>
      </c>
      <c r="F200" s="197" t="s">
        <v>149</v>
      </c>
      <c r="G200" s="197" t="s">
        <v>150</v>
      </c>
      <c r="H200" s="197" t="s">
        <v>207</v>
      </c>
    </row>
    <row r="201" spans="3:8">
      <c r="C201" s="197" t="s">
        <v>394</v>
      </c>
      <c r="D201" s="198">
        <f>D155</f>
        <v>14015</v>
      </c>
      <c r="E201" s="198">
        <f>D201*(1+E197)</f>
        <v>14463.48</v>
      </c>
      <c r="F201" s="198">
        <f t="shared" ref="F201:H201" si="60">E201*(1+F197)+1</f>
        <v>15028.555719999998</v>
      </c>
      <c r="G201" s="198">
        <f t="shared" si="60"/>
        <v>15555.555170199998</v>
      </c>
      <c r="H201" s="198">
        <f t="shared" si="60"/>
        <v>16100.999601156997</v>
      </c>
    </row>
    <row r="202" spans="3:8">
      <c r="C202" s="197" t="s">
        <v>413</v>
      </c>
      <c r="D202" s="198">
        <f t="shared" ref="D202:D205" si="61">D156</f>
        <v>20556</v>
      </c>
      <c r="E202" s="198">
        <f>D202*(1+E197)+1</f>
        <v>21214.792000000001</v>
      </c>
      <c r="F202" s="198">
        <f t="shared" ref="F202:H202" si="62">E202*(1+F197)+1</f>
        <v>22043.168888</v>
      </c>
      <c r="G202" s="198">
        <f t="shared" si="62"/>
        <v>22815.679799079997</v>
      </c>
      <c r="H202" s="198">
        <f t="shared" si="62"/>
        <v>23615.228592047795</v>
      </c>
    </row>
    <row r="203" spans="3:8">
      <c r="C203" s="197" t="s">
        <v>395</v>
      </c>
      <c r="D203" s="198">
        <f t="shared" si="61"/>
        <v>6652</v>
      </c>
      <c r="E203" s="198">
        <f>D203*(1+E197)+1</f>
        <v>6865.8640000000005</v>
      </c>
      <c r="F203" s="198">
        <f>E203*(1+F197)-1</f>
        <v>7132.6326959999997</v>
      </c>
      <c r="G203" s="198">
        <f>F203*(1+G197)</f>
        <v>7382.274840359999</v>
      </c>
      <c r="H203" s="198">
        <f>G203*(1+H197)</f>
        <v>7640.6544597725988</v>
      </c>
    </row>
    <row r="204" spans="3:8">
      <c r="C204" s="197" t="s">
        <v>396</v>
      </c>
      <c r="D204" s="198">
        <f t="shared" si="61"/>
        <v>5254</v>
      </c>
      <c r="E204" s="198">
        <f>D204*(1+E197)</f>
        <v>5422.1279999999997</v>
      </c>
      <c r="F204" s="198">
        <f>E204*(1+F197)-1</f>
        <v>5632.5909919999995</v>
      </c>
      <c r="G204" s="198">
        <f>F204*(1+G197)+1</f>
        <v>5830.7316767199991</v>
      </c>
      <c r="H204" s="198">
        <f>G204*(1+H197)-1</f>
        <v>6033.8072854051989</v>
      </c>
    </row>
    <row r="205" spans="3:8">
      <c r="C205" s="197" t="s">
        <v>397</v>
      </c>
      <c r="D205" s="198">
        <f t="shared" si="61"/>
        <v>7555</v>
      </c>
      <c r="E205" s="198">
        <f>D205*(1+E197)</f>
        <v>7796.76</v>
      </c>
      <c r="F205" s="198">
        <f>E205*(1+F197)</f>
        <v>8100.8336399999998</v>
      </c>
      <c r="G205" s="198">
        <f>F205*(1+G197)</f>
        <v>8384.3628173999987</v>
      </c>
      <c r="H205" s="198">
        <f>G205*(1+H197)+1</f>
        <v>8678.8155160089973</v>
      </c>
    </row>
    <row r="208" spans="3:8">
      <c r="C208" s="201" t="s">
        <v>441</v>
      </c>
      <c r="H208" s="168" t="s">
        <v>407</v>
      </c>
    </row>
    <row r="209" spans="3:8">
      <c r="C209" s="337" t="s">
        <v>3</v>
      </c>
      <c r="D209" s="199" t="s">
        <v>242</v>
      </c>
      <c r="E209" s="199"/>
      <c r="F209" s="199"/>
      <c r="G209" s="199"/>
      <c r="H209" s="199"/>
    </row>
    <row r="210" spans="3:8">
      <c r="C210" s="338"/>
      <c r="D210" s="197" t="s">
        <v>200</v>
      </c>
      <c r="E210" s="197" t="s">
        <v>148</v>
      </c>
      <c r="F210" s="197" t="s">
        <v>149</v>
      </c>
      <c r="G210" s="197" t="s">
        <v>150</v>
      </c>
      <c r="H210" s="197" t="s">
        <v>207</v>
      </c>
    </row>
    <row r="211" spans="3:8">
      <c r="C211" s="197" t="s">
        <v>394</v>
      </c>
      <c r="D211" s="198">
        <f t="shared" ref="D211:H214" si="63">ROUND(D245*D230/10^6,0)</f>
        <v>545</v>
      </c>
      <c r="E211" s="198">
        <f t="shared" si="63"/>
        <v>6560</v>
      </c>
      <c r="F211" s="198">
        <f t="shared" si="63"/>
        <v>4594</v>
      </c>
      <c r="G211" s="198">
        <f t="shared" si="63"/>
        <v>3804</v>
      </c>
      <c r="H211" s="198">
        <f t="shared" si="63"/>
        <v>3937</v>
      </c>
    </row>
    <row r="212" spans="3:8">
      <c r="C212" s="197" t="s">
        <v>395</v>
      </c>
      <c r="D212" s="198">
        <f t="shared" si="63"/>
        <v>138</v>
      </c>
      <c r="E212" s="198">
        <f t="shared" si="63"/>
        <v>1657</v>
      </c>
      <c r="F212" s="198">
        <f t="shared" si="63"/>
        <v>1159</v>
      </c>
      <c r="G212" s="198">
        <f t="shared" si="63"/>
        <v>982</v>
      </c>
      <c r="H212" s="198">
        <f t="shared" si="63"/>
        <v>1017</v>
      </c>
    </row>
    <row r="213" spans="3:8">
      <c r="C213" s="197" t="s">
        <v>396</v>
      </c>
      <c r="D213" s="198">
        <f t="shared" si="63"/>
        <v>95</v>
      </c>
      <c r="E213" s="198">
        <f t="shared" si="63"/>
        <v>1136</v>
      </c>
      <c r="F213" s="198">
        <f t="shared" si="63"/>
        <v>711</v>
      </c>
      <c r="G213" s="198">
        <f t="shared" si="63"/>
        <v>336</v>
      </c>
      <c r="H213" s="198">
        <f t="shared" si="63"/>
        <v>347</v>
      </c>
    </row>
    <row r="214" spans="3:8">
      <c r="C214" s="197" t="s">
        <v>397</v>
      </c>
      <c r="D214" s="198">
        <f t="shared" si="63"/>
        <v>28</v>
      </c>
      <c r="E214" s="198">
        <f t="shared" si="63"/>
        <v>351</v>
      </c>
      <c r="F214" s="198">
        <f t="shared" si="63"/>
        <v>418</v>
      </c>
      <c r="G214" s="198">
        <f t="shared" si="63"/>
        <v>362</v>
      </c>
      <c r="H214" s="198">
        <f t="shared" si="63"/>
        <v>375</v>
      </c>
    </row>
    <row r="215" spans="3:8">
      <c r="C215" s="197" t="s">
        <v>408</v>
      </c>
      <c r="D215" s="200">
        <f>SUM(D211:D214)</f>
        <v>806</v>
      </c>
      <c r="E215" s="200">
        <f>SUM(E211:E214)</f>
        <v>9704</v>
      </c>
      <c r="F215" s="200">
        <f>SUM(F211:F214)</f>
        <v>6882</v>
      </c>
      <c r="G215" s="200">
        <f>SUM(G211:G214)</f>
        <v>5484</v>
      </c>
      <c r="H215" s="200">
        <f>SUM(H211:H214)</f>
        <v>5676</v>
      </c>
    </row>
    <row r="218" spans="3:8">
      <c r="C218" t="s">
        <v>403</v>
      </c>
    </row>
    <row r="219" spans="3:8">
      <c r="C219" t="s">
        <v>442</v>
      </c>
    </row>
    <row r="220" spans="3:8">
      <c r="C220" t="s">
        <v>443</v>
      </c>
    </row>
    <row r="221" spans="3:8">
      <c r="C221" t="s">
        <v>444</v>
      </c>
    </row>
    <row r="222" spans="3:8">
      <c r="C222" t="s">
        <v>445</v>
      </c>
    </row>
    <row r="223" spans="3:8">
      <c r="C223" t="s">
        <v>446</v>
      </c>
    </row>
    <row r="224" spans="3:8">
      <c r="C224" t="s">
        <v>447</v>
      </c>
    </row>
    <row r="225" spans="3:13">
      <c r="C225" t="s">
        <v>448</v>
      </c>
    </row>
    <row r="226" spans="3:13">
      <c r="C226" t="s">
        <v>404</v>
      </c>
    </row>
    <row r="228" spans="3:13">
      <c r="C228" s="337" t="s">
        <v>403</v>
      </c>
      <c r="D228" s="199" t="s">
        <v>242</v>
      </c>
      <c r="E228" s="199"/>
      <c r="F228" s="199"/>
      <c r="G228" s="199"/>
      <c r="H228" s="199"/>
    </row>
    <row r="229" spans="3:13">
      <c r="C229" s="338"/>
      <c r="D229" s="197" t="s">
        <v>200</v>
      </c>
      <c r="E229" s="197" t="s">
        <v>148</v>
      </c>
      <c r="F229" s="197" t="s">
        <v>149</v>
      </c>
      <c r="G229" s="197" t="s">
        <v>150</v>
      </c>
      <c r="H229" s="197" t="s">
        <v>207</v>
      </c>
    </row>
    <row r="230" spans="3:13">
      <c r="C230" s="197" t="s">
        <v>394</v>
      </c>
      <c r="D230" s="198">
        <v>18207</v>
      </c>
      <c r="E230" s="198">
        <v>212426</v>
      </c>
      <c r="F230" s="198">
        <f>D16*11/12+E16*1/12</f>
        <v>143181.16666666666</v>
      </c>
      <c r="G230" s="198">
        <v>114528</v>
      </c>
      <c r="H230" s="198">
        <f>G230</f>
        <v>114528</v>
      </c>
      <c r="I230">
        <f>E230/D230-1</f>
        <v>10.667270829900588</v>
      </c>
      <c r="J230" s="205"/>
      <c r="K230" s="205">
        <f>P16*11/12</f>
        <v>200277</v>
      </c>
      <c r="L230" s="205">
        <f>E230-K230</f>
        <v>12149</v>
      </c>
      <c r="M230" s="205">
        <f>L230*12</f>
        <v>145788</v>
      </c>
    </row>
    <row r="231" spans="3:13">
      <c r="C231" s="197" t="s">
        <v>395</v>
      </c>
      <c r="D231" s="198">
        <v>10430</v>
      </c>
      <c r="E231" s="198">
        <v>121668</v>
      </c>
      <c r="F231" s="198">
        <f t="shared" ref="F231:F233" si="64">D17*11/12+E17*1/12</f>
        <v>81905</v>
      </c>
      <c r="G231" s="198">
        <v>67088</v>
      </c>
      <c r="H231" s="198">
        <f t="shared" ref="H231:H233" si="65">G231</f>
        <v>67088</v>
      </c>
      <c r="I231">
        <f t="shared" ref="I231:I233" si="66">E231/D231-1</f>
        <v>10.665196548418026</v>
      </c>
      <c r="J231" s="205"/>
      <c r="K231" s="205">
        <f t="shared" ref="K231:K233" si="67">P17*11/12</f>
        <v>114730</v>
      </c>
      <c r="L231" s="205">
        <f t="shared" ref="L231:L233" si="68">E231-K231</f>
        <v>6938</v>
      </c>
      <c r="M231" s="205">
        <f t="shared" ref="M231:M233" si="69">L231*12</f>
        <v>83256</v>
      </c>
    </row>
    <row r="232" spans="3:13">
      <c r="C232" s="197" t="s">
        <v>396</v>
      </c>
      <c r="D232" s="198">
        <v>13873</v>
      </c>
      <c r="E232" s="198">
        <v>161091</v>
      </c>
      <c r="F232" s="198">
        <f t="shared" si="64"/>
        <v>97006.166666666672</v>
      </c>
      <c r="G232" s="198">
        <v>44252</v>
      </c>
      <c r="H232" s="198">
        <f t="shared" si="65"/>
        <v>44252</v>
      </c>
      <c r="I232">
        <f t="shared" si="66"/>
        <v>10.611835940315721</v>
      </c>
      <c r="J232" s="205"/>
      <c r="K232" s="205">
        <f t="shared" si="67"/>
        <v>152603</v>
      </c>
      <c r="L232" s="205">
        <f t="shared" si="68"/>
        <v>8488</v>
      </c>
      <c r="M232" s="205">
        <f t="shared" si="69"/>
        <v>101856</v>
      </c>
    </row>
    <row r="233" spans="3:13">
      <c r="C233" s="197" t="s">
        <v>397</v>
      </c>
      <c r="D233" s="198">
        <v>2642</v>
      </c>
      <c r="E233" s="198">
        <v>32180</v>
      </c>
      <c r="F233" s="198">
        <f t="shared" si="64"/>
        <v>36879.833333333328</v>
      </c>
      <c r="G233" s="198">
        <v>30872</v>
      </c>
      <c r="H233" s="198">
        <f t="shared" si="65"/>
        <v>30872</v>
      </c>
      <c r="I233">
        <f t="shared" si="66"/>
        <v>11.180166540499622</v>
      </c>
      <c r="J233" s="205"/>
      <c r="K233" s="205">
        <f t="shared" si="67"/>
        <v>29062</v>
      </c>
      <c r="L233" s="205">
        <f t="shared" si="68"/>
        <v>3118</v>
      </c>
      <c r="M233" s="205">
        <f t="shared" si="69"/>
        <v>37416</v>
      </c>
    </row>
    <row r="234" spans="3:13">
      <c r="C234" s="197" t="s">
        <v>398</v>
      </c>
      <c r="D234" s="200">
        <f>SUM(D230:D233)</f>
        <v>45152</v>
      </c>
      <c r="E234" s="200">
        <f>SUM(E230:E233)</f>
        <v>527365</v>
      </c>
      <c r="F234" s="200">
        <f>SUM(F230:F233)</f>
        <v>358972.16666666663</v>
      </c>
      <c r="G234" s="200">
        <f>SUM(G230:G233)</f>
        <v>256740</v>
      </c>
      <c r="H234" s="200">
        <f>SUM(H230:H233)</f>
        <v>256740</v>
      </c>
    </row>
    <row r="237" spans="3:13">
      <c r="C237" t="s">
        <v>399</v>
      </c>
    </row>
    <row r="238" spans="3:13">
      <c r="C238" t="s">
        <v>449</v>
      </c>
    </row>
    <row r="239" spans="3:13">
      <c r="C239" t="s">
        <v>440</v>
      </c>
    </row>
    <row r="241" spans="3:8">
      <c r="D241" s="196">
        <f>D197</f>
        <v>0</v>
      </c>
      <c r="E241" s="196">
        <f t="shared" ref="E241:H241" si="70">E197</f>
        <v>3.2000000000000001E-2</v>
      </c>
      <c r="F241" s="196">
        <f t="shared" si="70"/>
        <v>3.9E-2</v>
      </c>
      <c r="G241" s="196">
        <f t="shared" si="70"/>
        <v>3.5000000000000003E-2</v>
      </c>
      <c r="H241" s="196">
        <f t="shared" si="70"/>
        <v>3.5000000000000003E-2</v>
      </c>
    </row>
    <row r="242" spans="3:8">
      <c r="H242" t="s">
        <v>402</v>
      </c>
    </row>
    <row r="243" spans="3:8">
      <c r="C243" s="337" t="s">
        <v>399</v>
      </c>
      <c r="D243" s="199" t="s">
        <v>242</v>
      </c>
      <c r="E243" s="199"/>
      <c r="F243" s="199"/>
      <c r="G243" s="199"/>
      <c r="H243" s="199"/>
    </row>
    <row r="244" spans="3:8">
      <c r="C244" s="338"/>
      <c r="D244" s="197" t="s">
        <v>200</v>
      </c>
      <c r="E244" s="197" t="s">
        <v>148</v>
      </c>
      <c r="F244" s="197" t="s">
        <v>149</v>
      </c>
      <c r="G244" s="197" t="s">
        <v>150</v>
      </c>
      <c r="H244" s="197" t="s">
        <v>207</v>
      </c>
    </row>
    <row r="245" spans="3:8">
      <c r="C245" s="197" t="s">
        <v>394</v>
      </c>
      <c r="D245" s="198">
        <v>29925</v>
      </c>
      <c r="E245" s="198">
        <f>D245*(1+E241)</f>
        <v>30882.600000000002</v>
      </c>
      <c r="F245" s="198">
        <f t="shared" ref="F245:H245" si="71">E245*(1+F241)+1</f>
        <v>32088.021400000001</v>
      </c>
      <c r="G245" s="198">
        <f t="shared" si="71"/>
        <v>33212.102148999998</v>
      </c>
      <c r="H245" s="198">
        <f t="shared" si="71"/>
        <v>34375.525724214996</v>
      </c>
    </row>
    <row r="246" spans="3:8">
      <c r="C246" s="197" t="s">
        <v>395</v>
      </c>
      <c r="D246" s="198">
        <v>13193</v>
      </c>
      <c r="E246" s="198">
        <f>D246*(1+E241)+1</f>
        <v>13616.175999999999</v>
      </c>
      <c r="F246" s="198">
        <f>E246*(1+F241)-1</f>
        <v>14146.206863999998</v>
      </c>
      <c r="G246" s="198">
        <f>F246*(1+G241)</f>
        <v>14641.324104239997</v>
      </c>
      <c r="H246" s="198">
        <f>G246*(1+H241)</f>
        <v>15153.770447888395</v>
      </c>
    </row>
    <row r="247" spans="3:8">
      <c r="C247" s="197" t="s">
        <v>396</v>
      </c>
      <c r="D247" s="198">
        <v>6833</v>
      </c>
      <c r="E247" s="198">
        <f>D247*(1+E241)</f>
        <v>7051.6559999999999</v>
      </c>
      <c r="F247" s="198">
        <f>E247*(1+F241)-1</f>
        <v>7325.6705839999995</v>
      </c>
      <c r="G247" s="198">
        <f>F247*(1+G241)+1</f>
        <v>7583.0690544399986</v>
      </c>
      <c r="H247" s="198">
        <f>G247*(1+H241)-1</f>
        <v>7847.4764713453978</v>
      </c>
    </row>
    <row r="248" spans="3:8">
      <c r="C248" s="197" t="s">
        <v>397</v>
      </c>
      <c r="D248" s="198">
        <v>10576</v>
      </c>
      <c r="E248" s="198">
        <f>D248*(1+E241)</f>
        <v>10914.432000000001</v>
      </c>
      <c r="F248" s="198">
        <f>E248*(1+F241)</f>
        <v>11340.094848000001</v>
      </c>
      <c r="G248" s="198">
        <f>F248*(1+G241)</f>
        <v>11736.99816768</v>
      </c>
      <c r="H248" s="198">
        <f>G248*(1+H241)+1</f>
        <v>12148.793103548798</v>
      </c>
    </row>
    <row r="251" spans="3:8">
      <c r="C251" s="201" t="s">
        <v>450</v>
      </c>
      <c r="H251" s="168" t="s">
        <v>407</v>
      </c>
    </row>
    <row r="252" spans="3:8">
      <c r="C252" s="337" t="s">
        <v>3</v>
      </c>
      <c r="D252" s="199" t="s">
        <v>242</v>
      </c>
      <c r="E252" s="199"/>
      <c r="F252" s="199"/>
      <c r="G252" s="199"/>
      <c r="H252" s="199"/>
    </row>
    <row r="253" spans="3:8">
      <c r="C253" s="338"/>
      <c r="D253" s="197" t="s">
        <v>200</v>
      </c>
      <c r="E253" s="197" t="s">
        <v>148</v>
      </c>
      <c r="F253" s="197" t="s">
        <v>149</v>
      </c>
      <c r="G253" s="197" t="s">
        <v>150</v>
      </c>
      <c r="H253" s="197" t="s">
        <v>207</v>
      </c>
    </row>
    <row r="254" spans="3:8">
      <c r="C254" s="197" t="s">
        <v>394</v>
      </c>
      <c r="D254" s="198">
        <f>ROUND(D290*D274/10^6,0)</f>
        <v>0</v>
      </c>
      <c r="E254" s="198">
        <f>ROUND(E290*E274/10^6,0)</f>
        <v>485</v>
      </c>
      <c r="F254" s="198">
        <f>ROUND(F290*F274/10^6,0)</f>
        <v>775</v>
      </c>
      <c r="G254" s="198">
        <f>ROUND(G290*G274/10^6,0)</f>
        <v>736</v>
      </c>
      <c r="H254" s="198">
        <f>ROUND(H290*H274/10^6,0)</f>
        <v>761</v>
      </c>
    </row>
    <row r="255" spans="3:8">
      <c r="C255" s="197" t="s">
        <v>413</v>
      </c>
      <c r="D255" s="198">
        <f t="shared" ref="D255:D258" si="72">ROUND(D291*D275/10^6,0)</f>
        <v>0</v>
      </c>
      <c r="E255" s="198">
        <f t="shared" ref="E255:H258" si="73">ROUND(E291*E275/10^6,0)</f>
        <v>879</v>
      </c>
      <c r="F255" s="198">
        <f t="shared" si="73"/>
        <v>1372</v>
      </c>
      <c r="G255" s="198">
        <f t="shared" si="73"/>
        <v>1276</v>
      </c>
      <c r="H255" s="198">
        <f t="shared" si="73"/>
        <v>1321</v>
      </c>
    </row>
    <row r="256" spans="3:8">
      <c r="C256" s="197" t="s">
        <v>395</v>
      </c>
      <c r="D256" s="198">
        <f t="shared" si="72"/>
        <v>0</v>
      </c>
      <c r="E256" s="198">
        <f t="shared" si="73"/>
        <v>95</v>
      </c>
      <c r="F256" s="198">
        <f t="shared" si="73"/>
        <v>145</v>
      </c>
      <c r="G256" s="198">
        <f t="shared" si="73"/>
        <v>132</v>
      </c>
      <c r="H256" s="198">
        <f t="shared" si="73"/>
        <v>137</v>
      </c>
    </row>
    <row r="257" spans="3:8">
      <c r="C257" s="197" t="s">
        <v>396</v>
      </c>
      <c r="D257" s="198">
        <f t="shared" si="72"/>
        <v>0</v>
      </c>
      <c r="E257" s="198">
        <f t="shared" si="73"/>
        <v>63</v>
      </c>
      <c r="F257" s="198">
        <f t="shared" si="73"/>
        <v>99</v>
      </c>
      <c r="G257" s="198">
        <f t="shared" si="73"/>
        <v>93</v>
      </c>
      <c r="H257" s="198">
        <f t="shared" si="73"/>
        <v>96</v>
      </c>
    </row>
    <row r="258" spans="3:8">
      <c r="C258" s="197" t="s">
        <v>397</v>
      </c>
      <c r="D258" s="198">
        <f t="shared" si="72"/>
        <v>0</v>
      </c>
      <c r="E258" s="198">
        <f t="shared" si="73"/>
        <v>72</v>
      </c>
      <c r="F258" s="198">
        <f t="shared" si="73"/>
        <v>119</v>
      </c>
      <c r="G258" s="198">
        <f t="shared" si="73"/>
        <v>117</v>
      </c>
      <c r="H258" s="198">
        <f t="shared" si="73"/>
        <v>121</v>
      </c>
    </row>
    <row r="259" spans="3:8">
      <c r="C259" s="197" t="s">
        <v>408</v>
      </c>
      <c r="D259" s="200">
        <f>SUM(D254:D258)</f>
        <v>0</v>
      </c>
      <c r="E259" s="200">
        <f>SUM(E254:E258)</f>
        <v>1594</v>
      </c>
      <c r="F259" s="200">
        <f>SUM(F254:F258)</f>
        <v>2510</v>
      </c>
      <c r="G259" s="200">
        <f>SUM(G254:G258)</f>
        <v>2354</v>
      </c>
      <c r="H259" s="200">
        <f>SUM(H254:H258)</f>
        <v>2436</v>
      </c>
    </row>
    <row r="262" spans="3:8">
      <c r="C262" t="s">
        <v>403</v>
      </c>
    </row>
    <row r="263" spans="3:8">
      <c r="C263" t="s">
        <v>451</v>
      </c>
    </row>
    <row r="264" spans="3:8">
      <c r="C264" t="s">
        <v>432</v>
      </c>
    </row>
    <row r="265" spans="3:8">
      <c r="C265" t="s">
        <v>452</v>
      </c>
    </row>
    <row r="266" spans="3:8">
      <c r="C266" t="s">
        <v>453</v>
      </c>
    </row>
    <row r="267" spans="3:8">
      <c r="C267" t="s">
        <v>454</v>
      </c>
    </row>
    <row r="268" spans="3:8">
      <c r="C268" t="s">
        <v>455</v>
      </c>
    </row>
    <row r="269" spans="3:8">
      <c r="C269" t="s">
        <v>437</v>
      </c>
    </row>
    <row r="270" spans="3:8">
      <c r="C270" t="s">
        <v>438</v>
      </c>
    </row>
    <row r="272" spans="3:8">
      <c r="C272" s="337" t="s">
        <v>403</v>
      </c>
      <c r="D272" s="199" t="s">
        <v>242</v>
      </c>
      <c r="E272" s="199"/>
      <c r="F272" s="199"/>
      <c r="G272" s="199"/>
      <c r="H272" s="199"/>
    </row>
    <row r="273" spans="3:10">
      <c r="C273" s="338"/>
      <c r="D273" s="197" t="s">
        <v>200</v>
      </c>
      <c r="E273" s="197" t="s">
        <v>148</v>
      </c>
      <c r="F273" s="197" t="s">
        <v>149</v>
      </c>
      <c r="G273" s="197" t="s">
        <v>150</v>
      </c>
      <c r="H273" s="197" t="s">
        <v>207</v>
      </c>
    </row>
    <row r="274" spans="3:10">
      <c r="C274" s="197" t="s">
        <v>394</v>
      </c>
      <c r="D274" s="198">
        <v>0</v>
      </c>
      <c r="E274" s="198">
        <f>E135*7/12</f>
        <v>33719.583333333336</v>
      </c>
      <c r="F274" s="198">
        <v>51799</v>
      </c>
      <c r="G274" s="198">
        <f>H135</f>
        <v>47509</v>
      </c>
      <c r="H274" s="198">
        <f>G274</f>
        <v>47509</v>
      </c>
      <c r="I274" t="e">
        <f>E274/D274-1</f>
        <v>#DIV/0!</v>
      </c>
      <c r="J274" s="205"/>
    </row>
    <row r="275" spans="3:10">
      <c r="C275" s="197" t="s">
        <v>414</v>
      </c>
      <c r="D275" s="198">
        <v>0</v>
      </c>
      <c r="E275" s="198">
        <f t="shared" ref="E275:E278" si="74">E136*7/12</f>
        <v>41484.916666666664</v>
      </c>
      <c r="F275" s="198">
        <v>62295</v>
      </c>
      <c r="G275" s="198">
        <f>H136</f>
        <v>55994</v>
      </c>
      <c r="H275" s="198">
        <f t="shared" ref="H275:H278" si="75">G275</f>
        <v>55994</v>
      </c>
    </row>
    <row r="276" spans="3:10">
      <c r="C276" s="197" t="s">
        <v>395</v>
      </c>
      <c r="D276" s="198">
        <v>0</v>
      </c>
      <c r="E276" s="198">
        <f t="shared" si="74"/>
        <v>13484.916666666666</v>
      </c>
      <c r="F276" s="198">
        <v>19832</v>
      </c>
      <c r="G276" s="198">
        <f>H137</f>
        <v>17485</v>
      </c>
      <c r="H276" s="198">
        <f t="shared" si="75"/>
        <v>17485</v>
      </c>
      <c r="I276" t="e">
        <f t="shared" ref="I276:I278" si="76">E276/D276-1</f>
        <v>#DIV/0!</v>
      </c>
    </row>
    <row r="277" spans="3:10">
      <c r="C277" s="197" t="s">
        <v>396</v>
      </c>
      <c r="D277" s="198">
        <v>0</v>
      </c>
      <c r="E277" s="198">
        <f t="shared" si="74"/>
        <v>11934.416666666666</v>
      </c>
      <c r="F277" s="198">
        <v>18077</v>
      </c>
      <c r="G277" s="198">
        <f>H138</f>
        <v>16376</v>
      </c>
      <c r="H277" s="198">
        <f t="shared" si="75"/>
        <v>16376</v>
      </c>
      <c r="I277" t="e">
        <f t="shared" si="76"/>
        <v>#DIV/0!</v>
      </c>
    </row>
    <row r="278" spans="3:10">
      <c r="C278" s="197" t="s">
        <v>397</v>
      </c>
      <c r="D278" s="198">
        <v>0</v>
      </c>
      <c r="E278" s="198">
        <f t="shared" si="74"/>
        <v>10267.833333333334</v>
      </c>
      <c r="F278" s="198">
        <v>16423</v>
      </c>
      <c r="G278" s="198">
        <f>H139</f>
        <v>15580</v>
      </c>
      <c r="H278" s="198">
        <f t="shared" si="75"/>
        <v>15580</v>
      </c>
      <c r="I278" t="e">
        <f t="shared" si="76"/>
        <v>#DIV/0!</v>
      </c>
    </row>
    <row r="279" spans="3:10">
      <c r="C279" s="197" t="s">
        <v>398</v>
      </c>
      <c r="D279" s="200">
        <f>SUM(D274:D278)</f>
        <v>0</v>
      </c>
      <c r="E279" s="200">
        <f>SUM(E274:E278)</f>
        <v>110891.66666666667</v>
      </c>
      <c r="F279" s="200">
        <f>SUM(F274:F278)</f>
        <v>168426</v>
      </c>
      <c r="G279" s="200">
        <f>SUM(G274:G278)</f>
        <v>152944</v>
      </c>
      <c r="H279" s="200">
        <f>SUM(H274:H278)</f>
        <v>152944</v>
      </c>
    </row>
    <row r="282" spans="3:10">
      <c r="C282" t="s">
        <v>399</v>
      </c>
    </row>
    <row r="283" spans="3:10">
      <c r="C283" t="s">
        <v>456</v>
      </c>
    </row>
    <row r="284" spans="3:10">
      <c r="C284" t="s">
        <v>440</v>
      </c>
    </row>
    <row r="286" spans="3:10">
      <c r="D286" s="196">
        <f>D241</f>
        <v>0</v>
      </c>
      <c r="E286" s="196">
        <f t="shared" ref="E286:H286" si="77">E241</f>
        <v>3.2000000000000001E-2</v>
      </c>
      <c r="F286" s="196">
        <f t="shared" si="77"/>
        <v>3.9E-2</v>
      </c>
      <c r="G286" s="196">
        <f t="shared" si="77"/>
        <v>3.5000000000000003E-2</v>
      </c>
      <c r="H286" s="196">
        <f t="shared" si="77"/>
        <v>3.5000000000000003E-2</v>
      </c>
    </row>
    <row r="287" spans="3:10">
      <c r="H287" t="s">
        <v>402</v>
      </c>
    </row>
    <row r="288" spans="3:10">
      <c r="C288" s="337" t="s">
        <v>399</v>
      </c>
      <c r="D288" s="199" t="s">
        <v>242</v>
      </c>
      <c r="E288" s="199"/>
      <c r="F288" s="199"/>
      <c r="G288" s="199"/>
      <c r="H288" s="199"/>
    </row>
    <row r="289" spans="3:8">
      <c r="C289" s="338"/>
      <c r="D289" s="197" t="s">
        <v>200</v>
      </c>
      <c r="E289" s="197" t="s">
        <v>148</v>
      </c>
      <c r="F289" s="197" t="s">
        <v>149</v>
      </c>
      <c r="G289" s="197" t="s">
        <v>150</v>
      </c>
      <c r="H289" s="197" t="s">
        <v>207</v>
      </c>
    </row>
    <row r="290" spans="3:8">
      <c r="C290" s="197" t="s">
        <v>394</v>
      </c>
      <c r="D290" s="198">
        <v>0</v>
      </c>
      <c r="E290" s="198">
        <v>14398</v>
      </c>
      <c r="F290" s="198">
        <f t="shared" ref="F290:H290" si="78">E290*(1+F286)+1</f>
        <v>14960.521999999999</v>
      </c>
      <c r="G290" s="198">
        <f t="shared" si="78"/>
        <v>15485.140269999998</v>
      </c>
      <c r="H290" s="198">
        <f t="shared" si="78"/>
        <v>16028.120179449998</v>
      </c>
    </row>
    <row r="291" spans="3:8">
      <c r="C291" s="197" t="s">
        <v>413</v>
      </c>
      <c r="D291" s="198">
        <v>0</v>
      </c>
      <c r="E291" s="198">
        <v>21194</v>
      </c>
      <c r="F291" s="198">
        <f>E291*(1+F286)+1</f>
        <v>22021.565999999999</v>
      </c>
      <c r="G291" s="198">
        <f t="shared" ref="G291:H291" si="79">F291*(1+G286)+1</f>
        <v>22793.320809999997</v>
      </c>
      <c r="H291" s="198">
        <f t="shared" si="79"/>
        <v>23592.087038349997</v>
      </c>
    </row>
    <row r="292" spans="3:8">
      <c r="C292" s="197" t="s">
        <v>395</v>
      </c>
      <c r="D292" s="198">
        <v>0</v>
      </c>
      <c r="E292" s="198">
        <v>7035</v>
      </c>
      <c r="F292" s="198">
        <f>E292*(1+F286)-1</f>
        <v>7308.3649999999998</v>
      </c>
      <c r="G292" s="198">
        <f>F292*(1+G286)</f>
        <v>7564.1577749999988</v>
      </c>
      <c r="H292" s="198">
        <f>G292*(1+H286)</f>
        <v>7828.9032971249981</v>
      </c>
    </row>
    <row r="293" spans="3:8">
      <c r="C293" s="197" t="s">
        <v>396</v>
      </c>
      <c r="D293" s="198">
        <v>0</v>
      </c>
      <c r="E293" s="198">
        <v>5259</v>
      </c>
      <c r="F293" s="198">
        <f>E293*(1+F286)-1</f>
        <v>5463.1009999999997</v>
      </c>
      <c r="G293" s="198">
        <f>F293*(1+G286)+1</f>
        <v>5655.3095349999994</v>
      </c>
      <c r="H293" s="198">
        <f>G293*(1+H286)-1</f>
        <v>5852.245368724999</v>
      </c>
    </row>
    <row r="294" spans="3:8">
      <c r="C294" s="197" t="s">
        <v>397</v>
      </c>
      <c r="D294" s="198">
        <v>0</v>
      </c>
      <c r="E294" s="198">
        <v>6995</v>
      </c>
      <c r="F294" s="198">
        <f>E294*(1+F286)</f>
        <v>7267.8049999999994</v>
      </c>
      <c r="G294" s="198">
        <f>F294*(1+G286)</f>
        <v>7522.1781749999991</v>
      </c>
      <c r="H294" s="198">
        <f>G294*(1+H286)+1</f>
        <v>7786.4544111249988</v>
      </c>
    </row>
    <row r="297" spans="3:8">
      <c r="C297" s="201" t="s">
        <v>457</v>
      </c>
      <c r="H297" s="168" t="s">
        <v>407</v>
      </c>
    </row>
    <row r="298" spans="3:8">
      <c r="C298" s="337" t="s">
        <v>3</v>
      </c>
      <c r="D298" s="199" t="s">
        <v>242</v>
      </c>
      <c r="E298" s="199"/>
      <c r="F298" s="199"/>
      <c r="G298" s="199"/>
      <c r="H298" s="199"/>
    </row>
    <row r="299" spans="3:8">
      <c r="C299" s="338"/>
      <c r="D299" s="197" t="s">
        <v>200</v>
      </c>
      <c r="E299" s="197" t="s">
        <v>148</v>
      </c>
      <c r="F299" s="197" t="s">
        <v>149</v>
      </c>
      <c r="G299" s="197" t="s">
        <v>150</v>
      </c>
      <c r="H299" s="197" t="s">
        <v>207</v>
      </c>
    </row>
    <row r="300" spans="3:8">
      <c r="C300" s="197" t="s">
        <v>394</v>
      </c>
      <c r="D300" s="198">
        <f>ROUND(D336*D320/10^6,0)</f>
        <v>0</v>
      </c>
      <c r="E300" s="198">
        <f>ROUND(E336*E320/10^6,0)</f>
        <v>69</v>
      </c>
      <c r="F300" s="198">
        <f>ROUND(F336*F320/10^6,0)</f>
        <v>852</v>
      </c>
      <c r="G300" s="198">
        <f>ROUND(G336*G320/10^6,0)</f>
        <v>736</v>
      </c>
      <c r="H300" s="198">
        <f>ROUND(H336*H320/10^6,0)</f>
        <v>761</v>
      </c>
    </row>
    <row r="301" spans="3:8">
      <c r="C301" s="197" t="s">
        <v>413</v>
      </c>
      <c r="D301" s="198">
        <f t="shared" ref="D301:D304" si="80">ROUND(D337*D321/10^6,0)</f>
        <v>0</v>
      </c>
      <c r="E301" s="198">
        <f t="shared" ref="E301:H304" si="81">ROUND(E337*E321/10^6,0)</f>
        <v>126</v>
      </c>
      <c r="F301" s="198">
        <f t="shared" si="81"/>
        <v>1538</v>
      </c>
      <c r="G301" s="198">
        <f t="shared" si="81"/>
        <v>1276</v>
      </c>
      <c r="H301" s="198">
        <f t="shared" si="81"/>
        <v>1321</v>
      </c>
    </row>
    <row r="302" spans="3:8">
      <c r="C302" s="197" t="s">
        <v>395</v>
      </c>
      <c r="D302" s="198">
        <f t="shared" si="80"/>
        <v>0</v>
      </c>
      <c r="E302" s="198">
        <f t="shared" si="81"/>
        <v>14</v>
      </c>
      <c r="F302" s="198">
        <f t="shared" si="81"/>
        <v>166</v>
      </c>
      <c r="G302" s="198">
        <f t="shared" si="81"/>
        <v>132</v>
      </c>
      <c r="H302" s="198">
        <f t="shared" si="81"/>
        <v>137</v>
      </c>
    </row>
    <row r="303" spans="3:8">
      <c r="C303" s="197" t="s">
        <v>396</v>
      </c>
      <c r="D303" s="198">
        <f t="shared" si="80"/>
        <v>0</v>
      </c>
      <c r="E303" s="198">
        <f t="shared" si="81"/>
        <v>9</v>
      </c>
      <c r="F303" s="198">
        <f t="shared" si="81"/>
        <v>110</v>
      </c>
      <c r="G303" s="198">
        <f t="shared" si="81"/>
        <v>93</v>
      </c>
      <c r="H303" s="198">
        <f t="shared" si="81"/>
        <v>96</v>
      </c>
    </row>
    <row r="304" spans="3:8">
      <c r="C304" s="197" t="s">
        <v>397</v>
      </c>
      <c r="D304" s="198">
        <f t="shared" si="80"/>
        <v>0</v>
      </c>
      <c r="E304" s="198">
        <f t="shared" si="81"/>
        <v>10</v>
      </c>
      <c r="F304" s="198">
        <f t="shared" si="81"/>
        <v>127</v>
      </c>
      <c r="G304" s="198">
        <f t="shared" si="81"/>
        <v>117</v>
      </c>
      <c r="H304" s="198">
        <f t="shared" si="81"/>
        <v>121</v>
      </c>
    </row>
    <row r="305" spans="3:11">
      <c r="C305" s="197" t="s">
        <v>408</v>
      </c>
      <c r="D305" s="200">
        <f>SUM(D300:D304)</f>
        <v>0</v>
      </c>
      <c r="E305" s="200">
        <f>SUM(E300:E304)</f>
        <v>228</v>
      </c>
      <c r="F305" s="200">
        <f>SUM(F300:F304)</f>
        <v>2793</v>
      </c>
      <c r="G305" s="200">
        <f>SUM(G300:G304)</f>
        <v>2354</v>
      </c>
      <c r="H305" s="200">
        <f>SUM(H300:H304)</f>
        <v>2436</v>
      </c>
    </row>
    <row r="308" spans="3:11">
      <c r="C308" t="s">
        <v>403</v>
      </c>
    </row>
    <row r="309" spans="3:11">
      <c r="C309" t="s">
        <v>458</v>
      </c>
    </row>
    <row r="310" spans="3:11">
      <c r="C310" t="s">
        <v>432</v>
      </c>
    </row>
    <row r="311" spans="3:11">
      <c r="C311" t="s">
        <v>459</v>
      </c>
    </row>
    <row r="312" spans="3:11">
      <c r="C312" t="s">
        <v>460</v>
      </c>
    </row>
    <row r="313" spans="3:11">
      <c r="C313" t="s">
        <v>461</v>
      </c>
    </row>
    <row r="314" spans="3:11">
      <c r="C314" t="s">
        <v>462</v>
      </c>
    </row>
    <row r="315" spans="3:11">
      <c r="C315" t="s">
        <v>437</v>
      </c>
    </row>
    <row r="316" spans="3:11">
      <c r="C316" t="s">
        <v>438</v>
      </c>
    </row>
    <row r="318" spans="3:11">
      <c r="C318" s="337" t="s">
        <v>403</v>
      </c>
      <c r="D318" s="199" t="s">
        <v>242</v>
      </c>
      <c r="E318" s="199"/>
      <c r="F318" s="199"/>
      <c r="G318" s="199"/>
      <c r="H318" s="199"/>
    </row>
    <row r="319" spans="3:11">
      <c r="C319" s="338"/>
      <c r="D319" s="197" t="s">
        <v>200</v>
      </c>
      <c r="E319" s="197" t="s">
        <v>148</v>
      </c>
      <c r="F319" s="197" t="s">
        <v>149</v>
      </c>
      <c r="G319" s="197" t="s">
        <v>150</v>
      </c>
      <c r="H319" s="197" t="s">
        <v>207</v>
      </c>
    </row>
    <row r="320" spans="3:11">
      <c r="C320" s="197" t="s">
        <v>394</v>
      </c>
      <c r="D320" s="198">
        <v>0</v>
      </c>
      <c r="E320" s="198">
        <f>E135/12</f>
        <v>4817.083333333333</v>
      </c>
      <c r="F320" s="198">
        <f>E135*11/12+F135/12</f>
        <v>56947</v>
      </c>
      <c r="G320" s="198">
        <f>F135*11/12+G135/12</f>
        <v>47509</v>
      </c>
      <c r="H320" s="198">
        <f>G135*11/12+H135/12</f>
        <v>47509</v>
      </c>
      <c r="I320" t="e">
        <f>E320/D320-1</f>
        <v>#DIV/0!</v>
      </c>
      <c r="J320" s="205"/>
      <c r="K320" s="205"/>
    </row>
    <row r="321" spans="3:9">
      <c r="C321" s="197" t="s">
        <v>414</v>
      </c>
      <c r="D321" s="198">
        <v>0</v>
      </c>
      <c r="E321" s="198">
        <f t="shared" ref="E321:E324" si="82">E136/12</f>
        <v>5926.416666666667</v>
      </c>
      <c r="F321" s="198">
        <f t="shared" ref="F321:G324" si="83">E136*11/12+F136/12</f>
        <v>69856.75</v>
      </c>
      <c r="G321" s="198">
        <f t="shared" si="83"/>
        <v>55994</v>
      </c>
      <c r="H321" s="198">
        <f t="shared" ref="H321" si="84">G136*11/12+H136/12</f>
        <v>55994</v>
      </c>
      <c r="I321" t="e">
        <f>E321/D321-1</f>
        <v>#DIV/0!</v>
      </c>
    </row>
    <row r="322" spans="3:9">
      <c r="C322" s="197" t="s">
        <v>395</v>
      </c>
      <c r="D322" s="198">
        <v>0</v>
      </c>
      <c r="E322" s="198">
        <f t="shared" si="82"/>
        <v>1926.4166666666667</v>
      </c>
      <c r="F322" s="198">
        <f t="shared" si="83"/>
        <v>22647.666666666664</v>
      </c>
      <c r="G322" s="198">
        <f t="shared" si="83"/>
        <v>17485</v>
      </c>
      <c r="H322" s="198">
        <f t="shared" ref="H322" si="85">G137*11/12+H137/12</f>
        <v>17485</v>
      </c>
      <c r="I322" t="e">
        <f t="shared" ref="I322:I324" si="86">E322/D322-1</f>
        <v>#DIV/0!</v>
      </c>
    </row>
    <row r="323" spans="3:9">
      <c r="C323" s="197" t="s">
        <v>396</v>
      </c>
      <c r="D323" s="198">
        <v>0</v>
      </c>
      <c r="E323" s="198">
        <f t="shared" si="82"/>
        <v>1704.9166666666667</v>
      </c>
      <c r="F323" s="198">
        <f t="shared" si="83"/>
        <v>20118.75</v>
      </c>
      <c r="G323" s="198">
        <f t="shared" si="83"/>
        <v>16376</v>
      </c>
      <c r="H323" s="198">
        <f t="shared" ref="H323" si="87">G138*11/12+H138/12</f>
        <v>16376</v>
      </c>
      <c r="I323" t="e">
        <f t="shared" si="86"/>
        <v>#DIV/0!</v>
      </c>
    </row>
    <row r="324" spans="3:9">
      <c r="C324" s="197" t="s">
        <v>397</v>
      </c>
      <c r="D324" s="198">
        <v>0</v>
      </c>
      <c r="E324" s="198">
        <f t="shared" si="82"/>
        <v>1466.8333333333333</v>
      </c>
      <c r="F324" s="198">
        <f t="shared" si="83"/>
        <v>17433.5</v>
      </c>
      <c r="G324" s="198">
        <f t="shared" si="83"/>
        <v>15580</v>
      </c>
      <c r="H324" s="198">
        <f t="shared" ref="H324" si="88">G139*11/12+H139/12</f>
        <v>15580</v>
      </c>
      <c r="I324" t="e">
        <f t="shared" si="86"/>
        <v>#DIV/0!</v>
      </c>
    </row>
    <row r="325" spans="3:9">
      <c r="C325" s="197" t="s">
        <v>398</v>
      </c>
      <c r="D325" s="200">
        <f>SUM(D320:D324)</f>
        <v>0</v>
      </c>
      <c r="E325" s="200">
        <f>SUM(E320:E324)</f>
        <v>15841.666666666666</v>
      </c>
      <c r="F325" s="200">
        <f>SUM(F320:F324)</f>
        <v>187003.66666666666</v>
      </c>
      <c r="G325" s="200">
        <f>SUM(G320:G324)</f>
        <v>152944</v>
      </c>
      <c r="H325" s="200">
        <f>SUM(H320:H324)</f>
        <v>152944</v>
      </c>
    </row>
    <row r="328" spans="3:9">
      <c r="C328" t="s">
        <v>399</v>
      </c>
    </row>
    <row r="329" spans="3:9">
      <c r="C329" t="s">
        <v>463</v>
      </c>
    </row>
    <row r="330" spans="3:9">
      <c r="C330" t="s">
        <v>440</v>
      </c>
    </row>
    <row r="332" spans="3:9">
      <c r="D332" s="196">
        <f>D286</f>
        <v>0</v>
      </c>
      <c r="E332" s="196">
        <f t="shared" ref="E332:H332" si="89">E286</f>
        <v>3.2000000000000001E-2</v>
      </c>
      <c r="F332" s="196">
        <f t="shared" si="89"/>
        <v>3.9E-2</v>
      </c>
      <c r="G332" s="196">
        <f t="shared" si="89"/>
        <v>3.5000000000000003E-2</v>
      </c>
      <c r="H332" s="196">
        <f t="shared" si="89"/>
        <v>3.5000000000000003E-2</v>
      </c>
    </row>
    <row r="333" spans="3:9">
      <c r="H333" t="s">
        <v>402</v>
      </c>
    </row>
    <row r="334" spans="3:9">
      <c r="C334" s="337" t="s">
        <v>399</v>
      </c>
      <c r="D334" s="199" t="s">
        <v>242</v>
      </c>
      <c r="E334" s="199"/>
      <c r="F334" s="199"/>
      <c r="G334" s="199"/>
      <c r="H334" s="199"/>
    </row>
    <row r="335" spans="3:9">
      <c r="C335" s="338"/>
      <c r="D335" s="197" t="s">
        <v>200</v>
      </c>
      <c r="E335" s="197" t="s">
        <v>148</v>
      </c>
      <c r="F335" s="197" t="s">
        <v>149</v>
      </c>
      <c r="G335" s="197" t="s">
        <v>150</v>
      </c>
      <c r="H335" s="197" t="s">
        <v>207</v>
      </c>
    </row>
    <row r="336" spans="3:9">
      <c r="C336" s="197" t="s">
        <v>394</v>
      </c>
      <c r="D336" s="198">
        <v>0</v>
      </c>
      <c r="E336" s="198">
        <v>14398</v>
      </c>
      <c r="F336" s="198">
        <f t="shared" ref="F336:H336" si="90">E336*(1+F332)+1</f>
        <v>14960.521999999999</v>
      </c>
      <c r="G336" s="198">
        <f t="shared" si="90"/>
        <v>15485.140269999998</v>
      </c>
      <c r="H336" s="198">
        <f t="shared" si="90"/>
        <v>16028.120179449998</v>
      </c>
    </row>
    <row r="337" spans="3:8">
      <c r="C337" s="197" t="s">
        <v>413</v>
      </c>
      <c r="D337" s="198">
        <v>0</v>
      </c>
      <c r="E337" s="198">
        <v>21194</v>
      </c>
      <c r="F337" s="198">
        <f>E337*(1+F332)+1</f>
        <v>22021.565999999999</v>
      </c>
      <c r="G337" s="198">
        <f t="shared" ref="G337:H337" si="91">F337*(1+G332)+1</f>
        <v>22793.320809999997</v>
      </c>
      <c r="H337" s="198">
        <f t="shared" si="91"/>
        <v>23592.087038349997</v>
      </c>
    </row>
    <row r="338" spans="3:8">
      <c r="C338" s="197" t="s">
        <v>395</v>
      </c>
      <c r="D338" s="198">
        <v>0</v>
      </c>
      <c r="E338" s="198">
        <v>7035</v>
      </c>
      <c r="F338" s="198">
        <f>E338*(1+F332)-1</f>
        <v>7308.3649999999998</v>
      </c>
      <c r="G338" s="198">
        <f>F338*(1+G332)</f>
        <v>7564.1577749999988</v>
      </c>
      <c r="H338" s="198">
        <f>G338*(1+H332)</f>
        <v>7828.9032971249981</v>
      </c>
    </row>
    <row r="339" spans="3:8">
      <c r="C339" s="197" t="s">
        <v>396</v>
      </c>
      <c r="D339" s="198">
        <v>0</v>
      </c>
      <c r="E339" s="198">
        <v>5259</v>
      </c>
      <c r="F339" s="198">
        <f>E339*(1+F332)-1</f>
        <v>5463.1009999999997</v>
      </c>
      <c r="G339" s="198">
        <f>F339*(1+G332)+1</f>
        <v>5655.3095349999994</v>
      </c>
      <c r="H339" s="198">
        <f>G339*(1+H332)-1</f>
        <v>5852.245368724999</v>
      </c>
    </row>
    <row r="340" spans="3:8">
      <c r="C340" s="197" t="s">
        <v>397</v>
      </c>
      <c r="D340" s="198">
        <v>0</v>
      </c>
      <c r="E340" s="198">
        <v>6995</v>
      </c>
      <c r="F340" s="198">
        <f>E340*(1+F332)</f>
        <v>7267.8049999999994</v>
      </c>
      <c r="G340" s="198">
        <f>F340*(1+G332)</f>
        <v>7522.1781749999991</v>
      </c>
      <c r="H340" s="198">
        <f>G340*(1+H332)+1</f>
        <v>7786.4544111249988</v>
      </c>
    </row>
    <row r="343" spans="3:8">
      <c r="C343" s="201" t="s">
        <v>464</v>
      </c>
      <c r="H343" s="168" t="s">
        <v>407</v>
      </c>
    </row>
    <row r="344" spans="3:8">
      <c r="C344" s="337" t="s">
        <v>3</v>
      </c>
      <c r="D344" s="199" t="s">
        <v>242</v>
      </c>
      <c r="E344" s="199"/>
      <c r="F344" s="199"/>
      <c r="G344" s="199"/>
      <c r="H344" s="199"/>
    </row>
    <row r="345" spans="3:8">
      <c r="C345" s="338"/>
      <c r="D345" s="197" t="s">
        <v>200</v>
      </c>
      <c r="E345" s="197" t="s">
        <v>148</v>
      </c>
      <c r="F345" s="197" t="s">
        <v>149</v>
      </c>
      <c r="G345" s="197" t="s">
        <v>150</v>
      </c>
      <c r="H345" s="197" t="s">
        <v>207</v>
      </c>
    </row>
    <row r="346" spans="3:8">
      <c r="C346" s="197" t="s">
        <v>394</v>
      </c>
      <c r="D346" s="198">
        <f>ROUND(D382*D366/10^6,0)</f>
        <v>0</v>
      </c>
      <c r="E346" s="198">
        <f>ROUND(E382*E366/10^6,0)</f>
        <v>0</v>
      </c>
      <c r="F346" s="198">
        <f>ROUND(F382*F366/10^6,0)</f>
        <v>505</v>
      </c>
      <c r="G346" s="198">
        <f>ROUND(G382*G366/10^6,0)</f>
        <v>804</v>
      </c>
      <c r="H346" s="198">
        <f>ROUND(H382*H366/10^6,0)</f>
        <v>763</v>
      </c>
    </row>
    <row r="347" spans="3:8">
      <c r="C347" s="197" t="s">
        <v>413</v>
      </c>
      <c r="D347" s="198">
        <f t="shared" ref="D347:D350" si="92">ROUND(D383*D367/10^6,0)</f>
        <v>0</v>
      </c>
      <c r="E347" s="198">
        <f t="shared" ref="E347:H350" si="93">ROUND(E383*E367/10^6,0)</f>
        <v>0</v>
      </c>
      <c r="F347" s="198">
        <f t="shared" si="93"/>
        <v>915</v>
      </c>
      <c r="G347" s="198">
        <f t="shared" si="93"/>
        <v>1423</v>
      </c>
      <c r="H347" s="198">
        <f t="shared" si="93"/>
        <v>1324</v>
      </c>
    </row>
    <row r="348" spans="3:8">
      <c r="C348" s="197" t="s">
        <v>395</v>
      </c>
      <c r="D348" s="198">
        <f t="shared" si="92"/>
        <v>0</v>
      </c>
      <c r="E348" s="198">
        <f t="shared" si="93"/>
        <v>0</v>
      </c>
      <c r="F348" s="198">
        <f t="shared" si="93"/>
        <v>99</v>
      </c>
      <c r="G348" s="198">
        <f t="shared" si="93"/>
        <v>150</v>
      </c>
      <c r="H348" s="198">
        <f t="shared" si="93"/>
        <v>137</v>
      </c>
    </row>
    <row r="349" spans="3:8">
      <c r="C349" s="197" t="s">
        <v>396</v>
      </c>
      <c r="D349" s="198">
        <f t="shared" si="92"/>
        <v>0</v>
      </c>
      <c r="E349" s="198">
        <f t="shared" si="93"/>
        <v>0</v>
      </c>
      <c r="F349" s="198">
        <f t="shared" si="93"/>
        <v>65</v>
      </c>
      <c r="G349" s="198">
        <f t="shared" si="93"/>
        <v>102</v>
      </c>
      <c r="H349" s="198">
        <f t="shared" si="93"/>
        <v>96</v>
      </c>
    </row>
    <row r="350" spans="3:8">
      <c r="C350" s="197" t="s">
        <v>397</v>
      </c>
      <c r="D350" s="198">
        <f t="shared" si="92"/>
        <v>0</v>
      </c>
      <c r="E350" s="198">
        <f t="shared" si="93"/>
        <v>0</v>
      </c>
      <c r="F350" s="198">
        <f t="shared" si="93"/>
        <v>75</v>
      </c>
      <c r="G350" s="198">
        <f t="shared" si="93"/>
        <v>124</v>
      </c>
      <c r="H350" s="198">
        <f t="shared" si="93"/>
        <v>122</v>
      </c>
    </row>
    <row r="351" spans="3:8">
      <c r="C351" s="197" t="s">
        <v>408</v>
      </c>
      <c r="D351" s="200">
        <f>SUM(D346:D350)</f>
        <v>0</v>
      </c>
      <c r="E351" s="200">
        <f>SUM(E346:E350)</f>
        <v>0</v>
      </c>
      <c r="F351" s="200">
        <f>SUM(F346:F350)</f>
        <v>1659</v>
      </c>
      <c r="G351" s="200">
        <f>SUM(G346:G350)</f>
        <v>2603</v>
      </c>
      <c r="H351" s="200">
        <f>SUM(H346:H350)</f>
        <v>2442</v>
      </c>
    </row>
    <row r="354" spans="3:11">
      <c r="C354" t="s">
        <v>403</v>
      </c>
    </row>
    <row r="355" spans="3:11">
      <c r="C355" t="s">
        <v>465</v>
      </c>
    </row>
    <row r="356" spans="3:11">
      <c r="C356" t="s">
        <v>466</v>
      </c>
    </row>
    <row r="357" spans="3:11">
      <c r="C357" t="s">
        <v>467</v>
      </c>
    </row>
    <row r="358" spans="3:11">
      <c r="C358" t="s">
        <v>468</v>
      </c>
    </row>
    <row r="359" spans="3:11">
      <c r="C359" t="s">
        <v>469</v>
      </c>
    </row>
    <row r="360" spans="3:11">
      <c r="C360" t="s">
        <v>470</v>
      </c>
    </row>
    <row r="361" spans="3:11">
      <c r="C361" t="s">
        <v>471</v>
      </c>
    </row>
    <row r="362" spans="3:11">
      <c r="C362" t="s">
        <v>429</v>
      </c>
    </row>
    <row r="364" spans="3:11">
      <c r="C364" s="337" t="s">
        <v>403</v>
      </c>
      <c r="D364" s="199" t="s">
        <v>242</v>
      </c>
      <c r="E364" s="199"/>
      <c r="F364" s="199"/>
      <c r="G364" s="199"/>
      <c r="H364" s="199"/>
    </row>
    <row r="365" spans="3:11">
      <c r="C365" s="338"/>
      <c r="D365" s="197" t="s">
        <v>200</v>
      </c>
      <c r="E365" s="197" t="s">
        <v>148</v>
      </c>
      <c r="F365" s="197" t="s">
        <v>149</v>
      </c>
      <c r="G365" s="197" t="s">
        <v>150</v>
      </c>
      <c r="H365" s="197" t="s">
        <v>207</v>
      </c>
    </row>
    <row r="366" spans="3:11">
      <c r="C366" s="197" t="s">
        <v>394</v>
      </c>
      <c r="D366" s="198">
        <v>0</v>
      </c>
      <c r="E366" s="198">
        <v>0</v>
      </c>
      <c r="F366" s="198">
        <f>E135*7/12</f>
        <v>33719.583333333336</v>
      </c>
      <c r="G366" s="198">
        <f>E135*5/12+F135*7/12</f>
        <v>51799</v>
      </c>
      <c r="H366" s="198">
        <f>H135</f>
        <v>47509</v>
      </c>
      <c r="I366" t="e">
        <f>E366/D366-1</f>
        <v>#DIV/0!</v>
      </c>
      <c r="J366" s="205"/>
      <c r="K366" s="205"/>
    </row>
    <row r="367" spans="3:11">
      <c r="C367" s="197" t="s">
        <v>414</v>
      </c>
      <c r="D367" s="198">
        <v>0</v>
      </c>
      <c r="E367" s="198">
        <v>0</v>
      </c>
      <c r="F367" s="198">
        <f t="shared" ref="F367:F370" si="94">E136*7/12</f>
        <v>41484.916666666664</v>
      </c>
      <c r="G367" s="198">
        <f t="shared" ref="G367:G370" si="95">E136*5/12+F136*7/12</f>
        <v>62295.25</v>
      </c>
      <c r="H367" s="198">
        <f t="shared" ref="H367:H370" si="96">H136</f>
        <v>55994</v>
      </c>
      <c r="I367" t="e">
        <f>E367/D367-1</f>
        <v>#DIV/0!</v>
      </c>
    </row>
    <row r="368" spans="3:11">
      <c r="C368" s="197" t="s">
        <v>395</v>
      </c>
      <c r="D368" s="198">
        <v>0</v>
      </c>
      <c r="E368" s="198">
        <v>0</v>
      </c>
      <c r="F368" s="198">
        <f t="shared" si="94"/>
        <v>13484.916666666666</v>
      </c>
      <c r="G368" s="198">
        <f t="shared" si="95"/>
        <v>19831.666666666668</v>
      </c>
      <c r="H368" s="198">
        <f t="shared" si="96"/>
        <v>17485</v>
      </c>
      <c r="I368" t="e">
        <f t="shared" ref="I368:I370" si="97">E368/D368-1</f>
        <v>#DIV/0!</v>
      </c>
    </row>
    <row r="369" spans="3:9">
      <c r="C369" s="197" t="s">
        <v>396</v>
      </c>
      <c r="D369" s="198">
        <v>0</v>
      </c>
      <c r="E369" s="198">
        <v>0</v>
      </c>
      <c r="F369" s="198">
        <f t="shared" si="94"/>
        <v>11934.416666666666</v>
      </c>
      <c r="G369" s="198">
        <f t="shared" si="95"/>
        <v>18077.25</v>
      </c>
      <c r="H369" s="198">
        <f t="shared" si="96"/>
        <v>16376</v>
      </c>
      <c r="I369" t="e">
        <f t="shared" si="97"/>
        <v>#DIV/0!</v>
      </c>
    </row>
    <row r="370" spans="3:9">
      <c r="C370" s="197" t="s">
        <v>397</v>
      </c>
      <c r="D370" s="198">
        <v>0</v>
      </c>
      <c r="E370" s="198">
        <v>0</v>
      </c>
      <c r="F370" s="198">
        <f t="shared" si="94"/>
        <v>10267.833333333334</v>
      </c>
      <c r="G370" s="198">
        <f t="shared" si="95"/>
        <v>16422.5</v>
      </c>
      <c r="H370" s="198">
        <f t="shared" si="96"/>
        <v>15580</v>
      </c>
      <c r="I370" t="e">
        <f t="shared" si="97"/>
        <v>#DIV/0!</v>
      </c>
    </row>
    <row r="371" spans="3:9">
      <c r="C371" s="197" t="s">
        <v>398</v>
      </c>
      <c r="D371" s="200">
        <f>SUM(D366:D370)</f>
        <v>0</v>
      </c>
      <c r="E371" s="200">
        <f>SUM(E366:E370)</f>
        <v>0</v>
      </c>
      <c r="F371" s="200">
        <f>SUM(F366:F370)</f>
        <v>110891.66666666667</v>
      </c>
      <c r="G371" s="200">
        <f>SUM(G366:G370)</f>
        <v>168425.66666666666</v>
      </c>
      <c r="H371" s="200">
        <f>SUM(H366:H370)</f>
        <v>152944</v>
      </c>
    </row>
    <row r="374" spans="3:9">
      <c r="C374" t="s">
        <v>399</v>
      </c>
    </row>
    <row r="375" spans="3:9">
      <c r="C375" t="s">
        <v>472</v>
      </c>
    </row>
    <row r="376" spans="3:9">
      <c r="C376" t="s">
        <v>440</v>
      </c>
    </row>
    <row r="378" spans="3:9">
      <c r="D378" s="196">
        <f>D332</f>
        <v>0</v>
      </c>
      <c r="E378" s="196">
        <f t="shared" ref="E378:H378" si="98">E332</f>
        <v>3.2000000000000001E-2</v>
      </c>
      <c r="F378" s="196">
        <f t="shared" si="98"/>
        <v>3.9E-2</v>
      </c>
      <c r="G378" s="196">
        <f t="shared" si="98"/>
        <v>3.5000000000000003E-2</v>
      </c>
      <c r="H378" s="196">
        <f t="shared" si="98"/>
        <v>3.5000000000000003E-2</v>
      </c>
    </row>
    <row r="379" spans="3:9">
      <c r="H379" t="s">
        <v>402</v>
      </c>
    </row>
    <row r="380" spans="3:9">
      <c r="C380" s="337" t="s">
        <v>399</v>
      </c>
      <c r="D380" s="199" t="s">
        <v>242</v>
      </c>
      <c r="E380" s="199"/>
      <c r="F380" s="199"/>
      <c r="G380" s="199"/>
      <c r="H380" s="199"/>
    </row>
    <row r="381" spans="3:9">
      <c r="C381" s="338"/>
      <c r="D381" s="197" t="s">
        <v>200</v>
      </c>
      <c r="E381" s="197" t="s">
        <v>148</v>
      </c>
      <c r="F381" s="197" t="s">
        <v>149</v>
      </c>
      <c r="G381" s="197" t="s">
        <v>150</v>
      </c>
      <c r="H381" s="197" t="s">
        <v>207</v>
      </c>
    </row>
    <row r="382" spans="3:9">
      <c r="C382" s="197" t="s">
        <v>394</v>
      </c>
      <c r="D382" s="198">
        <v>0</v>
      </c>
      <c r="E382" s="198">
        <v>0</v>
      </c>
      <c r="F382" s="198">
        <v>14988</v>
      </c>
      <c r="G382" s="198">
        <f t="shared" ref="G382:H382" si="99">F382*(1+G378)+1</f>
        <v>15513.579999999998</v>
      </c>
      <c r="H382" s="198">
        <f t="shared" si="99"/>
        <v>16057.555299999996</v>
      </c>
    </row>
    <row r="383" spans="3:9">
      <c r="C383" s="197" t="s">
        <v>413</v>
      </c>
      <c r="D383" s="198">
        <v>0</v>
      </c>
      <c r="E383" s="198">
        <v>0</v>
      </c>
      <c r="F383" s="198">
        <v>22063</v>
      </c>
      <c r="G383" s="198">
        <f t="shared" ref="G383:H383" si="100">F383*(1+G378)+1</f>
        <v>22836.204999999998</v>
      </c>
      <c r="H383" s="198">
        <f t="shared" si="100"/>
        <v>23636.472174999995</v>
      </c>
    </row>
    <row r="384" spans="3:9">
      <c r="C384" s="197" t="s">
        <v>395</v>
      </c>
      <c r="D384" s="198">
        <v>0</v>
      </c>
      <c r="E384" s="198">
        <v>0</v>
      </c>
      <c r="F384" s="198">
        <v>7323</v>
      </c>
      <c r="G384" s="198">
        <f>F384*(1+G378)</f>
        <v>7579.3049999999994</v>
      </c>
      <c r="H384" s="198">
        <f>G384*(1+H378)</f>
        <v>7844.5806749999983</v>
      </c>
    </row>
    <row r="385" spans="3:8">
      <c r="C385" s="197" t="s">
        <v>396</v>
      </c>
      <c r="D385" s="198">
        <v>0</v>
      </c>
      <c r="E385" s="198">
        <v>0</v>
      </c>
      <c r="F385" s="198">
        <v>5474</v>
      </c>
      <c r="G385" s="198">
        <f>F385*(1+G378)+1</f>
        <v>5666.5899999999992</v>
      </c>
      <c r="H385" s="198">
        <f>G385*(1+H378)-1</f>
        <v>5863.9206499999991</v>
      </c>
    </row>
    <row r="386" spans="3:8">
      <c r="C386" s="197" t="s">
        <v>397</v>
      </c>
      <c r="D386" s="198">
        <v>0</v>
      </c>
      <c r="E386" s="198">
        <v>0</v>
      </c>
      <c r="F386" s="198">
        <v>7281</v>
      </c>
      <c r="G386" s="198">
        <f>F386*(1+G378)</f>
        <v>7535.8349999999991</v>
      </c>
      <c r="H386" s="198">
        <f>G386*(1+H378)+1</f>
        <v>7800.5892249999988</v>
      </c>
    </row>
    <row r="390" spans="3:8">
      <c r="C390" s="201" t="s">
        <v>473</v>
      </c>
      <c r="H390" s="168" t="s">
        <v>407</v>
      </c>
    </row>
    <row r="391" spans="3:8">
      <c r="C391" s="337" t="s">
        <v>3</v>
      </c>
      <c r="D391" s="199" t="s">
        <v>242</v>
      </c>
      <c r="E391" s="199"/>
      <c r="F391" s="199"/>
      <c r="G391" s="199"/>
      <c r="H391" s="199"/>
    </row>
    <row r="392" spans="3:8">
      <c r="C392" s="338"/>
      <c r="D392" s="197" t="s">
        <v>200</v>
      </c>
      <c r="E392" s="197" t="s">
        <v>148</v>
      </c>
      <c r="F392" s="197" t="s">
        <v>149</v>
      </c>
      <c r="G392" s="197" t="s">
        <v>150</v>
      </c>
      <c r="H392" s="197" t="s">
        <v>207</v>
      </c>
    </row>
    <row r="393" spans="3:8">
      <c r="C393" s="197" t="s">
        <v>394</v>
      </c>
      <c r="D393" s="198">
        <f>ROUND(D429*D413/10^6,0)</f>
        <v>0</v>
      </c>
      <c r="E393" s="198">
        <f>ROUND(E429*E413/10^6,0)</f>
        <v>0</v>
      </c>
      <c r="F393" s="198">
        <f>ROUND(F429*F413/10^6,0)</f>
        <v>72</v>
      </c>
      <c r="G393" s="198">
        <f>ROUND(G429*G413/10^6,0)</f>
        <v>883</v>
      </c>
      <c r="H393" s="198">
        <f>ROUND(H429*H413/10^6,0)</f>
        <v>763</v>
      </c>
    </row>
    <row r="394" spans="3:8">
      <c r="C394" s="197" t="s">
        <v>413</v>
      </c>
      <c r="D394" s="198">
        <f t="shared" ref="D394:D397" si="101">ROUND(D430*D414/10^6,0)</f>
        <v>0</v>
      </c>
      <c r="E394" s="198">
        <f t="shared" ref="E394:H397" si="102">ROUND(E430*E414/10^6,0)</f>
        <v>0</v>
      </c>
      <c r="F394" s="198">
        <f t="shared" si="102"/>
        <v>131</v>
      </c>
      <c r="G394" s="198">
        <f t="shared" si="102"/>
        <v>1595</v>
      </c>
      <c r="H394" s="198">
        <f t="shared" si="102"/>
        <v>1324</v>
      </c>
    </row>
    <row r="395" spans="3:8">
      <c r="C395" s="197" t="s">
        <v>395</v>
      </c>
      <c r="D395" s="198">
        <f t="shared" si="101"/>
        <v>0</v>
      </c>
      <c r="E395" s="198">
        <f t="shared" si="102"/>
        <v>0</v>
      </c>
      <c r="F395" s="198">
        <f t="shared" si="102"/>
        <v>14</v>
      </c>
      <c r="G395" s="198">
        <f t="shared" si="102"/>
        <v>172</v>
      </c>
      <c r="H395" s="198">
        <f t="shared" si="102"/>
        <v>137</v>
      </c>
    </row>
    <row r="396" spans="3:8">
      <c r="C396" s="197" t="s">
        <v>396</v>
      </c>
      <c r="D396" s="198">
        <f t="shared" si="101"/>
        <v>0</v>
      </c>
      <c r="E396" s="198">
        <f t="shared" si="102"/>
        <v>0</v>
      </c>
      <c r="F396" s="198">
        <f t="shared" si="102"/>
        <v>9</v>
      </c>
      <c r="G396" s="198">
        <f t="shared" si="102"/>
        <v>114</v>
      </c>
      <c r="H396" s="198">
        <f t="shared" si="102"/>
        <v>96</v>
      </c>
    </row>
    <row r="397" spans="3:8">
      <c r="C397" s="197" t="s">
        <v>397</v>
      </c>
      <c r="D397" s="198">
        <f t="shared" si="101"/>
        <v>0</v>
      </c>
      <c r="E397" s="198">
        <f t="shared" si="102"/>
        <v>0</v>
      </c>
      <c r="F397" s="198">
        <f t="shared" si="102"/>
        <v>11</v>
      </c>
      <c r="G397" s="198">
        <f t="shared" si="102"/>
        <v>131</v>
      </c>
      <c r="H397" s="198">
        <f t="shared" si="102"/>
        <v>122</v>
      </c>
    </row>
    <row r="398" spans="3:8">
      <c r="C398" s="197" t="s">
        <v>408</v>
      </c>
      <c r="D398" s="200">
        <f>SUM(D393:D397)</f>
        <v>0</v>
      </c>
      <c r="E398" s="200">
        <f>SUM(E393:E397)</f>
        <v>0</v>
      </c>
      <c r="F398" s="200">
        <f>SUM(F393:F397)</f>
        <v>237</v>
      </c>
      <c r="G398" s="200">
        <f>SUM(G393:G397)</f>
        <v>2895</v>
      </c>
      <c r="H398" s="200">
        <f>SUM(H393:H397)</f>
        <v>2442</v>
      </c>
    </row>
    <row r="401" spans="3:12">
      <c r="C401" t="s">
        <v>403</v>
      </c>
    </row>
    <row r="402" spans="3:12">
      <c r="C402" t="s">
        <v>474</v>
      </c>
    </row>
    <row r="403" spans="3:12">
      <c r="C403" t="s">
        <v>466</v>
      </c>
    </row>
    <row r="404" spans="3:12">
      <c r="C404" t="s">
        <v>475</v>
      </c>
    </row>
    <row r="405" spans="3:12">
      <c r="C405" t="s">
        <v>445</v>
      </c>
    </row>
    <row r="406" spans="3:12">
      <c r="C406" t="s">
        <v>476</v>
      </c>
    </row>
    <row r="407" spans="3:12">
      <c r="C407" t="s">
        <v>447</v>
      </c>
    </row>
    <row r="408" spans="3:12">
      <c r="C408" t="s">
        <v>477</v>
      </c>
    </row>
    <row r="409" spans="3:12">
      <c r="C409" t="s">
        <v>404</v>
      </c>
    </row>
    <row r="411" spans="3:12">
      <c r="C411" s="337" t="s">
        <v>403</v>
      </c>
      <c r="D411" s="199" t="s">
        <v>242</v>
      </c>
      <c r="E411" s="199"/>
      <c r="F411" s="199"/>
      <c r="G411" s="199"/>
      <c r="H411" s="199"/>
    </row>
    <row r="412" spans="3:12">
      <c r="C412" s="338"/>
      <c r="D412" s="197" t="s">
        <v>200</v>
      </c>
      <c r="E412" s="197" t="s">
        <v>148</v>
      </c>
      <c r="F412" s="197" t="s">
        <v>149</v>
      </c>
      <c r="G412" s="197" t="s">
        <v>150</v>
      </c>
      <c r="H412" s="197" t="s">
        <v>207</v>
      </c>
    </row>
    <row r="413" spans="3:12">
      <c r="C413" s="197" t="s">
        <v>394</v>
      </c>
      <c r="D413" s="198">
        <v>0</v>
      </c>
      <c r="E413" s="198">
        <v>0</v>
      </c>
      <c r="F413" s="198">
        <f>E135/12</f>
        <v>4817.083333333333</v>
      </c>
      <c r="G413" s="198">
        <f>E135*11/12+F135*1/12</f>
        <v>56947</v>
      </c>
      <c r="H413" s="198">
        <f>G135</f>
        <v>47509</v>
      </c>
      <c r="I413" t="e">
        <f>E413/D413-1</f>
        <v>#DIV/0!</v>
      </c>
      <c r="J413" s="206"/>
      <c r="K413" s="206"/>
      <c r="L413" s="206"/>
    </row>
    <row r="414" spans="3:12">
      <c r="C414" s="197" t="s">
        <v>414</v>
      </c>
      <c r="D414" s="198">
        <v>0</v>
      </c>
      <c r="E414" s="198">
        <v>0</v>
      </c>
      <c r="F414" s="198">
        <f t="shared" ref="F414:F417" si="103">E136/12</f>
        <v>5926.416666666667</v>
      </c>
      <c r="G414" s="198">
        <f t="shared" ref="G414:G417" si="104">E136*11/12+F136*1/12</f>
        <v>69856.75</v>
      </c>
      <c r="H414" s="198">
        <f t="shared" ref="H414:H417" si="105">G136</f>
        <v>55994</v>
      </c>
      <c r="I414" t="e">
        <f>E414/D414-1</f>
        <v>#DIV/0!</v>
      </c>
    </row>
    <row r="415" spans="3:12">
      <c r="C415" s="197" t="s">
        <v>395</v>
      </c>
      <c r="D415" s="198">
        <v>0</v>
      </c>
      <c r="E415" s="198">
        <v>0</v>
      </c>
      <c r="F415" s="198">
        <f t="shared" si="103"/>
        <v>1926.4166666666667</v>
      </c>
      <c r="G415" s="198">
        <f t="shared" si="104"/>
        <v>22647.666666666664</v>
      </c>
      <c r="H415" s="198">
        <f t="shared" si="105"/>
        <v>17485</v>
      </c>
      <c r="I415" t="e">
        <f t="shared" ref="I415:I417" si="106">E415/D415-1</f>
        <v>#DIV/0!</v>
      </c>
    </row>
    <row r="416" spans="3:12">
      <c r="C416" s="197" t="s">
        <v>396</v>
      </c>
      <c r="D416" s="198">
        <v>0</v>
      </c>
      <c r="E416" s="198">
        <v>0</v>
      </c>
      <c r="F416" s="198">
        <f t="shared" si="103"/>
        <v>1704.9166666666667</v>
      </c>
      <c r="G416" s="198">
        <f t="shared" si="104"/>
        <v>20118.75</v>
      </c>
      <c r="H416" s="198">
        <f t="shared" si="105"/>
        <v>16376</v>
      </c>
      <c r="I416" t="e">
        <f t="shared" si="106"/>
        <v>#DIV/0!</v>
      </c>
    </row>
    <row r="417" spans="3:9">
      <c r="C417" s="197" t="s">
        <v>397</v>
      </c>
      <c r="D417" s="198">
        <v>0</v>
      </c>
      <c r="E417" s="198">
        <v>0</v>
      </c>
      <c r="F417" s="198">
        <f t="shared" si="103"/>
        <v>1466.8333333333333</v>
      </c>
      <c r="G417" s="198">
        <f t="shared" si="104"/>
        <v>17433.5</v>
      </c>
      <c r="H417" s="198">
        <f t="shared" si="105"/>
        <v>15580</v>
      </c>
      <c r="I417" t="e">
        <f t="shared" si="106"/>
        <v>#DIV/0!</v>
      </c>
    </row>
    <row r="418" spans="3:9">
      <c r="C418" s="197" t="s">
        <v>398</v>
      </c>
      <c r="D418" s="200">
        <f>SUM(D413:D417)</f>
        <v>0</v>
      </c>
      <c r="E418" s="200">
        <f>SUM(E413:E417)</f>
        <v>0</v>
      </c>
      <c r="F418" s="200">
        <f>SUM(F413:F417)</f>
        <v>15841.666666666666</v>
      </c>
      <c r="G418" s="200">
        <f>SUM(G413:G417)</f>
        <v>187003.66666666666</v>
      </c>
      <c r="H418" s="200">
        <f>SUM(H413:H417)</f>
        <v>152944</v>
      </c>
    </row>
    <row r="421" spans="3:9">
      <c r="C421" t="s">
        <v>399</v>
      </c>
    </row>
    <row r="422" spans="3:9">
      <c r="C422" t="s">
        <v>478</v>
      </c>
    </row>
    <row r="423" spans="3:9">
      <c r="C423" t="s">
        <v>440</v>
      </c>
    </row>
    <row r="425" spans="3:9">
      <c r="D425" s="196">
        <f>D378</f>
        <v>0</v>
      </c>
      <c r="E425" s="196">
        <f t="shared" ref="E425:H425" si="107">E378</f>
        <v>3.2000000000000001E-2</v>
      </c>
      <c r="F425" s="196">
        <f t="shared" si="107"/>
        <v>3.9E-2</v>
      </c>
      <c r="G425" s="196">
        <f t="shared" si="107"/>
        <v>3.5000000000000003E-2</v>
      </c>
      <c r="H425" s="196">
        <f t="shared" si="107"/>
        <v>3.5000000000000003E-2</v>
      </c>
    </row>
    <row r="426" spans="3:9">
      <c r="H426" t="s">
        <v>402</v>
      </c>
    </row>
    <row r="427" spans="3:9">
      <c r="C427" s="337" t="s">
        <v>399</v>
      </c>
      <c r="D427" s="199" t="s">
        <v>242</v>
      </c>
      <c r="E427" s="199"/>
      <c r="F427" s="199"/>
      <c r="G427" s="199"/>
      <c r="H427" s="199"/>
    </row>
    <row r="428" spans="3:9">
      <c r="C428" s="338"/>
      <c r="D428" s="197" t="s">
        <v>200</v>
      </c>
      <c r="E428" s="197" t="s">
        <v>148</v>
      </c>
      <c r="F428" s="197" t="s">
        <v>149</v>
      </c>
      <c r="G428" s="197" t="s">
        <v>150</v>
      </c>
      <c r="H428" s="197" t="s">
        <v>207</v>
      </c>
    </row>
    <row r="429" spans="3:9">
      <c r="C429" s="197" t="s">
        <v>394</v>
      </c>
      <c r="D429" s="198">
        <v>0</v>
      </c>
      <c r="E429" s="198">
        <v>0</v>
      </c>
      <c r="F429" s="198">
        <v>14988</v>
      </c>
      <c r="G429" s="198">
        <f t="shared" ref="G429:H429" si="108">F429*(1+G425)+1</f>
        <v>15513.579999999998</v>
      </c>
      <c r="H429" s="198">
        <f t="shared" si="108"/>
        <v>16057.555299999996</v>
      </c>
    </row>
    <row r="430" spans="3:9">
      <c r="C430" s="197" t="s">
        <v>413</v>
      </c>
      <c r="D430" s="198">
        <v>0</v>
      </c>
      <c r="E430" s="198">
        <v>0</v>
      </c>
      <c r="F430" s="198">
        <v>22063</v>
      </c>
      <c r="G430" s="198">
        <f t="shared" ref="G430:H430" si="109">F430*(1+G425)+1</f>
        <v>22836.204999999998</v>
      </c>
      <c r="H430" s="198">
        <f t="shared" si="109"/>
        <v>23636.472174999995</v>
      </c>
    </row>
    <row r="431" spans="3:9">
      <c r="C431" s="197" t="s">
        <v>395</v>
      </c>
      <c r="D431" s="198">
        <v>0</v>
      </c>
      <c r="E431" s="198">
        <v>0</v>
      </c>
      <c r="F431" s="198">
        <v>7323</v>
      </c>
      <c r="G431" s="198">
        <f>F431*(1+G425)</f>
        <v>7579.3049999999994</v>
      </c>
      <c r="H431" s="198">
        <f>G431*(1+H425)</f>
        <v>7844.5806749999983</v>
      </c>
    </row>
    <row r="432" spans="3:9">
      <c r="C432" s="197" t="s">
        <v>396</v>
      </c>
      <c r="D432" s="198">
        <v>0</v>
      </c>
      <c r="E432" s="198">
        <v>0</v>
      </c>
      <c r="F432" s="198">
        <v>5474</v>
      </c>
      <c r="G432" s="198">
        <f>F432*(1+G425)+1</f>
        <v>5666.5899999999992</v>
      </c>
      <c r="H432" s="198">
        <f>G432*(1+H425)-1</f>
        <v>5863.9206499999991</v>
      </c>
    </row>
    <row r="433" spans="3:8">
      <c r="C433" s="197" t="s">
        <v>397</v>
      </c>
      <c r="D433" s="198">
        <v>0</v>
      </c>
      <c r="E433" s="198">
        <v>0</v>
      </c>
      <c r="F433" s="198">
        <v>7281</v>
      </c>
      <c r="G433" s="198">
        <f>F433*(1+G425)</f>
        <v>7535.8349999999991</v>
      </c>
      <c r="H433" s="198">
        <f>G433*(1+H425)+1</f>
        <v>7800.5892249999988</v>
      </c>
    </row>
    <row r="436" spans="3:8">
      <c r="C436" s="201" t="s">
        <v>479</v>
      </c>
      <c r="H436" s="168" t="s">
        <v>407</v>
      </c>
    </row>
    <row r="437" spans="3:8">
      <c r="C437" s="337" t="s">
        <v>3</v>
      </c>
      <c r="D437" s="199" t="s">
        <v>242</v>
      </c>
      <c r="E437" s="199"/>
      <c r="F437" s="199"/>
      <c r="G437" s="199"/>
      <c r="H437" s="199"/>
    </row>
    <row r="438" spans="3:8">
      <c r="C438" s="338"/>
      <c r="D438" s="197" t="s">
        <v>200</v>
      </c>
      <c r="E438" s="197" t="s">
        <v>148</v>
      </c>
      <c r="F438" s="197" t="s">
        <v>149</v>
      </c>
      <c r="G438" s="197" t="s">
        <v>150</v>
      </c>
      <c r="H438" s="197" t="s">
        <v>207</v>
      </c>
    </row>
    <row r="439" spans="3:8">
      <c r="C439" s="197" t="s">
        <v>394</v>
      </c>
      <c r="D439" s="198">
        <f>ROUND(D475*D459/10^6,0)</f>
        <v>0</v>
      </c>
      <c r="E439" s="198">
        <f>ROUND(E475*E459/10^6,0)</f>
        <v>0</v>
      </c>
      <c r="F439" s="198">
        <f>ROUND(F475*F459/10^6,0)</f>
        <v>0</v>
      </c>
      <c r="G439" s="198">
        <f>ROUND(G475*G459/10^6,0)</f>
        <v>523</v>
      </c>
      <c r="H439" s="198">
        <f>ROUND(H475*H459/10^6,0)</f>
        <v>831</v>
      </c>
    </row>
    <row r="440" spans="3:8">
      <c r="C440" s="197" t="s">
        <v>413</v>
      </c>
      <c r="D440" s="198">
        <f t="shared" ref="D440:D443" si="110">ROUND(D476*D460/10^6,0)</f>
        <v>0</v>
      </c>
      <c r="E440" s="198">
        <f t="shared" ref="E440:H443" si="111">ROUND(E476*E460/10^6,0)</f>
        <v>0</v>
      </c>
      <c r="F440" s="198">
        <f t="shared" si="111"/>
        <v>0</v>
      </c>
      <c r="G440" s="198">
        <f t="shared" si="111"/>
        <v>946</v>
      </c>
      <c r="H440" s="198">
        <f t="shared" si="111"/>
        <v>1471</v>
      </c>
    </row>
    <row r="441" spans="3:8">
      <c r="C441" s="197" t="s">
        <v>395</v>
      </c>
      <c r="D441" s="198">
        <f t="shared" si="110"/>
        <v>0</v>
      </c>
      <c r="E441" s="198">
        <f t="shared" si="111"/>
        <v>0</v>
      </c>
      <c r="F441" s="198">
        <f t="shared" si="111"/>
        <v>0</v>
      </c>
      <c r="G441" s="198">
        <f t="shared" si="111"/>
        <v>102</v>
      </c>
      <c r="H441" s="198">
        <f t="shared" si="111"/>
        <v>155</v>
      </c>
    </row>
    <row r="442" spans="3:8">
      <c r="C442" s="197" t="s">
        <v>396</v>
      </c>
      <c r="D442" s="198">
        <f t="shared" si="110"/>
        <v>0</v>
      </c>
      <c r="E442" s="198">
        <f t="shared" si="111"/>
        <v>0</v>
      </c>
      <c r="F442" s="198">
        <f t="shared" si="111"/>
        <v>0</v>
      </c>
      <c r="G442" s="198">
        <f t="shared" si="111"/>
        <v>68</v>
      </c>
      <c r="H442" s="198">
        <f t="shared" si="111"/>
        <v>106</v>
      </c>
    </row>
    <row r="443" spans="3:8">
      <c r="C443" s="197" t="s">
        <v>397</v>
      </c>
      <c r="D443" s="198">
        <f t="shared" si="110"/>
        <v>0</v>
      </c>
      <c r="E443" s="198">
        <f t="shared" si="111"/>
        <v>0</v>
      </c>
      <c r="F443" s="198">
        <f t="shared" si="111"/>
        <v>0</v>
      </c>
      <c r="G443" s="198">
        <f t="shared" si="111"/>
        <v>77</v>
      </c>
      <c r="H443" s="198">
        <f t="shared" si="111"/>
        <v>128</v>
      </c>
    </row>
    <row r="444" spans="3:8">
      <c r="C444" s="197" t="s">
        <v>408</v>
      </c>
      <c r="D444" s="200">
        <f>SUM(D439:D443)</f>
        <v>0</v>
      </c>
      <c r="E444" s="200">
        <f>SUM(E439:E443)</f>
        <v>0</v>
      </c>
      <c r="F444" s="200">
        <f>SUM(F439:F443)</f>
        <v>0</v>
      </c>
      <c r="G444" s="200">
        <f>SUM(G439:G443)</f>
        <v>1716</v>
      </c>
      <c r="H444" s="200">
        <f>SUM(H439:H443)</f>
        <v>2691</v>
      </c>
    </row>
    <row r="447" spans="3:8">
      <c r="C447" t="s">
        <v>403</v>
      </c>
    </row>
    <row r="448" spans="3:8">
      <c r="C448" t="s">
        <v>480</v>
      </c>
    </row>
    <row r="449" spans="3:10">
      <c r="C449" t="s">
        <v>466</v>
      </c>
    </row>
    <row r="450" spans="3:10">
      <c r="C450" t="s">
        <v>481</v>
      </c>
    </row>
    <row r="451" spans="3:10">
      <c r="C451" t="s">
        <v>468</v>
      </c>
    </row>
    <row r="452" spans="3:10">
      <c r="C452" t="s">
        <v>469</v>
      </c>
    </row>
    <row r="453" spans="3:10">
      <c r="C453" t="s">
        <v>470</v>
      </c>
    </row>
    <row r="454" spans="3:10">
      <c r="C454" t="s">
        <v>471</v>
      </c>
    </row>
    <row r="455" spans="3:10">
      <c r="C455" t="s">
        <v>429</v>
      </c>
    </row>
    <row r="457" spans="3:10">
      <c r="C457" s="337" t="s">
        <v>403</v>
      </c>
      <c r="D457" s="199" t="s">
        <v>242</v>
      </c>
      <c r="E457" s="199"/>
      <c r="F457" s="199"/>
      <c r="G457" s="199"/>
      <c r="H457" s="199"/>
    </row>
    <row r="458" spans="3:10">
      <c r="C458" s="338"/>
      <c r="D458" s="197" t="s">
        <v>200</v>
      </c>
      <c r="E458" s="197" t="s">
        <v>148</v>
      </c>
      <c r="F458" s="197" t="s">
        <v>149</v>
      </c>
      <c r="G458" s="197" t="s">
        <v>150</v>
      </c>
      <c r="H458" s="197" t="s">
        <v>207</v>
      </c>
    </row>
    <row r="459" spans="3:10">
      <c r="C459" s="197" t="s">
        <v>394</v>
      </c>
      <c r="D459" s="198">
        <v>0</v>
      </c>
      <c r="E459" s="198">
        <v>0</v>
      </c>
      <c r="F459" s="198">
        <v>0</v>
      </c>
      <c r="G459" s="198">
        <f>E135/12*7</f>
        <v>33719.583333333328</v>
      </c>
      <c r="H459" s="198">
        <f>E135/12*5+F135*7/12</f>
        <v>51799</v>
      </c>
      <c r="I459" t="e">
        <f>E459/D459-1</f>
        <v>#DIV/0!</v>
      </c>
      <c r="J459" s="206"/>
    </row>
    <row r="460" spans="3:10">
      <c r="C460" s="197" t="s">
        <v>414</v>
      </c>
      <c r="D460" s="198">
        <v>0</v>
      </c>
      <c r="E460" s="198">
        <v>0</v>
      </c>
      <c r="F460" s="198">
        <v>0</v>
      </c>
      <c r="G460" s="198">
        <f t="shared" ref="G460:G463" si="112">E136/12*7</f>
        <v>41484.916666666672</v>
      </c>
      <c r="H460" s="198">
        <f t="shared" ref="H460:H463" si="113">E136/12*5+F136*7/12</f>
        <v>62295.25</v>
      </c>
      <c r="I460" t="e">
        <f>E460/D460-1</f>
        <v>#DIV/0!</v>
      </c>
    </row>
    <row r="461" spans="3:10">
      <c r="C461" s="197" t="s">
        <v>395</v>
      </c>
      <c r="D461" s="198">
        <v>0</v>
      </c>
      <c r="E461" s="198">
        <v>0</v>
      </c>
      <c r="F461" s="198">
        <v>0</v>
      </c>
      <c r="G461" s="198">
        <f t="shared" si="112"/>
        <v>13484.916666666668</v>
      </c>
      <c r="H461" s="198">
        <f t="shared" si="113"/>
        <v>19831.666666666668</v>
      </c>
      <c r="I461" t="e">
        <f t="shared" ref="I461:I463" si="114">E461/D461-1</f>
        <v>#DIV/0!</v>
      </c>
    </row>
    <row r="462" spans="3:10">
      <c r="C462" s="197" t="s">
        <v>396</v>
      </c>
      <c r="D462" s="198">
        <v>0</v>
      </c>
      <c r="E462" s="198">
        <v>0</v>
      </c>
      <c r="F462" s="198">
        <v>0</v>
      </c>
      <c r="G462" s="198">
        <f t="shared" si="112"/>
        <v>11934.416666666668</v>
      </c>
      <c r="H462" s="198">
        <f t="shared" si="113"/>
        <v>18077.25</v>
      </c>
      <c r="I462" t="e">
        <f t="shared" si="114"/>
        <v>#DIV/0!</v>
      </c>
    </row>
    <row r="463" spans="3:10">
      <c r="C463" s="197" t="s">
        <v>397</v>
      </c>
      <c r="D463" s="198">
        <v>0</v>
      </c>
      <c r="E463" s="198">
        <v>0</v>
      </c>
      <c r="F463" s="198">
        <v>0</v>
      </c>
      <c r="G463" s="198">
        <f t="shared" si="112"/>
        <v>10267.833333333332</v>
      </c>
      <c r="H463" s="198">
        <f t="shared" si="113"/>
        <v>16422.5</v>
      </c>
      <c r="I463" t="e">
        <f t="shared" si="114"/>
        <v>#DIV/0!</v>
      </c>
    </row>
    <row r="464" spans="3:10">
      <c r="C464" s="197" t="s">
        <v>398</v>
      </c>
      <c r="D464" s="200">
        <f>SUM(D459:D463)</f>
        <v>0</v>
      </c>
      <c r="E464" s="200">
        <f>SUM(E459:E463)</f>
        <v>0</v>
      </c>
      <c r="F464" s="200">
        <f>SUM(F459:F463)</f>
        <v>0</v>
      </c>
      <c r="G464" s="200">
        <f>SUM(G459:G463)</f>
        <v>110891.66666666667</v>
      </c>
      <c r="H464" s="200">
        <f>SUM(H459:H463)</f>
        <v>168425.66666666666</v>
      </c>
    </row>
    <row r="467" spans="3:8">
      <c r="C467" t="s">
        <v>399</v>
      </c>
    </row>
    <row r="468" spans="3:8">
      <c r="C468" t="s">
        <v>486</v>
      </c>
    </row>
    <row r="469" spans="3:8">
      <c r="C469" t="s">
        <v>440</v>
      </c>
    </row>
    <row r="471" spans="3:8">
      <c r="D471" s="196">
        <f>D425</f>
        <v>0</v>
      </c>
      <c r="E471" s="196">
        <f t="shared" ref="E471:H471" si="115">E425</f>
        <v>3.2000000000000001E-2</v>
      </c>
      <c r="F471" s="196">
        <f t="shared" si="115"/>
        <v>3.9E-2</v>
      </c>
      <c r="G471" s="196">
        <f t="shared" si="115"/>
        <v>3.5000000000000003E-2</v>
      </c>
      <c r="H471" s="196">
        <f t="shared" si="115"/>
        <v>3.5000000000000003E-2</v>
      </c>
    </row>
    <row r="472" spans="3:8">
      <c r="H472" t="s">
        <v>402</v>
      </c>
    </row>
    <row r="473" spans="3:8">
      <c r="C473" s="337" t="s">
        <v>399</v>
      </c>
      <c r="D473" s="199" t="s">
        <v>242</v>
      </c>
      <c r="E473" s="199"/>
      <c r="F473" s="199"/>
      <c r="G473" s="199"/>
      <c r="H473" s="199"/>
    </row>
    <row r="474" spans="3:8">
      <c r="C474" s="338"/>
      <c r="D474" s="197" t="s">
        <v>200</v>
      </c>
      <c r="E474" s="197" t="s">
        <v>148</v>
      </c>
      <c r="F474" s="197" t="s">
        <v>149</v>
      </c>
      <c r="G474" s="197" t="s">
        <v>150</v>
      </c>
      <c r="H474" s="197" t="s">
        <v>207</v>
      </c>
    </row>
    <row r="475" spans="3:8">
      <c r="C475" s="197" t="s">
        <v>394</v>
      </c>
      <c r="D475" s="198">
        <v>0</v>
      </c>
      <c r="E475" s="198">
        <v>0</v>
      </c>
      <c r="F475" s="198">
        <v>0</v>
      </c>
      <c r="G475" s="198">
        <v>15498</v>
      </c>
      <c r="H475" s="198">
        <f t="shared" ref="H475" si="116">G475*(1+H471)+1</f>
        <v>16041.429999999998</v>
      </c>
    </row>
    <row r="476" spans="3:8">
      <c r="C476" s="197" t="s">
        <v>413</v>
      </c>
      <c r="D476" s="198">
        <v>0</v>
      </c>
      <c r="E476" s="198">
        <v>0</v>
      </c>
      <c r="F476" s="198">
        <v>0</v>
      </c>
      <c r="G476" s="198">
        <v>22814</v>
      </c>
      <c r="H476" s="198">
        <f t="shared" ref="H476" si="117">G476*(1+H471)+1</f>
        <v>23613.489999999998</v>
      </c>
    </row>
    <row r="477" spans="3:8">
      <c r="C477" s="197" t="s">
        <v>395</v>
      </c>
      <c r="D477" s="198">
        <v>0</v>
      </c>
      <c r="E477" s="198">
        <v>0</v>
      </c>
      <c r="F477" s="198">
        <v>0</v>
      </c>
      <c r="G477" s="198">
        <v>7572</v>
      </c>
      <c r="H477" s="198">
        <f>G477*(1+H471)</f>
        <v>7837.0199999999995</v>
      </c>
    </row>
    <row r="478" spans="3:8">
      <c r="C478" s="197" t="s">
        <v>396</v>
      </c>
      <c r="D478" s="198">
        <v>0</v>
      </c>
      <c r="E478" s="198">
        <v>0</v>
      </c>
      <c r="F478" s="198">
        <v>0</v>
      </c>
      <c r="G478" s="198">
        <v>5660</v>
      </c>
      <c r="H478" s="198">
        <f>G478*(1+H471)-1</f>
        <v>5857.0999999999995</v>
      </c>
    </row>
    <row r="479" spans="3:8">
      <c r="C479" s="197" t="s">
        <v>397</v>
      </c>
      <c r="D479" s="198">
        <v>0</v>
      </c>
      <c r="E479" s="198">
        <v>0</v>
      </c>
      <c r="F479" s="198">
        <v>0</v>
      </c>
      <c r="G479" s="198">
        <v>7529</v>
      </c>
      <c r="H479" s="198">
        <f>G479*(1+H471)+1</f>
        <v>7793.5149999999994</v>
      </c>
    </row>
    <row r="482" spans="3:8">
      <c r="C482" s="201" t="s">
        <v>482</v>
      </c>
      <c r="H482" s="168" t="s">
        <v>407</v>
      </c>
    </row>
    <row r="483" spans="3:8">
      <c r="C483" s="337" t="s">
        <v>3</v>
      </c>
      <c r="D483" s="199" t="s">
        <v>242</v>
      </c>
      <c r="E483" s="199"/>
      <c r="F483" s="199"/>
      <c r="G483" s="199"/>
      <c r="H483" s="199"/>
    </row>
    <row r="484" spans="3:8">
      <c r="C484" s="338"/>
      <c r="D484" s="197" t="s">
        <v>200</v>
      </c>
      <c r="E484" s="197" t="s">
        <v>148</v>
      </c>
      <c r="F484" s="197" t="s">
        <v>149</v>
      </c>
      <c r="G484" s="197" t="s">
        <v>150</v>
      </c>
      <c r="H484" s="197" t="s">
        <v>207</v>
      </c>
    </row>
    <row r="485" spans="3:8">
      <c r="C485" s="197" t="s">
        <v>394</v>
      </c>
      <c r="D485" s="198">
        <f>ROUND(D521*D505/10^6,0)</f>
        <v>0</v>
      </c>
      <c r="E485" s="198">
        <f>ROUND(E521*E505/10^6,0)</f>
        <v>0</v>
      </c>
      <c r="F485" s="198">
        <f>ROUND(F521*F505/10^6,0)</f>
        <v>0</v>
      </c>
      <c r="G485" s="198">
        <f>ROUND(G521*G505/10^6,0)</f>
        <v>75</v>
      </c>
      <c r="H485" s="198">
        <f>ROUND(H521*H505/10^6,0)</f>
        <v>914</v>
      </c>
    </row>
    <row r="486" spans="3:8">
      <c r="C486" s="197" t="s">
        <v>413</v>
      </c>
      <c r="D486" s="198">
        <f t="shared" ref="D486:D489" si="118">ROUND(D522*D506/10^6,0)</f>
        <v>0</v>
      </c>
      <c r="E486" s="198">
        <f t="shared" ref="E486:H489" si="119">ROUND(E522*E506/10^6,0)</f>
        <v>0</v>
      </c>
      <c r="F486" s="198">
        <f t="shared" si="119"/>
        <v>0</v>
      </c>
      <c r="G486" s="198">
        <f t="shared" si="119"/>
        <v>135</v>
      </c>
      <c r="H486" s="198">
        <f t="shared" si="119"/>
        <v>1650</v>
      </c>
    </row>
    <row r="487" spans="3:8">
      <c r="C487" s="197" t="s">
        <v>395</v>
      </c>
      <c r="D487" s="198">
        <f t="shared" si="118"/>
        <v>0</v>
      </c>
      <c r="E487" s="198">
        <f t="shared" si="119"/>
        <v>0</v>
      </c>
      <c r="F487" s="198">
        <f t="shared" si="119"/>
        <v>0</v>
      </c>
      <c r="G487" s="198">
        <f t="shared" si="119"/>
        <v>15</v>
      </c>
      <c r="H487" s="198">
        <f t="shared" si="119"/>
        <v>177</v>
      </c>
    </row>
    <row r="488" spans="3:8">
      <c r="C488" s="197" t="s">
        <v>396</v>
      </c>
      <c r="D488" s="198">
        <f t="shared" si="118"/>
        <v>0</v>
      </c>
      <c r="E488" s="198">
        <f t="shared" si="119"/>
        <v>0</v>
      </c>
      <c r="F488" s="198">
        <f t="shared" si="119"/>
        <v>0</v>
      </c>
      <c r="G488" s="198">
        <f t="shared" si="119"/>
        <v>10</v>
      </c>
      <c r="H488" s="198">
        <f t="shared" si="119"/>
        <v>118</v>
      </c>
    </row>
    <row r="489" spans="3:8">
      <c r="C489" s="197" t="s">
        <v>397</v>
      </c>
      <c r="D489" s="198">
        <f t="shared" si="118"/>
        <v>0</v>
      </c>
      <c r="E489" s="198">
        <f t="shared" si="119"/>
        <v>0</v>
      </c>
      <c r="F489" s="198">
        <f t="shared" si="119"/>
        <v>0</v>
      </c>
      <c r="G489" s="198">
        <f t="shared" si="119"/>
        <v>11</v>
      </c>
      <c r="H489" s="198">
        <f t="shared" si="119"/>
        <v>136</v>
      </c>
    </row>
    <row r="490" spans="3:8">
      <c r="C490" s="197" t="s">
        <v>408</v>
      </c>
      <c r="D490" s="200">
        <f>SUM(D485:D489)</f>
        <v>0</v>
      </c>
      <c r="E490" s="200">
        <f>SUM(E485:E489)</f>
        <v>0</v>
      </c>
      <c r="F490" s="200">
        <f>SUM(F485:F489)</f>
        <v>0</v>
      </c>
      <c r="G490" s="200">
        <f>SUM(G485:G489)</f>
        <v>246</v>
      </c>
      <c r="H490" s="200">
        <f>SUM(H485:H489)</f>
        <v>2995</v>
      </c>
    </row>
    <row r="493" spans="3:8">
      <c r="C493" t="s">
        <v>403</v>
      </c>
    </row>
    <row r="494" spans="3:8">
      <c r="C494" t="s">
        <v>483</v>
      </c>
    </row>
    <row r="495" spans="3:8">
      <c r="C495" t="s">
        <v>466</v>
      </c>
    </row>
    <row r="496" spans="3:8">
      <c r="C496" t="s">
        <v>484</v>
      </c>
    </row>
    <row r="497" spans="3:10">
      <c r="C497" t="s">
        <v>445</v>
      </c>
    </row>
    <row r="498" spans="3:10">
      <c r="C498" t="s">
        <v>476</v>
      </c>
    </row>
    <row r="499" spans="3:10">
      <c r="C499" t="s">
        <v>447</v>
      </c>
    </row>
    <row r="500" spans="3:10">
      <c r="C500" t="s">
        <v>477</v>
      </c>
    </row>
    <row r="501" spans="3:10">
      <c r="C501" t="s">
        <v>404</v>
      </c>
    </row>
    <row r="503" spans="3:10">
      <c r="C503" s="337" t="s">
        <v>403</v>
      </c>
      <c r="D503" s="199" t="s">
        <v>242</v>
      </c>
      <c r="E503" s="199"/>
      <c r="F503" s="199"/>
      <c r="G503" s="199"/>
      <c r="H503" s="199"/>
    </row>
    <row r="504" spans="3:10">
      <c r="C504" s="338"/>
      <c r="D504" s="197" t="s">
        <v>200</v>
      </c>
      <c r="E504" s="197" t="s">
        <v>148</v>
      </c>
      <c r="F504" s="197" t="s">
        <v>149</v>
      </c>
      <c r="G504" s="197" t="s">
        <v>150</v>
      </c>
      <c r="H504" s="197" t="s">
        <v>207</v>
      </c>
    </row>
    <row r="505" spans="3:10">
      <c r="C505" s="197" t="s">
        <v>394</v>
      </c>
      <c r="D505" s="198">
        <v>0</v>
      </c>
      <c r="E505" s="198">
        <v>0</v>
      </c>
      <c r="F505" s="198">
        <v>0</v>
      </c>
      <c r="G505" s="198">
        <f>E135/12</f>
        <v>4817.083333333333</v>
      </c>
      <c r="H505" s="198">
        <f>E135/12*11+F135*1/12</f>
        <v>56947</v>
      </c>
      <c r="I505" t="e">
        <f>E505/D505-1</f>
        <v>#DIV/0!</v>
      </c>
      <c r="J505" s="206"/>
    </row>
    <row r="506" spans="3:10">
      <c r="C506" s="197" t="s">
        <v>414</v>
      </c>
      <c r="D506" s="198">
        <v>0</v>
      </c>
      <c r="E506" s="198">
        <v>0</v>
      </c>
      <c r="F506" s="198">
        <v>0</v>
      </c>
      <c r="G506" s="198">
        <f t="shared" ref="G506:G509" si="120">E136/12</f>
        <v>5926.416666666667</v>
      </c>
      <c r="H506" s="198">
        <f t="shared" ref="H506:H509" si="121">E136/12*11+F136*1/12</f>
        <v>69856.75</v>
      </c>
      <c r="I506" t="e">
        <f>E506/D506-1</f>
        <v>#DIV/0!</v>
      </c>
    </row>
    <row r="507" spans="3:10">
      <c r="C507" s="197" t="s">
        <v>395</v>
      </c>
      <c r="D507" s="198">
        <v>0</v>
      </c>
      <c r="E507" s="198">
        <v>0</v>
      </c>
      <c r="F507" s="198">
        <v>0</v>
      </c>
      <c r="G507" s="198">
        <f t="shared" si="120"/>
        <v>1926.4166666666667</v>
      </c>
      <c r="H507" s="198">
        <f t="shared" si="121"/>
        <v>22647.666666666668</v>
      </c>
      <c r="I507" t="e">
        <f t="shared" ref="I507:I509" si="122">E507/D507-1</f>
        <v>#DIV/0!</v>
      </c>
    </row>
    <row r="508" spans="3:10">
      <c r="C508" s="197" t="s">
        <v>396</v>
      </c>
      <c r="D508" s="198">
        <v>0</v>
      </c>
      <c r="E508" s="198">
        <v>0</v>
      </c>
      <c r="F508" s="198">
        <v>0</v>
      </c>
      <c r="G508" s="198">
        <f t="shared" si="120"/>
        <v>1704.9166666666667</v>
      </c>
      <c r="H508" s="198">
        <f t="shared" si="121"/>
        <v>20118.750000000004</v>
      </c>
      <c r="I508" t="e">
        <f t="shared" si="122"/>
        <v>#DIV/0!</v>
      </c>
    </row>
    <row r="509" spans="3:10">
      <c r="C509" s="197" t="s">
        <v>397</v>
      </c>
      <c r="D509" s="198">
        <v>0</v>
      </c>
      <c r="E509" s="198">
        <v>0</v>
      </c>
      <c r="F509" s="198">
        <v>0</v>
      </c>
      <c r="G509" s="198">
        <f t="shared" si="120"/>
        <v>1466.8333333333333</v>
      </c>
      <c r="H509" s="198">
        <f t="shared" si="121"/>
        <v>17433.5</v>
      </c>
      <c r="I509" t="e">
        <f t="shared" si="122"/>
        <v>#DIV/0!</v>
      </c>
    </row>
    <row r="510" spans="3:10">
      <c r="C510" s="197" t="s">
        <v>398</v>
      </c>
      <c r="D510" s="200">
        <f>SUM(D505:D509)</f>
        <v>0</v>
      </c>
      <c r="E510" s="200">
        <f>SUM(E505:E509)</f>
        <v>0</v>
      </c>
      <c r="F510" s="200">
        <f>SUM(F505:F509)</f>
        <v>0</v>
      </c>
      <c r="G510" s="200">
        <f>SUM(G505:G509)</f>
        <v>15841.666666666666</v>
      </c>
      <c r="H510" s="200">
        <f>SUM(H505:H509)</f>
        <v>187003.66666666666</v>
      </c>
    </row>
    <row r="513" spans="3:8">
      <c r="C513" t="s">
        <v>399</v>
      </c>
    </row>
    <row r="514" spans="3:8">
      <c r="C514" t="s">
        <v>485</v>
      </c>
    </row>
    <row r="515" spans="3:8">
      <c r="C515" t="s">
        <v>440</v>
      </c>
    </row>
    <row r="517" spans="3:8">
      <c r="D517" s="196">
        <f>D471</f>
        <v>0</v>
      </c>
      <c r="E517" s="196">
        <f t="shared" ref="E517:H517" si="123">E471</f>
        <v>3.2000000000000001E-2</v>
      </c>
      <c r="F517" s="196">
        <f t="shared" si="123"/>
        <v>3.9E-2</v>
      </c>
      <c r="G517" s="196">
        <f t="shared" si="123"/>
        <v>3.5000000000000003E-2</v>
      </c>
      <c r="H517" s="196">
        <f t="shared" si="123"/>
        <v>3.5000000000000003E-2</v>
      </c>
    </row>
    <row r="518" spans="3:8">
      <c r="H518" t="s">
        <v>402</v>
      </c>
    </row>
    <row r="519" spans="3:8">
      <c r="C519" s="337" t="s">
        <v>399</v>
      </c>
      <c r="D519" s="199" t="s">
        <v>242</v>
      </c>
      <c r="E519" s="199"/>
      <c r="F519" s="199"/>
      <c r="G519" s="199"/>
      <c r="H519" s="199"/>
    </row>
    <row r="520" spans="3:8">
      <c r="C520" s="338"/>
      <c r="D520" s="197" t="s">
        <v>200</v>
      </c>
      <c r="E520" s="197" t="s">
        <v>148</v>
      </c>
      <c r="F520" s="197" t="s">
        <v>149</v>
      </c>
      <c r="G520" s="197" t="s">
        <v>150</v>
      </c>
      <c r="H520" s="197" t="s">
        <v>207</v>
      </c>
    </row>
    <row r="521" spans="3:8">
      <c r="C521" s="197" t="s">
        <v>394</v>
      </c>
      <c r="D521" s="198">
        <v>0</v>
      </c>
      <c r="E521" s="198">
        <v>0</v>
      </c>
      <c r="F521" s="198">
        <v>0</v>
      </c>
      <c r="G521" s="198">
        <v>15498</v>
      </c>
      <c r="H521" s="198">
        <f t="shared" ref="H521" si="124">G521*(1+H517)+1</f>
        <v>16041.429999999998</v>
      </c>
    </row>
    <row r="522" spans="3:8">
      <c r="C522" s="197" t="s">
        <v>413</v>
      </c>
      <c r="D522" s="198">
        <v>0</v>
      </c>
      <c r="E522" s="198">
        <v>0</v>
      </c>
      <c r="F522" s="198">
        <v>0</v>
      </c>
      <c r="G522" s="198">
        <v>22814</v>
      </c>
      <c r="H522" s="198">
        <f t="shared" ref="H522" si="125">G522*(1+H517)+1</f>
        <v>23613.489999999998</v>
      </c>
    </row>
    <row r="523" spans="3:8">
      <c r="C523" s="197" t="s">
        <v>395</v>
      </c>
      <c r="D523" s="198">
        <v>0</v>
      </c>
      <c r="E523" s="198">
        <v>0</v>
      </c>
      <c r="F523" s="198">
        <v>0</v>
      </c>
      <c r="G523" s="198">
        <v>7572</v>
      </c>
      <c r="H523" s="198">
        <f>G523*(1+H517)</f>
        <v>7837.0199999999995</v>
      </c>
    </row>
    <row r="524" spans="3:8">
      <c r="C524" s="197" t="s">
        <v>396</v>
      </c>
      <c r="D524" s="198">
        <v>0</v>
      </c>
      <c r="E524" s="198">
        <v>0</v>
      </c>
      <c r="F524" s="198">
        <v>0</v>
      </c>
      <c r="G524" s="198">
        <v>5660</v>
      </c>
      <c r="H524" s="198">
        <f>G524*(1+H517)-1</f>
        <v>5857.0999999999995</v>
      </c>
    </row>
    <row r="525" spans="3:8">
      <c r="C525" s="197" t="s">
        <v>397</v>
      </c>
      <c r="D525" s="198">
        <v>0</v>
      </c>
      <c r="E525" s="198">
        <v>0</v>
      </c>
      <c r="F525" s="198">
        <v>0</v>
      </c>
      <c r="G525" s="198">
        <v>7529</v>
      </c>
      <c r="H525" s="198">
        <f>G525*(1+H517)+1</f>
        <v>7793.5149999999994</v>
      </c>
    </row>
  </sheetData>
  <mergeCells count="38">
    <mergeCell ref="C153:C154"/>
    <mergeCell ref="C29:C30"/>
    <mergeCell ref="C14:C15"/>
    <mergeCell ref="C3:C4"/>
    <mergeCell ref="C39:C40"/>
    <mergeCell ref="C69:C70"/>
    <mergeCell ref="C52:C53"/>
    <mergeCell ref="C80:C81"/>
    <mergeCell ref="C92:C93"/>
    <mergeCell ref="C108:C109"/>
    <mergeCell ref="C118:C119"/>
    <mergeCell ref="C133:C134"/>
    <mergeCell ref="C252:C253"/>
    <mergeCell ref="C272:C273"/>
    <mergeCell ref="C288:C289"/>
    <mergeCell ref="C298:C299"/>
    <mergeCell ref="C318:C319"/>
    <mergeCell ref="C183:C184"/>
    <mergeCell ref="C199:C200"/>
    <mergeCell ref="C209:C210"/>
    <mergeCell ref="C228:C229"/>
    <mergeCell ref="C243:C244"/>
    <mergeCell ref="K14:K15"/>
    <mergeCell ref="K3:K4"/>
    <mergeCell ref="C519:C520"/>
    <mergeCell ref="C344:C345"/>
    <mergeCell ref="C364:C365"/>
    <mergeCell ref="C380:C381"/>
    <mergeCell ref="C391:C392"/>
    <mergeCell ref="C411:C412"/>
    <mergeCell ref="C427:C428"/>
    <mergeCell ref="C437:C438"/>
    <mergeCell ref="C457:C458"/>
    <mergeCell ref="C473:C474"/>
    <mergeCell ref="C483:C484"/>
    <mergeCell ref="C503:C504"/>
    <mergeCell ref="C334:C335"/>
    <mergeCell ref="C163:C164"/>
  </mergeCells>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35"/>
  <sheetViews>
    <sheetView workbookViewId="0">
      <selection activeCell="E28" sqref="E28"/>
    </sheetView>
  </sheetViews>
  <sheetFormatPr defaultRowHeight="13.5"/>
  <cols>
    <col min="3" max="3" width="14.85546875" customWidth="1"/>
  </cols>
  <sheetData>
    <row r="2" spans="3:9">
      <c r="C2" t="s">
        <v>819</v>
      </c>
    </row>
    <row r="3" spans="3:9">
      <c r="C3" t="s">
        <v>497</v>
      </c>
    </row>
    <row r="5" spans="3:9">
      <c r="D5" t="s">
        <v>276</v>
      </c>
      <c r="E5" t="s">
        <v>242</v>
      </c>
    </row>
    <row r="6" spans="3:9">
      <c r="D6" t="s">
        <v>111</v>
      </c>
      <c r="E6" t="s">
        <v>200</v>
      </c>
      <c r="F6" t="s">
        <v>148</v>
      </c>
      <c r="G6" t="s">
        <v>149</v>
      </c>
      <c r="H6" t="s">
        <v>150</v>
      </c>
      <c r="I6" t="s">
        <v>207</v>
      </c>
    </row>
    <row r="7" spans="3:9">
      <c r="C7" t="s">
        <v>264</v>
      </c>
      <c r="D7" s="56">
        <f>ROUND('분할사업부문 손익(2023년 실적)'!G16/10^6,0)</f>
        <v>2299</v>
      </c>
      <c r="E7" s="56">
        <f>매출!G11*매출원가계획!E23</f>
        <v>1613.6081170833418</v>
      </c>
      <c r="F7" s="56">
        <f>매출!H11*매출원가계획!F23</f>
        <v>1665.2070004063874</v>
      </c>
      <c r="G7" s="56">
        <f>매출!I11*매출원가계획!G23</f>
        <v>1730.1954673765524</v>
      </c>
      <c r="H7" s="56">
        <f>매출!J11*매출원가계획!H23</f>
        <v>1790.6118813940425</v>
      </c>
      <c r="I7" s="56">
        <f>매출!K11*매출원가계획!I23</f>
        <v>1853.6408970987752</v>
      </c>
    </row>
    <row r="8" spans="3:9">
      <c r="C8" t="s">
        <v>417</v>
      </c>
      <c r="D8">
        <f>ROUND('분할사업부문 손익(2023년 실적)'!H16/10^6,)</f>
        <v>437</v>
      </c>
      <c r="E8" s="202">
        <v>0</v>
      </c>
      <c r="F8" s="202">
        <v>0</v>
      </c>
      <c r="G8" s="202">
        <v>0</v>
      </c>
      <c r="H8" s="202">
        <v>0</v>
      </c>
      <c r="I8" s="202">
        <v>0</v>
      </c>
    </row>
    <row r="9" spans="3:9">
      <c r="C9" t="s">
        <v>265</v>
      </c>
      <c r="D9">
        <f>ROUND('분할사업부문 손익(2023년 실적)'!I16/10^6,)</f>
        <v>930</v>
      </c>
      <c r="E9" s="202">
        <f>매출!G13*E25</f>
        <v>855.01147961893344</v>
      </c>
      <c r="F9" s="202">
        <f>매출!H13*F25</f>
        <v>882.5015436792288</v>
      </c>
      <c r="G9" s="202">
        <f>매출!I13*G25</f>
        <v>917.04034211395901</v>
      </c>
      <c r="H9" s="202">
        <f>매출!J13*H25</f>
        <v>948.75964679891536</v>
      </c>
      <c r="I9" s="202">
        <f>매출!K13*I25</f>
        <v>981.88869835875857</v>
      </c>
    </row>
    <row r="10" spans="3:9">
      <c r="C10" t="s">
        <v>266</v>
      </c>
      <c r="D10">
        <f>ROUND('분할사업부문 손익(2023년 실적)'!J16/10^6,0)</f>
        <v>699</v>
      </c>
      <c r="E10" s="202">
        <f>매출!G14*E26</f>
        <v>795.95143506265686</v>
      </c>
      <c r="F10" s="202">
        <f>매출!H14*F26</f>
        <v>821.2041175924569</v>
      </c>
      <c r="G10" s="202">
        <f>매출!I14*G26</f>
        <v>853.34389535765683</v>
      </c>
      <c r="H10" s="202">
        <f>매출!J14*H26</f>
        <v>883.18797471105677</v>
      </c>
      <c r="I10" s="202">
        <f>매출!K14*I26</f>
        <v>914.34388172834258</v>
      </c>
    </row>
    <row r="11" spans="3:9">
      <c r="C11" t="s">
        <v>267</v>
      </c>
      <c r="D11">
        <f>ROUND('분할사업부문 손익(2023년 실적)'!K10/10^6,)</f>
        <v>143</v>
      </c>
      <c r="E11" s="202">
        <f>매출!G15*E27</f>
        <v>831.6501438031936</v>
      </c>
      <c r="F11" s="202">
        <f>매출!H15*F27</f>
        <v>686.83855426544312</v>
      </c>
      <c r="G11" s="202">
        <f>매출!I15*G27</f>
        <v>714.36213931797454</v>
      </c>
      <c r="H11" s="202">
        <f>매출!J15*H27</f>
        <v>739.38358027482127</v>
      </c>
      <c r="I11" s="202">
        <f>매출!K15*I27</f>
        <v>765.0305572555892</v>
      </c>
    </row>
    <row r="12" spans="3:9">
      <c r="C12" t="s">
        <v>268</v>
      </c>
      <c r="D12" s="202">
        <v>0</v>
      </c>
      <c r="E12" s="202">
        <f>매출!G16*E28</f>
        <v>347.48526128820913</v>
      </c>
      <c r="F12" s="202">
        <f>매출!H16*F28</f>
        <v>789.73923020047539</v>
      </c>
      <c r="G12" s="202">
        <f>매출!I16*G28</f>
        <v>716.55151540169857</v>
      </c>
      <c r="H12" s="202">
        <f>매출!J16*H28</f>
        <v>741.88572437050595</v>
      </c>
      <c r="I12" s="202">
        <f>매출!K16*I28</f>
        <v>767.84546936323443</v>
      </c>
    </row>
    <row r="13" spans="3:9">
      <c r="C13" t="s">
        <v>269</v>
      </c>
      <c r="D13" s="202">
        <v>0</v>
      </c>
      <c r="E13" s="202">
        <f>매출!G17*E29</f>
        <v>263.21961998971335</v>
      </c>
      <c r="F13" s="202">
        <f>매출!H17*F29</f>
        <v>3169.0858466255313</v>
      </c>
      <c r="G13" s="202">
        <f>매출!I17*G29</f>
        <v>2247.4906014506291</v>
      </c>
      <c r="H13" s="202">
        <f>매출!J17*H29</f>
        <v>1790.9384566049478</v>
      </c>
      <c r="I13" s="202">
        <f>매출!K17*I29</f>
        <v>1853.6408970987752</v>
      </c>
    </row>
    <row r="14" spans="3:9">
      <c r="C14" t="s">
        <v>270</v>
      </c>
      <c r="D14" s="202">
        <v>0</v>
      </c>
      <c r="E14" s="202">
        <f>매출!G18*E30</f>
        <v>0</v>
      </c>
      <c r="F14" s="202">
        <f>매출!H18*F30</f>
        <v>498.55221106517138</v>
      </c>
      <c r="G14" s="202">
        <f>매출!I18*G30</f>
        <v>785.04771002106656</v>
      </c>
      <c r="H14" s="202">
        <f>매출!J18*H30</f>
        <v>736.25590015521539</v>
      </c>
      <c r="I14" s="202">
        <f>매출!K18*I30</f>
        <v>761.90287713598332</v>
      </c>
    </row>
    <row r="15" spans="3:9">
      <c r="C15" t="s">
        <v>271</v>
      </c>
      <c r="D15" s="202">
        <v>0</v>
      </c>
      <c r="E15" s="202">
        <f>매출!G19*E31</f>
        <v>0</v>
      </c>
      <c r="F15" s="202">
        <f>매출!H19*F31</f>
        <v>71.311106727013225</v>
      </c>
      <c r="G15" s="202">
        <f>매출!I19*G31</f>
        <v>873.56105740591192</v>
      </c>
      <c r="H15" s="202">
        <f>매출!J19*H31</f>
        <v>736.25590015521539</v>
      </c>
      <c r="I15" s="202">
        <f>매출!K19*I31</f>
        <v>761.90287713598332</v>
      </c>
    </row>
    <row r="16" spans="3:9">
      <c r="C16" t="s">
        <v>272</v>
      </c>
      <c r="D16" s="202">
        <v>0</v>
      </c>
      <c r="E16" s="202">
        <f>매출!G20*E32</f>
        <v>0</v>
      </c>
      <c r="F16" s="202">
        <f>매출!H20*F32</f>
        <v>0</v>
      </c>
      <c r="G16" s="202">
        <f>매출!I20*G32</f>
        <v>518.88213184260928</v>
      </c>
      <c r="H16" s="202">
        <f>매출!J20*H32</f>
        <v>814.13513513340092</v>
      </c>
      <c r="I16" s="202">
        <f>매출!K20*I32</f>
        <v>763.7794852077468</v>
      </c>
    </row>
    <row r="17" spans="3:10">
      <c r="C17" t="s">
        <v>273</v>
      </c>
      <c r="D17" s="202">
        <v>0</v>
      </c>
      <c r="E17" s="202">
        <f>매출!G21*E33</f>
        <v>0</v>
      </c>
      <c r="F17" s="202">
        <f>매출!H21*F33</f>
        <v>0</v>
      </c>
      <c r="G17" s="202">
        <f>매출!I21*G33</f>
        <v>74.126018834658481</v>
      </c>
      <c r="H17" s="202">
        <f>매출!J21*H33</f>
        <v>905.46339462589151</v>
      </c>
      <c r="I17" s="202">
        <f>매출!K21*I33</f>
        <v>763.7794852077468</v>
      </c>
    </row>
    <row r="18" spans="3:10">
      <c r="C18" t="s">
        <v>274</v>
      </c>
      <c r="D18" s="202">
        <v>0</v>
      </c>
      <c r="E18" s="202">
        <f>매출!G22*E34</f>
        <v>0</v>
      </c>
      <c r="F18" s="202">
        <f>매출!H22*F34</f>
        <v>0</v>
      </c>
      <c r="G18" s="202">
        <f>매출!I22*G34</f>
        <v>0</v>
      </c>
      <c r="H18" s="202">
        <f>매출!J22*H34</f>
        <v>536.70990852436262</v>
      </c>
      <c r="I18" s="202">
        <f>매출!K22*I34</f>
        <v>841.65872018593234</v>
      </c>
    </row>
    <row r="19" spans="3:10">
      <c r="C19" t="s">
        <v>275</v>
      </c>
      <c r="D19" s="202">
        <v>0</v>
      </c>
      <c r="E19" s="202">
        <f>매출!G23*E35</f>
        <v>0</v>
      </c>
      <c r="F19" s="202">
        <f>매출!H23*F35</f>
        <v>0</v>
      </c>
      <c r="G19" s="202">
        <f>매출!I23*G35</f>
        <v>0</v>
      </c>
      <c r="H19" s="202">
        <f>매출!J23*H35</f>
        <v>76.940930942303737</v>
      </c>
      <c r="I19" s="202">
        <f>매출!K23*I35</f>
        <v>936.7401958219499</v>
      </c>
    </row>
    <row r="20" spans="3:10">
      <c r="C20" t="s">
        <v>498</v>
      </c>
      <c r="D20" s="56">
        <f>SUM(D7:D19)</f>
        <v>4508</v>
      </c>
      <c r="E20" s="56">
        <f t="shared" ref="E20:I20" si="0">SUM(E7:E19)</f>
        <v>4706.9260568460486</v>
      </c>
      <c r="F20" s="56">
        <f t="shared" si="0"/>
        <v>8584.439610561707</v>
      </c>
      <c r="G20" s="56">
        <f t="shared" si="0"/>
        <v>9430.6008791227159</v>
      </c>
      <c r="H20" s="56">
        <f t="shared" si="0"/>
        <v>10700.528433690681</v>
      </c>
      <c r="I20" s="56">
        <f t="shared" si="0"/>
        <v>11966.154041598818</v>
      </c>
    </row>
    <row r="21" spans="3:10">
      <c r="C21" t="s">
        <v>499</v>
      </c>
      <c r="D21" s="204">
        <f>D20/매출!D9</f>
        <v>0.34449029497172551</v>
      </c>
      <c r="E21" s="204">
        <f>E20/매출!G9</f>
        <v>0.32755226561211193</v>
      </c>
      <c r="F21" s="204">
        <f>F20/매출!H9</f>
        <v>0.3257357369113496</v>
      </c>
      <c r="G21" s="204">
        <f>G20/매출!I9</f>
        <v>0.32343099249340546</v>
      </c>
      <c r="H21" s="204">
        <f>H20/매출!J9</f>
        <v>0.32176234164333295</v>
      </c>
      <c r="I21" s="204">
        <f>I20/매출!K9</f>
        <v>0.32107526474010084</v>
      </c>
    </row>
    <row r="22" spans="3:10">
      <c r="E22" s="205"/>
    </row>
    <row r="23" spans="3:10">
      <c r="C23" t="s">
        <v>264</v>
      </c>
      <c r="D23" s="283">
        <f>'분할사업부문 손익(2023년 실적)'!G10/'분할사업부문 손익(2023년 실적)'!G6</f>
        <v>0.34555713643826902</v>
      </c>
      <c r="E23" s="283">
        <f>'지점별 손익'!D14</f>
        <v>0.32657521090535152</v>
      </c>
      <c r="F23" s="284">
        <f>E23</f>
        <v>0.32657521090535152</v>
      </c>
      <c r="G23" s="284">
        <f t="shared" ref="G23:I23" si="1">F23</f>
        <v>0.32657521090535152</v>
      </c>
      <c r="H23" s="284">
        <f t="shared" si="1"/>
        <v>0.32657521090535152</v>
      </c>
      <c r="I23" s="284">
        <f t="shared" si="1"/>
        <v>0.32657521090535152</v>
      </c>
    </row>
    <row r="24" spans="3:10">
      <c r="C24" t="s">
        <v>417</v>
      </c>
      <c r="D24" s="283">
        <f>'분할사업부문 손익(2023년 실적)'!H10/'분할사업부문 손익(2023년 실적)'!H6</f>
        <v>0.32597158322538439</v>
      </c>
      <c r="E24" s="283">
        <v>0</v>
      </c>
      <c r="F24" s="202">
        <v>0</v>
      </c>
      <c r="G24" s="202">
        <v>0</v>
      </c>
      <c r="H24" s="202">
        <v>0</v>
      </c>
      <c r="I24" s="202">
        <v>0</v>
      </c>
    </row>
    <row r="25" spans="3:10">
      <c r="C25" t="s">
        <v>265</v>
      </c>
      <c r="D25" s="283">
        <f>'분할사업부문 손익(2023년 실적)'!I10/'분할사업부문 손익(2023년 실적)'!I6</f>
        <v>0.39641495506445001</v>
      </c>
      <c r="E25" s="283">
        <f>'지점별 손익'!F14</f>
        <v>0.35243671872173676</v>
      </c>
      <c r="F25" s="284">
        <f>E25</f>
        <v>0.35243671872173676</v>
      </c>
      <c r="G25" s="284">
        <f t="shared" ref="G25:I25" si="2">F25</f>
        <v>0.35243671872173676</v>
      </c>
      <c r="H25" s="284">
        <f t="shared" si="2"/>
        <v>0.35243671872173676</v>
      </c>
      <c r="I25" s="284">
        <f t="shared" si="2"/>
        <v>0.35243671872173676</v>
      </c>
    </row>
    <row r="26" spans="3:10">
      <c r="C26" t="s">
        <v>266</v>
      </c>
      <c r="D26" s="283">
        <f>'분할사업부문 손익(2023년 실적)'!J10/'분할사업부문 손익(2023년 실적)'!J6</f>
        <v>0.28693044973983661</v>
      </c>
      <c r="E26" s="283">
        <f>'지점별 손익'!G14</f>
        <v>0.32795691597142845</v>
      </c>
      <c r="F26" s="284">
        <f>E26</f>
        <v>0.32795691597142845</v>
      </c>
      <c r="G26" s="284">
        <f t="shared" ref="G26:I26" si="3">F26</f>
        <v>0.32795691597142845</v>
      </c>
      <c r="H26" s="284">
        <f t="shared" si="3"/>
        <v>0.32795691597142845</v>
      </c>
      <c r="I26" s="284">
        <f t="shared" si="3"/>
        <v>0.32795691597142845</v>
      </c>
    </row>
    <row r="27" spans="3:10">
      <c r="C27" t="s">
        <v>267</v>
      </c>
      <c r="D27" s="283">
        <f>'분할사업부문 손익(2023년 실적)'!K10/'분할사업부문 손익(2023년 실적)'!K6</f>
        <v>0.51839513216886779</v>
      </c>
      <c r="E27" s="283">
        <f>'지점별 손익'!H14</f>
        <v>0.31276801196058429</v>
      </c>
      <c r="F27" s="284">
        <f>E27</f>
        <v>0.31276801196058429</v>
      </c>
      <c r="G27" s="284">
        <f t="shared" ref="G27:I27" si="4">F27</f>
        <v>0.31276801196058429</v>
      </c>
      <c r="H27" s="284">
        <f t="shared" si="4"/>
        <v>0.31276801196058429</v>
      </c>
      <c r="I27" s="284">
        <f t="shared" si="4"/>
        <v>0.31276801196058429</v>
      </c>
    </row>
    <row r="28" spans="3:10">
      <c r="C28" t="s">
        <v>268</v>
      </c>
      <c r="D28" s="283">
        <v>0</v>
      </c>
      <c r="E28" s="284">
        <f>E27</f>
        <v>0.31276801196058429</v>
      </c>
      <c r="F28" s="284">
        <f t="shared" ref="F28:I28" si="5">F27</f>
        <v>0.31276801196058429</v>
      </c>
      <c r="G28" s="284">
        <f t="shared" si="5"/>
        <v>0.31276801196058429</v>
      </c>
      <c r="H28" s="284">
        <f t="shared" si="5"/>
        <v>0.31276801196058429</v>
      </c>
      <c r="I28" s="284">
        <f t="shared" si="5"/>
        <v>0.31276801196058429</v>
      </c>
      <c r="J28" t="s">
        <v>821</v>
      </c>
    </row>
    <row r="29" spans="3:10">
      <c r="C29" t="s">
        <v>269</v>
      </c>
      <c r="D29" s="283">
        <v>0</v>
      </c>
      <c r="E29" s="284">
        <f>E23</f>
        <v>0.32657521090535152</v>
      </c>
      <c r="F29" s="284">
        <f>E29</f>
        <v>0.32657521090535152</v>
      </c>
      <c r="G29" s="284">
        <f t="shared" ref="G29:I29" si="6">F29</f>
        <v>0.32657521090535152</v>
      </c>
      <c r="H29" s="284">
        <f t="shared" si="6"/>
        <v>0.32657521090535152</v>
      </c>
      <c r="I29" s="284">
        <f t="shared" si="6"/>
        <v>0.32657521090535152</v>
      </c>
      <c r="J29" t="s">
        <v>820</v>
      </c>
    </row>
    <row r="30" spans="3:10">
      <c r="C30" t="s">
        <v>270</v>
      </c>
      <c r="D30" s="283">
        <v>0</v>
      </c>
      <c r="E30" s="284">
        <v>0</v>
      </c>
      <c r="F30" s="284">
        <f t="shared" ref="F30:I30" si="7">F27</f>
        <v>0.31276801196058429</v>
      </c>
      <c r="G30" s="284">
        <f t="shared" si="7"/>
        <v>0.31276801196058429</v>
      </c>
      <c r="H30" s="284">
        <f t="shared" si="7"/>
        <v>0.31276801196058429</v>
      </c>
      <c r="I30" s="284">
        <f t="shared" si="7"/>
        <v>0.31276801196058429</v>
      </c>
      <c r="J30" t="s">
        <v>821</v>
      </c>
    </row>
    <row r="31" spans="3:10">
      <c r="C31" t="s">
        <v>271</v>
      </c>
      <c r="D31" s="283">
        <v>0</v>
      </c>
      <c r="E31" s="284">
        <v>0</v>
      </c>
      <c r="F31" s="284">
        <f t="shared" ref="F31:I31" si="8">F27</f>
        <v>0.31276801196058429</v>
      </c>
      <c r="G31" s="284">
        <f t="shared" si="8"/>
        <v>0.31276801196058429</v>
      </c>
      <c r="H31" s="284">
        <f t="shared" si="8"/>
        <v>0.31276801196058429</v>
      </c>
      <c r="I31" s="284">
        <f t="shared" si="8"/>
        <v>0.31276801196058429</v>
      </c>
      <c r="J31" t="s">
        <v>821</v>
      </c>
    </row>
    <row r="32" spans="3:10">
      <c r="C32" t="s">
        <v>272</v>
      </c>
      <c r="D32" s="283">
        <v>0</v>
      </c>
      <c r="E32" s="284">
        <v>0</v>
      </c>
      <c r="F32" s="284">
        <v>0</v>
      </c>
      <c r="G32" s="284">
        <f t="shared" ref="G32:I32" si="9">G27</f>
        <v>0.31276801196058429</v>
      </c>
      <c r="H32" s="284">
        <f t="shared" si="9"/>
        <v>0.31276801196058429</v>
      </c>
      <c r="I32" s="284">
        <f t="shared" si="9"/>
        <v>0.31276801196058429</v>
      </c>
      <c r="J32" t="s">
        <v>821</v>
      </c>
    </row>
    <row r="33" spans="3:10">
      <c r="C33" t="s">
        <v>273</v>
      </c>
      <c r="D33" s="283">
        <v>0</v>
      </c>
      <c r="E33" s="284">
        <v>0</v>
      </c>
      <c r="F33" s="284">
        <v>0</v>
      </c>
      <c r="G33" s="284">
        <f t="shared" ref="G33:I33" si="10">G27</f>
        <v>0.31276801196058429</v>
      </c>
      <c r="H33" s="284">
        <f t="shared" si="10"/>
        <v>0.31276801196058429</v>
      </c>
      <c r="I33" s="284">
        <f t="shared" si="10"/>
        <v>0.31276801196058429</v>
      </c>
      <c r="J33" t="s">
        <v>821</v>
      </c>
    </row>
    <row r="34" spans="3:10">
      <c r="C34" t="s">
        <v>274</v>
      </c>
      <c r="D34" s="283">
        <v>0</v>
      </c>
      <c r="E34" s="284">
        <v>0</v>
      </c>
      <c r="F34" s="284">
        <v>0</v>
      </c>
      <c r="G34" s="284">
        <v>0</v>
      </c>
      <c r="H34" s="284">
        <f t="shared" ref="H34:I34" si="11">H27</f>
        <v>0.31276801196058429</v>
      </c>
      <c r="I34" s="284">
        <f t="shared" si="11"/>
        <v>0.31276801196058429</v>
      </c>
      <c r="J34" t="s">
        <v>821</v>
      </c>
    </row>
    <row r="35" spans="3:10">
      <c r="C35" t="s">
        <v>275</v>
      </c>
      <c r="D35" s="283">
        <v>0</v>
      </c>
      <c r="E35" s="284">
        <v>0</v>
      </c>
      <c r="F35" s="284">
        <v>0</v>
      </c>
      <c r="G35" s="284">
        <v>0</v>
      </c>
      <c r="H35" s="284">
        <f t="shared" ref="H35:I35" si="12">H27</f>
        <v>0.31276801196058429</v>
      </c>
      <c r="I35" s="284">
        <f t="shared" si="12"/>
        <v>0.31276801196058429</v>
      </c>
    </row>
  </sheetData>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Q86"/>
  <sheetViews>
    <sheetView topLeftCell="A25" workbookViewId="0">
      <selection activeCell="G35" sqref="G35"/>
    </sheetView>
  </sheetViews>
  <sheetFormatPr defaultRowHeight="13.5"/>
  <cols>
    <col min="3" max="3" width="14.140625" customWidth="1"/>
  </cols>
  <sheetData>
    <row r="2" spans="3:9">
      <c r="C2" t="s">
        <v>535</v>
      </c>
    </row>
    <row r="3" spans="3:9">
      <c r="C3" t="s">
        <v>536</v>
      </c>
    </row>
    <row r="4" spans="3:9">
      <c r="C4" t="s">
        <v>537</v>
      </c>
    </row>
    <row r="5" spans="3:9">
      <c r="C5" t="s">
        <v>538</v>
      </c>
    </row>
    <row r="6" spans="3:9">
      <c r="C6" t="s">
        <v>539</v>
      </c>
    </row>
    <row r="7" spans="3:9">
      <c r="C7" t="s">
        <v>540</v>
      </c>
    </row>
    <row r="8" spans="3:9">
      <c r="C8" t="s">
        <v>541</v>
      </c>
    </row>
    <row r="9" spans="3:9">
      <c r="C9" t="s">
        <v>542</v>
      </c>
    </row>
    <row r="10" spans="3:9">
      <c r="C10" t="s">
        <v>543</v>
      </c>
    </row>
    <row r="11" spans="3:9">
      <c r="C11" t="s">
        <v>544</v>
      </c>
    </row>
    <row r="16" spans="3:9">
      <c r="C16" t="s">
        <v>3</v>
      </c>
      <c r="D16" t="s">
        <v>111</v>
      </c>
      <c r="E16" t="s">
        <v>200</v>
      </c>
      <c r="F16" t="s">
        <v>148</v>
      </c>
      <c r="G16" t="s">
        <v>149</v>
      </c>
      <c r="H16" t="s">
        <v>150</v>
      </c>
      <c r="I16" t="s">
        <v>207</v>
      </c>
    </row>
    <row r="17" spans="3:17">
      <c r="C17" t="s">
        <v>261</v>
      </c>
      <c r="D17" s="202">
        <f>SUM(D18:D20)</f>
        <v>4331</v>
      </c>
      <c r="E17" s="202">
        <f t="shared" ref="E17:I17" si="0">SUM(E18:E20)</f>
        <v>3046</v>
      </c>
      <c r="F17" s="202">
        <f t="shared" si="0"/>
        <v>2131</v>
      </c>
      <c r="G17" s="202">
        <f t="shared" si="0"/>
        <v>2174</v>
      </c>
      <c r="H17" s="202">
        <f t="shared" si="0"/>
        <v>2211</v>
      </c>
      <c r="I17" s="202">
        <f t="shared" si="0"/>
        <v>0</v>
      </c>
      <c r="J17" s="205">
        <f>SUM(E17:I17)</f>
        <v>9562</v>
      </c>
      <c r="K17" s="205">
        <f>J17-Q28</f>
        <v>-0.2000000000007276</v>
      </c>
    </row>
    <row r="18" spans="3:17">
      <c r="C18" t="s">
        <v>206</v>
      </c>
      <c r="D18" s="202">
        <v>914</v>
      </c>
      <c r="E18" s="202">
        <v>401</v>
      </c>
      <c r="F18" s="202">
        <v>477</v>
      </c>
      <c r="G18" s="202">
        <v>487</v>
      </c>
      <c r="H18" s="202">
        <f>495+4</f>
        <v>499</v>
      </c>
      <c r="I18" s="202">
        <v>0</v>
      </c>
      <c r="J18" s="205">
        <f t="shared" ref="J18:J20" si="1">SUM(E18:I18)</f>
        <v>1864</v>
      </c>
      <c r="K18" s="205">
        <f>J18-Q32</f>
        <v>0</v>
      </c>
    </row>
    <row r="19" spans="3:17">
      <c r="C19" t="s">
        <v>545</v>
      </c>
      <c r="D19" s="202">
        <v>78</v>
      </c>
      <c r="E19" s="202">
        <v>68</v>
      </c>
      <c r="F19" s="202">
        <v>115</v>
      </c>
      <c r="G19" s="202">
        <v>117</v>
      </c>
      <c r="H19" s="202">
        <f>119+6</f>
        <v>125</v>
      </c>
      <c r="I19" s="202">
        <v>0</v>
      </c>
      <c r="J19" s="205">
        <f t="shared" si="1"/>
        <v>425</v>
      </c>
      <c r="K19" s="205">
        <f t="shared" ref="K19:K20" si="2">J19-Q33</f>
        <v>-0.39999999999997726</v>
      </c>
    </row>
    <row r="20" spans="3:17">
      <c r="C20" t="s">
        <v>546</v>
      </c>
      <c r="D20" s="202">
        <v>3339</v>
      </c>
      <c r="E20" s="202">
        <v>2577</v>
      </c>
      <c r="F20" s="202">
        <v>1539</v>
      </c>
      <c r="G20" s="202">
        <v>1570</v>
      </c>
      <c r="H20" s="202">
        <f>1597-10</f>
        <v>1587</v>
      </c>
      <c r="I20" s="202">
        <v>0</v>
      </c>
      <c r="J20" s="205">
        <f t="shared" si="1"/>
        <v>7273</v>
      </c>
      <c r="K20" s="205">
        <f t="shared" si="2"/>
        <v>0.2000000000007276</v>
      </c>
    </row>
    <row r="21" spans="3:17">
      <c r="C21" t="s">
        <v>262</v>
      </c>
      <c r="D21" s="202">
        <f>D22</f>
        <v>1175</v>
      </c>
      <c r="E21" s="202">
        <f t="shared" ref="E21:I21" si="3">E22</f>
        <v>1220</v>
      </c>
      <c r="F21" s="202">
        <f t="shared" si="3"/>
        <v>0</v>
      </c>
      <c r="G21" s="202">
        <f t="shared" si="3"/>
        <v>0</v>
      </c>
      <c r="H21" s="202">
        <f t="shared" si="3"/>
        <v>0</v>
      </c>
      <c r="I21" s="202">
        <f t="shared" si="3"/>
        <v>0</v>
      </c>
    </row>
    <row r="22" spans="3:17">
      <c r="C22" t="s">
        <v>547</v>
      </c>
      <c r="D22" s="202">
        <v>1175</v>
      </c>
      <c r="E22" s="202">
        <v>1220</v>
      </c>
      <c r="F22" s="202">
        <v>0</v>
      </c>
      <c r="G22" s="202">
        <v>0</v>
      </c>
      <c r="H22" s="202">
        <v>0</v>
      </c>
      <c r="I22" s="202">
        <v>0</v>
      </c>
    </row>
    <row r="23" spans="3:17">
      <c r="C23" t="s">
        <v>548</v>
      </c>
      <c r="D23" s="202">
        <f>D17+D21</f>
        <v>5506</v>
      </c>
      <c r="E23" s="202">
        <f t="shared" ref="E23:I23" si="4">E17+E21</f>
        <v>4266</v>
      </c>
      <c r="F23" s="202">
        <f t="shared" si="4"/>
        <v>2131</v>
      </c>
      <c r="G23" s="202">
        <f t="shared" si="4"/>
        <v>2174</v>
      </c>
      <c r="H23" s="202">
        <f t="shared" si="4"/>
        <v>2211</v>
      </c>
      <c r="I23" s="202">
        <f t="shared" si="4"/>
        <v>0</v>
      </c>
    </row>
    <row r="27" spans="3:17">
      <c r="D27" s="201" t="s">
        <v>264</v>
      </c>
      <c r="E27" s="201" t="s">
        <v>417</v>
      </c>
      <c r="F27" s="201" t="s">
        <v>265</v>
      </c>
      <c r="G27" s="201" t="s">
        <v>266</v>
      </c>
      <c r="H27" s="201" t="s">
        <v>267</v>
      </c>
      <c r="I27" s="201" t="s">
        <v>268</v>
      </c>
      <c r="J27" s="201" t="s">
        <v>269</v>
      </c>
      <c r="K27" s="201" t="s">
        <v>270</v>
      </c>
      <c r="L27" s="201" t="s">
        <v>271</v>
      </c>
      <c r="M27" s="201" t="s">
        <v>272</v>
      </c>
      <c r="N27" s="201" t="s">
        <v>273</v>
      </c>
      <c r="O27" s="201" t="s">
        <v>274</v>
      </c>
      <c r="P27" s="201" t="s">
        <v>275</v>
      </c>
    </row>
    <row r="28" spans="3:17">
      <c r="C28" t="s">
        <v>831</v>
      </c>
      <c r="D28" s="202">
        <v>1955</v>
      </c>
      <c r="E28" s="202">
        <v>1394</v>
      </c>
      <c r="F28" s="202">
        <v>1338</v>
      </c>
      <c r="G28" s="202">
        <v>1935</v>
      </c>
      <c r="H28" s="202">
        <v>1028</v>
      </c>
      <c r="I28" s="202">
        <f>I29*I30</f>
        <v>1285</v>
      </c>
      <c r="J28" s="202">
        <f t="shared" ref="J28:P28" si="5">J29*J30</f>
        <v>1955</v>
      </c>
      <c r="K28" s="202">
        <f t="shared" si="5"/>
        <v>1092.25</v>
      </c>
      <c r="L28" s="202">
        <f t="shared" si="5"/>
        <v>1092.25</v>
      </c>
      <c r="M28" s="202">
        <f t="shared" si="5"/>
        <v>1040.8499999999999</v>
      </c>
      <c r="N28" s="202">
        <f t="shared" si="5"/>
        <v>1040.8499999999999</v>
      </c>
      <c r="O28" s="202">
        <f t="shared" si="5"/>
        <v>1028</v>
      </c>
      <c r="P28" s="202">
        <f t="shared" si="5"/>
        <v>1028</v>
      </c>
      <c r="Q28" s="205">
        <f>SUM(I28:P28)</f>
        <v>9562.2000000000007</v>
      </c>
    </row>
    <row r="29" spans="3:17">
      <c r="C29" t="s">
        <v>832</v>
      </c>
      <c r="D29" s="202">
        <v>100</v>
      </c>
      <c r="E29" s="202">
        <v>79</v>
      </c>
      <c r="F29" s="202">
        <v>63</v>
      </c>
      <c r="G29" s="202">
        <v>102.3</v>
      </c>
      <c r="H29" s="202">
        <v>80</v>
      </c>
      <c r="I29" s="202">
        <v>100</v>
      </c>
      <c r="J29" s="202">
        <v>100</v>
      </c>
      <c r="K29" s="202">
        <v>85</v>
      </c>
      <c r="L29" s="202">
        <v>85</v>
      </c>
      <c r="M29" s="202">
        <v>81</v>
      </c>
      <c r="N29" s="202">
        <v>81</v>
      </c>
      <c r="O29" s="202">
        <v>80</v>
      </c>
      <c r="P29" s="202">
        <v>80</v>
      </c>
    </row>
    <row r="30" spans="3:17">
      <c r="D30" s="286">
        <f>D28/D29</f>
        <v>19.55</v>
      </c>
      <c r="E30" s="286">
        <f t="shared" ref="E30:H30" si="6">E28/E29</f>
        <v>17.645569620253166</v>
      </c>
      <c r="F30" s="286">
        <f t="shared" si="6"/>
        <v>21.238095238095237</v>
      </c>
      <c r="G30" s="286">
        <f t="shared" si="6"/>
        <v>18.914956011730204</v>
      </c>
      <c r="H30" s="286">
        <f t="shared" si="6"/>
        <v>12.85</v>
      </c>
      <c r="I30" s="287">
        <f>H30</f>
        <v>12.85</v>
      </c>
      <c r="J30" s="287">
        <f>D30</f>
        <v>19.55</v>
      </c>
      <c r="K30" s="287">
        <f>I30</f>
        <v>12.85</v>
      </c>
      <c r="L30" s="287">
        <f>K30</f>
        <v>12.85</v>
      </c>
      <c r="M30" s="287">
        <f t="shared" ref="M30:P30" si="7">L30</f>
        <v>12.85</v>
      </c>
      <c r="N30" s="287">
        <f t="shared" si="7"/>
        <v>12.85</v>
      </c>
      <c r="O30" s="287">
        <f t="shared" si="7"/>
        <v>12.85</v>
      </c>
      <c r="P30" s="287">
        <f t="shared" si="7"/>
        <v>12.85</v>
      </c>
    </row>
    <row r="32" spans="3:17">
      <c r="C32" t="s">
        <v>206</v>
      </c>
      <c r="D32">
        <v>162</v>
      </c>
      <c r="H32">
        <v>230</v>
      </c>
      <c r="I32" s="202">
        <f>$I$28*H36</f>
        <v>287.5</v>
      </c>
      <c r="J32">
        <f>$J$28*D36</f>
        <v>162</v>
      </c>
      <c r="K32" s="202">
        <f>$K$28*H36</f>
        <v>244.375</v>
      </c>
      <c r="L32" s="202">
        <f>$L$28*H36</f>
        <v>244.375</v>
      </c>
      <c r="M32" s="202">
        <f>$M$28*H36</f>
        <v>232.875</v>
      </c>
      <c r="N32" s="202">
        <f>$N$28*H36</f>
        <v>232.875</v>
      </c>
      <c r="O32" s="202">
        <f>$O$28*H36</f>
        <v>230</v>
      </c>
      <c r="P32" s="202">
        <f>$P$28*H36</f>
        <v>230</v>
      </c>
      <c r="Q32" s="205">
        <f t="shared" ref="Q32:Q34" si="8">SUM(I32:P32)</f>
        <v>1864</v>
      </c>
    </row>
    <row r="33" spans="3:17">
      <c r="C33" t="s">
        <v>545</v>
      </c>
      <c r="D33">
        <v>11</v>
      </c>
      <c r="H33">
        <v>56</v>
      </c>
      <c r="I33" s="202">
        <f t="shared" ref="I33:I34" si="9">$I$28*H37</f>
        <v>70</v>
      </c>
      <c r="J33">
        <f t="shared" ref="J33:J34" si="10">$J$28*D37</f>
        <v>11</v>
      </c>
      <c r="K33" s="202">
        <f t="shared" ref="K33:K34" si="11">$K$28*H37</f>
        <v>59.5</v>
      </c>
      <c r="L33" s="202">
        <f t="shared" ref="L33:L34" si="12">$L$28*H37</f>
        <v>59.5</v>
      </c>
      <c r="M33" s="202">
        <f t="shared" ref="M33:M34" si="13">$M$28*H37</f>
        <v>56.699999999999996</v>
      </c>
      <c r="N33" s="202">
        <f t="shared" ref="N33:N34" si="14">$N$28*H37</f>
        <v>56.699999999999996</v>
      </c>
      <c r="O33" s="202">
        <f t="shared" ref="O33:O34" si="15">$O$28*H37</f>
        <v>56</v>
      </c>
      <c r="P33" s="202">
        <f t="shared" ref="P33:P34" si="16">$P$28*H37</f>
        <v>56</v>
      </c>
      <c r="Q33" s="205">
        <f t="shared" si="8"/>
        <v>425.4</v>
      </c>
    </row>
    <row r="34" spans="3:17">
      <c r="C34" t="s">
        <v>546</v>
      </c>
      <c r="D34">
        <v>1782</v>
      </c>
      <c r="H34">
        <v>742</v>
      </c>
      <c r="I34" s="202">
        <f t="shared" si="9"/>
        <v>927.5</v>
      </c>
      <c r="J34">
        <f t="shared" si="10"/>
        <v>1782</v>
      </c>
      <c r="K34" s="202">
        <f t="shared" si="11"/>
        <v>788.375</v>
      </c>
      <c r="L34" s="202">
        <f t="shared" si="12"/>
        <v>788.375</v>
      </c>
      <c r="M34" s="202">
        <f t="shared" si="13"/>
        <v>751.27499999999998</v>
      </c>
      <c r="N34" s="202">
        <f t="shared" si="14"/>
        <v>751.27499999999998</v>
      </c>
      <c r="O34" s="202">
        <f t="shared" si="15"/>
        <v>742</v>
      </c>
      <c r="P34" s="202">
        <f t="shared" si="16"/>
        <v>742</v>
      </c>
      <c r="Q34" s="205">
        <f t="shared" si="8"/>
        <v>7272.7999999999993</v>
      </c>
    </row>
    <row r="36" spans="3:17">
      <c r="D36" s="206">
        <f>D32/$D$28</f>
        <v>8.2864450127877243E-2</v>
      </c>
      <c r="H36" s="206">
        <f>H32/$H$28</f>
        <v>0.22373540856031129</v>
      </c>
    </row>
    <row r="37" spans="3:17">
      <c r="D37" s="206">
        <f t="shared" ref="D37:D38" si="17">D33/$D$28</f>
        <v>5.6265984654731462E-3</v>
      </c>
      <c r="H37" s="206">
        <f t="shared" ref="H37:H38" si="18">H33/$H$28</f>
        <v>5.4474708171206226E-2</v>
      </c>
    </row>
    <row r="38" spans="3:17">
      <c r="D38" s="206">
        <f t="shared" si="17"/>
        <v>0.91150895140664967</v>
      </c>
      <c r="H38" s="206">
        <f t="shared" si="18"/>
        <v>0.72178988326848248</v>
      </c>
    </row>
    <row r="43" spans="3:17">
      <c r="C43" s="208" t="s">
        <v>3</v>
      </c>
      <c r="D43" s="208" t="s">
        <v>553</v>
      </c>
      <c r="E43" s="208" t="s">
        <v>252</v>
      </c>
    </row>
    <row r="44" spans="3:17">
      <c r="C44" s="208" t="s">
        <v>261</v>
      </c>
      <c r="D44" s="208"/>
      <c r="E44" s="208"/>
    </row>
    <row r="45" spans="3:17">
      <c r="C45" s="208" t="s">
        <v>552</v>
      </c>
      <c r="D45" s="208" t="s">
        <v>833</v>
      </c>
      <c r="E45" s="208" t="s">
        <v>555</v>
      </c>
      <c r="F45">
        <v>0.313</v>
      </c>
      <c r="G45" s="206">
        <f>D18/8</f>
        <v>114.25</v>
      </c>
      <c r="H45" s="206"/>
    </row>
    <row r="46" spans="3:17">
      <c r="C46" s="208" t="s">
        <v>545</v>
      </c>
      <c r="D46" s="208" t="s">
        <v>833</v>
      </c>
      <c r="E46" s="208" t="s">
        <v>556</v>
      </c>
      <c r="F46">
        <v>0.45100000000000001</v>
      </c>
    </row>
    <row r="47" spans="3:17">
      <c r="C47" s="208" t="s">
        <v>546</v>
      </c>
      <c r="D47" s="208" t="s">
        <v>833</v>
      </c>
      <c r="E47" s="208" t="s">
        <v>555</v>
      </c>
      <c r="F47">
        <v>0.313</v>
      </c>
    </row>
    <row r="48" spans="3:17">
      <c r="C48" s="208" t="s">
        <v>262</v>
      </c>
      <c r="D48" s="208"/>
      <c r="E48" s="208"/>
    </row>
    <row r="49" spans="3:9">
      <c r="C49" s="208" t="s">
        <v>547</v>
      </c>
      <c r="D49" s="208" t="s">
        <v>554</v>
      </c>
      <c r="E49" s="208" t="s">
        <v>556</v>
      </c>
    </row>
    <row r="53" spans="3:9">
      <c r="C53" t="s">
        <v>549</v>
      </c>
    </row>
    <row r="54" spans="3:9">
      <c r="C54" t="s">
        <v>550</v>
      </c>
    </row>
    <row r="55" spans="3:9">
      <c r="C55" t="s">
        <v>551</v>
      </c>
    </row>
    <row r="58" spans="3:9">
      <c r="C58" s="208" t="s">
        <v>3</v>
      </c>
      <c r="D58" s="208" t="s">
        <v>111</v>
      </c>
      <c r="E58" s="208" t="s">
        <v>200</v>
      </c>
      <c r="F58" s="208" t="s">
        <v>148</v>
      </c>
      <c r="G58" s="208" t="s">
        <v>149</v>
      </c>
      <c r="H58" s="208" t="s">
        <v>150</v>
      </c>
      <c r="I58" s="208" t="s">
        <v>207</v>
      </c>
    </row>
    <row r="59" spans="3:9">
      <c r="C59" s="208" t="s">
        <v>261</v>
      </c>
      <c r="D59" s="198">
        <f>SUM(D60:D62)</f>
        <v>1463</v>
      </c>
      <c r="E59" s="198">
        <f t="shared" ref="E59:I59" si="19">SUM(E60:E62)</f>
        <v>2119.85</v>
      </c>
      <c r="F59" s="198">
        <f t="shared" si="19"/>
        <v>1846.85</v>
      </c>
      <c r="G59" s="198">
        <f t="shared" si="19"/>
        <v>1746.375</v>
      </c>
      <c r="H59" s="198">
        <f t="shared" si="19"/>
        <v>1542.125</v>
      </c>
      <c r="I59" s="198">
        <f t="shared" si="19"/>
        <v>1227.125</v>
      </c>
    </row>
    <row r="60" spans="3:9">
      <c r="C60" s="208" t="s">
        <v>206</v>
      </c>
      <c r="D60" s="198">
        <f>D70+D81</f>
        <v>269</v>
      </c>
      <c r="E60" s="198">
        <f t="shared" ref="E60:I60" si="20">E70+E81</f>
        <v>363.125</v>
      </c>
      <c r="F60" s="198">
        <f t="shared" si="20"/>
        <v>324.75</v>
      </c>
      <c r="G60" s="198">
        <f t="shared" si="20"/>
        <v>318.625</v>
      </c>
      <c r="H60" s="198">
        <f t="shared" si="20"/>
        <v>287</v>
      </c>
      <c r="I60" s="198">
        <f t="shared" si="20"/>
        <v>233</v>
      </c>
    </row>
    <row r="61" spans="3:9">
      <c r="C61" s="208" t="s">
        <v>545</v>
      </c>
      <c r="D61" s="198">
        <f t="shared" ref="D61:I62" si="21">D71+D82</f>
        <v>21</v>
      </c>
      <c r="E61" s="198">
        <f t="shared" si="21"/>
        <v>50.6</v>
      </c>
      <c r="F61" s="198">
        <f t="shared" si="21"/>
        <v>56.6</v>
      </c>
      <c r="G61" s="198">
        <f t="shared" si="21"/>
        <v>64</v>
      </c>
      <c r="H61" s="198">
        <f t="shared" si="21"/>
        <v>85</v>
      </c>
      <c r="I61" s="198">
        <f t="shared" si="21"/>
        <v>85</v>
      </c>
    </row>
    <row r="62" spans="3:9">
      <c r="C62" s="208" t="s">
        <v>546</v>
      </c>
      <c r="D62" s="198">
        <f t="shared" si="21"/>
        <v>1173</v>
      </c>
      <c r="E62" s="198">
        <f t="shared" si="21"/>
        <v>1706.125</v>
      </c>
      <c r="F62" s="198">
        <f t="shared" si="21"/>
        <v>1465.5</v>
      </c>
      <c r="G62" s="198">
        <f t="shared" si="21"/>
        <v>1363.75</v>
      </c>
      <c r="H62" s="198">
        <f t="shared" si="21"/>
        <v>1170.125</v>
      </c>
      <c r="I62" s="198">
        <f t="shared" si="21"/>
        <v>909.125</v>
      </c>
    </row>
    <row r="63" spans="3:9">
      <c r="C63" s="208" t="s">
        <v>262</v>
      </c>
      <c r="D63" s="198">
        <f>D64</f>
        <v>127</v>
      </c>
      <c r="E63" s="198">
        <f t="shared" ref="E63:I63" si="22">E64</f>
        <v>357</v>
      </c>
      <c r="F63" s="198">
        <f t="shared" si="22"/>
        <v>479</v>
      </c>
      <c r="G63" s="198">
        <f t="shared" si="22"/>
        <v>479</v>
      </c>
      <c r="H63" s="198">
        <f t="shared" si="22"/>
        <v>479</v>
      </c>
      <c r="I63" s="198">
        <f t="shared" si="22"/>
        <v>352</v>
      </c>
    </row>
    <row r="64" spans="3:9">
      <c r="C64" s="208" t="s">
        <v>547</v>
      </c>
      <c r="D64" s="198">
        <f>D74+D85</f>
        <v>127</v>
      </c>
      <c r="E64" s="198">
        <f t="shared" ref="E64:I64" si="23">E74+E85</f>
        <v>357</v>
      </c>
      <c r="F64" s="198">
        <f t="shared" si="23"/>
        <v>479</v>
      </c>
      <c r="G64" s="198">
        <f t="shared" si="23"/>
        <v>479</v>
      </c>
      <c r="H64" s="198">
        <f t="shared" si="23"/>
        <v>479</v>
      </c>
      <c r="I64" s="198">
        <f t="shared" si="23"/>
        <v>352</v>
      </c>
    </row>
    <row r="65" spans="3:10">
      <c r="C65" s="208" t="s">
        <v>557</v>
      </c>
      <c r="D65" s="198">
        <f>D59+D63</f>
        <v>1590</v>
      </c>
      <c r="E65" s="198">
        <f t="shared" ref="E65:I65" si="24">E59+E63</f>
        <v>2476.85</v>
      </c>
      <c r="F65" s="198">
        <f t="shared" si="24"/>
        <v>2325.85</v>
      </c>
      <c r="G65" s="198">
        <f t="shared" si="24"/>
        <v>2225.375</v>
      </c>
      <c r="H65" s="198">
        <f t="shared" si="24"/>
        <v>2021.125</v>
      </c>
      <c r="I65" s="198">
        <f t="shared" si="24"/>
        <v>1579.125</v>
      </c>
      <c r="J65" s="205">
        <f>SUM(E65:I65)</f>
        <v>10628.325000000001</v>
      </c>
    </row>
    <row r="67" spans="3:10">
      <c r="C67" t="s">
        <v>558</v>
      </c>
    </row>
    <row r="68" spans="3:10">
      <c r="C68" s="208" t="s">
        <v>3</v>
      </c>
      <c r="D68" s="208" t="s">
        <v>111</v>
      </c>
      <c r="E68" s="208" t="s">
        <v>200</v>
      </c>
      <c r="F68" s="208" t="s">
        <v>148</v>
      </c>
      <c r="G68" s="208" t="s">
        <v>149</v>
      </c>
      <c r="H68" s="208" t="s">
        <v>150</v>
      </c>
      <c r="I68" s="208" t="s">
        <v>207</v>
      </c>
    </row>
    <row r="69" spans="3:10">
      <c r="C69" s="208" t="s">
        <v>261</v>
      </c>
      <c r="D69" s="198">
        <f>SUM(D70:D72)</f>
        <v>1463</v>
      </c>
      <c r="E69" s="198">
        <f t="shared" ref="E69" si="25">SUM(E70:E72)</f>
        <v>1734</v>
      </c>
      <c r="F69" s="198">
        <f t="shared" ref="F69" si="26">SUM(F70:F72)</f>
        <v>1186</v>
      </c>
      <c r="G69" s="198">
        <f t="shared" ref="G69" si="27">SUM(G70:G72)</f>
        <v>805</v>
      </c>
      <c r="H69" s="198">
        <f t="shared" ref="H69" si="28">SUM(H70:H72)</f>
        <v>315</v>
      </c>
      <c r="I69" s="198">
        <v>0</v>
      </c>
    </row>
    <row r="70" spans="3:10">
      <c r="C70" s="208" t="s">
        <v>206</v>
      </c>
      <c r="D70" s="198">
        <v>269</v>
      </c>
      <c r="E70" s="198">
        <v>313</v>
      </c>
      <c r="F70" s="198">
        <v>215</v>
      </c>
      <c r="G70" s="198">
        <v>148</v>
      </c>
      <c r="H70" s="198">
        <v>54</v>
      </c>
      <c r="I70" s="198">
        <v>0</v>
      </c>
      <c r="J70" s="205"/>
    </row>
    <row r="71" spans="3:10">
      <c r="C71" s="208" t="s">
        <v>545</v>
      </c>
      <c r="D71" s="198">
        <v>21</v>
      </c>
      <c r="E71" s="198">
        <v>37</v>
      </c>
      <c r="F71" s="198">
        <v>20</v>
      </c>
      <c r="G71" s="198">
        <v>4</v>
      </c>
      <c r="H71" s="198">
        <v>0</v>
      </c>
      <c r="I71" s="198">
        <v>0</v>
      </c>
      <c r="J71" s="205"/>
    </row>
    <row r="72" spans="3:10">
      <c r="C72" s="208" t="s">
        <v>546</v>
      </c>
      <c r="D72" s="198">
        <v>1173</v>
      </c>
      <c r="E72" s="198">
        <v>1384</v>
      </c>
      <c r="F72" s="198">
        <v>951</v>
      </c>
      <c r="G72" s="198">
        <v>653</v>
      </c>
      <c r="H72" s="198">
        <v>261</v>
      </c>
      <c r="I72" s="198">
        <v>0</v>
      </c>
      <c r="J72" s="205"/>
    </row>
    <row r="73" spans="3:10">
      <c r="C73" s="208" t="s">
        <v>262</v>
      </c>
      <c r="D73" s="198">
        <f>D74</f>
        <v>127</v>
      </c>
      <c r="E73" s="198">
        <f t="shared" ref="E73:I73" si="29">E74</f>
        <v>235</v>
      </c>
      <c r="F73" s="198">
        <f t="shared" si="29"/>
        <v>235</v>
      </c>
      <c r="G73" s="198">
        <f t="shared" si="29"/>
        <v>235</v>
      </c>
      <c r="H73" s="198">
        <f t="shared" si="29"/>
        <v>235</v>
      </c>
      <c r="I73" s="198">
        <f t="shared" si="29"/>
        <v>108</v>
      </c>
      <c r="J73" s="205"/>
    </row>
    <row r="74" spans="3:10">
      <c r="C74" s="208" t="s">
        <v>547</v>
      </c>
      <c r="D74" s="198">
        <v>127</v>
      </c>
      <c r="E74" s="198">
        <f>D21/5</f>
        <v>235</v>
      </c>
      <c r="F74" s="198">
        <f>E74</f>
        <v>235</v>
      </c>
      <c r="G74" s="198">
        <v>235</v>
      </c>
      <c r="H74" s="198">
        <v>235</v>
      </c>
      <c r="I74" s="198">
        <v>108</v>
      </c>
    </row>
    <row r="75" spans="3:10">
      <c r="C75" s="208" t="s">
        <v>557</v>
      </c>
      <c r="D75" s="198">
        <f>D69+D73</f>
        <v>1590</v>
      </c>
      <c r="E75" s="198">
        <f t="shared" ref="E75:I75" si="30">E69+E73</f>
        <v>1969</v>
      </c>
      <c r="F75" s="198">
        <f t="shared" si="30"/>
        <v>1421</v>
      </c>
      <c r="G75" s="198">
        <f t="shared" si="30"/>
        <v>1040</v>
      </c>
      <c r="H75" s="198">
        <f t="shared" si="30"/>
        <v>550</v>
      </c>
      <c r="I75" s="198">
        <f t="shared" si="30"/>
        <v>108</v>
      </c>
    </row>
    <row r="78" spans="3:10">
      <c r="C78" t="s">
        <v>559</v>
      </c>
    </row>
    <row r="79" spans="3:10">
      <c r="C79" s="208" t="s">
        <v>3</v>
      </c>
      <c r="D79" s="208" t="s">
        <v>111</v>
      </c>
      <c r="E79" s="208" t="s">
        <v>200</v>
      </c>
      <c r="F79" s="208" t="s">
        <v>148</v>
      </c>
      <c r="G79" s="208" t="s">
        <v>149</v>
      </c>
      <c r="H79" s="208" t="s">
        <v>150</v>
      </c>
      <c r="I79" s="208" t="s">
        <v>207</v>
      </c>
    </row>
    <row r="80" spans="3:10">
      <c r="C80" s="208" t="s">
        <v>261</v>
      </c>
      <c r="D80" s="198">
        <f>SUM(D81:D83)</f>
        <v>0</v>
      </c>
      <c r="E80" s="198">
        <f t="shared" ref="E80" si="31">SUM(E81:E83)</f>
        <v>385.85</v>
      </c>
      <c r="F80" s="198">
        <f t="shared" ref="F80" si="32">SUM(F81:F83)</f>
        <v>660.85</v>
      </c>
      <c r="G80" s="198">
        <f t="shared" ref="G80" si="33">SUM(G81:G83)</f>
        <v>941.375</v>
      </c>
      <c r="H80" s="198">
        <f t="shared" ref="H80" si="34">SUM(H81:H83)</f>
        <v>1227.125</v>
      </c>
      <c r="I80" s="198">
        <f t="shared" ref="I80" si="35">SUM(I81:I83)</f>
        <v>1227.125</v>
      </c>
    </row>
    <row r="81" spans="3:10">
      <c r="C81" s="208" t="s">
        <v>206</v>
      </c>
      <c r="D81" s="198"/>
      <c r="E81" s="198">
        <f>E18/8</f>
        <v>50.125</v>
      </c>
      <c r="F81" s="198">
        <f>SUM($E$18:F18)/8</f>
        <v>109.75</v>
      </c>
      <c r="G81" s="198">
        <f>SUM($E$18:G18)/8</f>
        <v>170.625</v>
      </c>
      <c r="H81" s="198">
        <f>SUM($E$18:H18)/8</f>
        <v>233</v>
      </c>
      <c r="I81" s="198">
        <f>SUM($E$18:I18)/8</f>
        <v>233</v>
      </c>
      <c r="J81" s="206"/>
    </row>
    <row r="82" spans="3:10">
      <c r="C82" s="208" t="s">
        <v>545</v>
      </c>
      <c r="D82" s="198"/>
      <c r="E82" s="198">
        <f>E19/5</f>
        <v>13.6</v>
      </c>
      <c r="F82" s="198">
        <f>SUM($E$19:F19)/5</f>
        <v>36.6</v>
      </c>
      <c r="G82" s="198">
        <f>SUM($E$19:G19)/5</f>
        <v>60</v>
      </c>
      <c r="H82" s="198">
        <f>SUM($E$19:H19)/5</f>
        <v>85</v>
      </c>
      <c r="I82" s="198">
        <f>SUM($E$19:I19)/5</f>
        <v>85</v>
      </c>
    </row>
    <row r="83" spans="3:10">
      <c r="C83" s="208" t="s">
        <v>546</v>
      </c>
      <c r="D83" s="198"/>
      <c r="E83" s="198">
        <f>E20/8</f>
        <v>322.125</v>
      </c>
      <c r="F83" s="198">
        <f>SUM($E$20:F20)/8</f>
        <v>514.5</v>
      </c>
      <c r="G83" s="198">
        <f>SUM($E$20:G20)/8</f>
        <v>710.75</v>
      </c>
      <c r="H83" s="198">
        <f>SUM($E$20:H20)/8</f>
        <v>909.125</v>
      </c>
      <c r="I83" s="198">
        <f>SUM($E$20:I20)/8</f>
        <v>909.125</v>
      </c>
    </row>
    <row r="84" spans="3:10">
      <c r="C84" s="208" t="s">
        <v>262</v>
      </c>
      <c r="D84" s="198">
        <f>D85</f>
        <v>0</v>
      </c>
      <c r="E84" s="198">
        <f t="shared" ref="E84" si="36">E85</f>
        <v>122</v>
      </c>
      <c r="F84" s="198">
        <f t="shared" ref="F84" si="37">F85</f>
        <v>244</v>
      </c>
      <c r="G84" s="198">
        <f t="shared" ref="G84" si="38">G85</f>
        <v>244</v>
      </c>
      <c r="H84" s="198">
        <f t="shared" ref="H84" si="39">H85</f>
        <v>244</v>
      </c>
      <c r="I84" s="198">
        <f t="shared" ref="I84" si="40">I85</f>
        <v>244</v>
      </c>
    </row>
    <row r="85" spans="3:10">
      <c r="C85" s="208" t="s">
        <v>547</v>
      </c>
      <c r="D85" s="198"/>
      <c r="E85" s="198">
        <v>122</v>
      </c>
      <c r="F85" s="198">
        <f>E22/5</f>
        <v>244</v>
      </c>
      <c r="G85" s="198">
        <f>F85</f>
        <v>244</v>
      </c>
      <c r="H85" s="198">
        <f t="shared" ref="H85:I85" si="41">G85</f>
        <v>244</v>
      </c>
      <c r="I85" s="198">
        <f t="shared" si="41"/>
        <v>244</v>
      </c>
    </row>
    <row r="86" spans="3:10">
      <c r="C86" s="208" t="s">
        <v>557</v>
      </c>
      <c r="D86" s="198">
        <f>D80+D84</f>
        <v>0</v>
      </c>
      <c r="E86" s="198">
        <f t="shared" ref="E86:I86" si="42">E80+E84</f>
        <v>507.85</v>
      </c>
      <c r="F86" s="198">
        <f t="shared" si="42"/>
        <v>904.85</v>
      </c>
      <c r="G86" s="198">
        <f t="shared" si="42"/>
        <v>1185.375</v>
      </c>
      <c r="H86" s="198">
        <f t="shared" si="42"/>
        <v>1471.125</v>
      </c>
      <c r="I86" s="198">
        <f t="shared" si="42"/>
        <v>1471.125</v>
      </c>
    </row>
  </sheetData>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O97"/>
  <sheetViews>
    <sheetView workbookViewId="0">
      <pane xSplit="2" ySplit="14" topLeftCell="C87" activePane="bottomRight" state="frozen"/>
      <selection activeCell="K42" sqref="K42"/>
      <selection pane="topRight" activeCell="K42" sqref="K42"/>
      <selection pane="bottomLeft" activeCell="K42" sqref="K42"/>
      <selection pane="bottomRight" activeCell="E31" sqref="E31"/>
    </sheetView>
  </sheetViews>
  <sheetFormatPr defaultColWidth="9.42578125" defaultRowHeight="15" customHeight="1"/>
  <cols>
    <col min="1" max="1" width="9" style="298" customWidth="1"/>
    <col min="2" max="2" width="15" style="298" customWidth="1"/>
    <col min="3" max="3" width="19.140625" style="295" bestFit="1" customWidth="1"/>
    <col min="4" max="4" width="15.85546875" style="295" bestFit="1" customWidth="1"/>
    <col min="5" max="5" width="17.5703125" style="295" bestFit="1" customWidth="1"/>
    <col min="6" max="6" width="19.140625" style="295" bestFit="1" customWidth="1"/>
    <col min="7" max="12" width="18.5703125" style="295" customWidth="1"/>
    <col min="13" max="13" width="14.42578125" style="295" bestFit="1" customWidth="1"/>
    <col min="14" max="14" width="15.85546875" style="295" bestFit="1" customWidth="1"/>
    <col min="15" max="15" width="14.42578125" style="296" bestFit="1" customWidth="1"/>
    <col min="16" max="16384" width="9.42578125" style="295"/>
  </cols>
  <sheetData>
    <row r="4" spans="1:15" ht="15" customHeight="1">
      <c r="H4" s="295" t="s">
        <v>121</v>
      </c>
      <c r="I4" s="316">
        <f>SUM(I15,I27,I38,I52,I66,I82,I95)</f>
        <v>389047439</v>
      </c>
    </row>
    <row r="5" spans="1:15" ht="15" customHeight="1">
      <c r="H5" s="295" t="s">
        <v>560</v>
      </c>
      <c r="I5" s="316">
        <f>SUM(I16,I28,I39,I53,I67,I83,I96)</f>
        <v>83793370</v>
      </c>
    </row>
    <row r="6" spans="1:15" ht="15" customHeight="1">
      <c r="H6" s="295" t="s">
        <v>561</v>
      </c>
      <c r="I6" s="316">
        <f>SUM(I17,I29,I40,I54,I68,I96)</f>
        <v>10894655</v>
      </c>
    </row>
    <row r="7" spans="1:15" ht="15" customHeight="1">
      <c r="H7" s="295" t="s">
        <v>262</v>
      </c>
      <c r="I7" s="316">
        <f>I42+I56+I70+I85</f>
        <v>146204833</v>
      </c>
    </row>
    <row r="10" spans="1:15" ht="15" customHeight="1">
      <c r="A10" s="339" t="s">
        <v>846</v>
      </c>
      <c r="B10" s="339"/>
      <c r="C10" s="339"/>
      <c r="D10" s="339"/>
      <c r="E10" s="339"/>
      <c r="F10" s="339"/>
      <c r="G10" s="339"/>
      <c r="H10" s="339"/>
      <c r="I10" s="339"/>
      <c r="J10" s="339"/>
      <c r="K10" s="339"/>
      <c r="L10" s="339"/>
    </row>
    <row r="11" spans="1:15" ht="15" customHeight="1">
      <c r="A11" s="340">
        <v>45473</v>
      </c>
      <c r="B11" s="340"/>
      <c r="C11" s="340"/>
      <c r="D11" s="340"/>
      <c r="E11" s="340"/>
      <c r="F11" s="340"/>
      <c r="G11" s="340"/>
      <c r="H11" s="340"/>
      <c r="I11" s="340"/>
      <c r="J11" s="340"/>
      <c r="K11" s="340"/>
      <c r="L11" s="340"/>
    </row>
    <row r="12" spans="1:15" ht="15" customHeight="1">
      <c r="A12" s="297"/>
      <c r="L12" s="299" t="s">
        <v>387</v>
      </c>
      <c r="O12" s="300"/>
    </row>
    <row r="13" spans="1:15" s="298" customFormat="1" ht="18" customHeight="1">
      <c r="A13" s="341" t="s">
        <v>388</v>
      </c>
      <c r="B13" s="342" t="s">
        <v>847</v>
      </c>
      <c r="C13" s="341" t="s">
        <v>848</v>
      </c>
      <c r="D13" s="341"/>
      <c r="E13" s="341"/>
      <c r="F13" s="341"/>
      <c r="G13" s="341" t="s">
        <v>849</v>
      </c>
      <c r="H13" s="341"/>
      <c r="I13" s="344" t="s">
        <v>850</v>
      </c>
      <c r="J13" s="341"/>
      <c r="K13" s="341"/>
      <c r="L13" s="341"/>
      <c r="O13" s="302"/>
    </row>
    <row r="14" spans="1:15" s="298" customFormat="1" ht="27">
      <c r="A14" s="341"/>
      <c r="B14" s="343"/>
      <c r="C14" s="301" t="s">
        <v>851</v>
      </c>
      <c r="D14" s="301" t="s">
        <v>852</v>
      </c>
      <c r="E14" s="301" t="s">
        <v>853</v>
      </c>
      <c r="F14" s="301" t="s">
        <v>854</v>
      </c>
      <c r="G14" s="303" t="s">
        <v>855</v>
      </c>
      <c r="H14" s="304" t="s">
        <v>856</v>
      </c>
      <c r="I14" s="303" t="s">
        <v>857</v>
      </c>
      <c r="J14" s="305" t="s">
        <v>858</v>
      </c>
      <c r="K14" s="303" t="s">
        <v>859</v>
      </c>
      <c r="L14" s="303" t="s">
        <v>860</v>
      </c>
      <c r="O14" s="302"/>
    </row>
    <row r="15" spans="1:15" ht="18" customHeight="1">
      <c r="A15" s="345" t="s">
        <v>789</v>
      </c>
      <c r="B15" s="306" t="s">
        <v>861</v>
      </c>
      <c r="C15" s="307">
        <v>1781536364</v>
      </c>
      <c r="D15" s="307">
        <v>0</v>
      </c>
      <c r="E15" s="307">
        <v>0</v>
      </c>
      <c r="F15" s="307">
        <v>1781536364</v>
      </c>
      <c r="G15" s="307">
        <v>453655303</v>
      </c>
      <c r="H15" s="308">
        <v>1327881061</v>
      </c>
      <c r="I15" s="307">
        <v>111346023</v>
      </c>
      <c r="J15" s="309">
        <v>0</v>
      </c>
      <c r="K15" s="307">
        <f t="shared" ref="K15:K17" si="0">G15+I15-J15</f>
        <v>565001326</v>
      </c>
      <c r="L15" s="307">
        <v>1216535038</v>
      </c>
      <c r="M15" s="310">
        <f t="shared" ref="M15:M18" si="1">F15-G15-I15+J15-L15</f>
        <v>0</v>
      </c>
      <c r="N15" s="311"/>
      <c r="O15" s="300"/>
    </row>
    <row r="16" spans="1:15" ht="18" customHeight="1">
      <c r="A16" s="346"/>
      <c r="B16" s="306" t="s">
        <v>862</v>
      </c>
      <c r="C16" s="307">
        <v>162281229</v>
      </c>
      <c r="D16" s="307">
        <v>0</v>
      </c>
      <c r="E16" s="307">
        <v>0</v>
      </c>
      <c r="F16" s="307">
        <v>162281229</v>
      </c>
      <c r="G16" s="307">
        <v>35773276</v>
      </c>
      <c r="H16" s="308">
        <v>126507953</v>
      </c>
      <c r="I16" s="307">
        <v>10142577</v>
      </c>
      <c r="J16" s="309"/>
      <c r="K16" s="307">
        <f t="shared" si="0"/>
        <v>45915853</v>
      </c>
      <c r="L16" s="307">
        <v>116365376</v>
      </c>
      <c r="M16" s="310">
        <f t="shared" si="1"/>
        <v>0</v>
      </c>
      <c r="N16" s="311"/>
      <c r="O16" s="300"/>
    </row>
    <row r="17" spans="1:15" ht="18" customHeight="1">
      <c r="A17" s="346"/>
      <c r="B17" s="306" t="s">
        <v>863</v>
      </c>
      <c r="C17" s="307">
        <v>11259090</v>
      </c>
      <c r="D17" s="307">
        <v>0</v>
      </c>
      <c r="E17" s="307">
        <v>0</v>
      </c>
      <c r="F17" s="307">
        <v>11259090</v>
      </c>
      <c r="G17" s="307">
        <v>3780076</v>
      </c>
      <c r="H17" s="308">
        <v>7479014</v>
      </c>
      <c r="I17" s="307">
        <v>1125909</v>
      </c>
      <c r="J17" s="309">
        <v>0</v>
      </c>
      <c r="K17" s="307">
        <f t="shared" si="0"/>
        <v>4905985</v>
      </c>
      <c r="L17" s="307">
        <v>6353105</v>
      </c>
      <c r="M17" s="310">
        <f t="shared" si="1"/>
        <v>0</v>
      </c>
      <c r="N17" s="311"/>
      <c r="O17" s="300"/>
    </row>
    <row r="18" spans="1:15" ht="18" customHeight="1">
      <c r="A18" s="347"/>
      <c r="B18" s="312" t="s">
        <v>864</v>
      </c>
      <c r="C18" s="313">
        <f t="shared" ref="C18:K18" si="2">SUM(C15:C17)</f>
        <v>1955076683</v>
      </c>
      <c r="D18" s="313">
        <f t="shared" si="2"/>
        <v>0</v>
      </c>
      <c r="E18" s="313">
        <f t="shared" si="2"/>
        <v>0</v>
      </c>
      <c r="F18" s="313">
        <f t="shared" si="2"/>
        <v>1955076683</v>
      </c>
      <c r="G18" s="313">
        <f t="shared" si="2"/>
        <v>493208655</v>
      </c>
      <c r="H18" s="314">
        <f t="shared" si="2"/>
        <v>1461868028</v>
      </c>
      <c r="I18" s="313">
        <f t="shared" si="2"/>
        <v>122614509</v>
      </c>
      <c r="J18" s="315">
        <f t="shared" si="2"/>
        <v>0</v>
      </c>
      <c r="K18" s="315">
        <f t="shared" si="2"/>
        <v>615823164</v>
      </c>
      <c r="L18" s="313">
        <f>SUM(L15:L17)</f>
        <v>1339253519</v>
      </c>
      <c r="M18" s="310">
        <f t="shared" si="1"/>
        <v>0</v>
      </c>
    </row>
    <row r="19" spans="1:15" ht="15" customHeight="1">
      <c r="C19" s="316"/>
      <c r="L19" s="316"/>
    </row>
    <row r="21" spans="1:15" ht="15" customHeight="1">
      <c r="K21" s="311"/>
    </row>
    <row r="22" spans="1:15" ht="15" customHeight="1">
      <c r="A22" s="348" t="s">
        <v>846</v>
      </c>
      <c r="B22" s="348"/>
      <c r="C22" s="348"/>
      <c r="D22" s="348"/>
      <c r="E22" s="348"/>
      <c r="F22" s="348"/>
      <c r="G22" s="348"/>
      <c r="H22" s="348"/>
      <c r="I22" s="348"/>
      <c r="J22" s="348"/>
      <c r="K22" s="348"/>
      <c r="L22" s="348"/>
    </row>
    <row r="23" spans="1:15" ht="15" customHeight="1">
      <c r="A23" s="349">
        <v>45473</v>
      </c>
      <c r="B23" s="349"/>
      <c r="C23" s="349"/>
      <c r="D23" s="349"/>
      <c r="E23" s="349"/>
      <c r="F23" s="349"/>
      <c r="G23" s="349"/>
      <c r="H23" s="349"/>
      <c r="I23" s="349"/>
      <c r="J23" s="349"/>
      <c r="K23" s="349"/>
      <c r="L23" s="349"/>
    </row>
    <row r="24" spans="1:15" ht="15" customHeight="1">
      <c r="A24" s="317"/>
      <c r="B24" s="318"/>
      <c r="C24" s="59"/>
      <c r="D24" s="59"/>
      <c r="E24" s="59"/>
      <c r="F24" s="59"/>
      <c r="G24" s="59"/>
      <c r="H24" s="59"/>
      <c r="I24" s="59"/>
      <c r="J24" s="59"/>
      <c r="K24" s="59"/>
      <c r="L24" s="75" t="s">
        <v>387</v>
      </c>
    </row>
    <row r="25" spans="1:15" ht="15" customHeight="1">
      <c r="A25" s="350" t="s">
        <v>388</v>
      </c>
      <c r="B25" s="351" t="s">
        <v>847</v>
      </c>
      <c r="C25" s="350" t="s">
        <v>848</v>
      </c>
      <c r="D25" s="350"/>
      <c r="E25" s="350"/>
      <c r="F25" s="350"/>
      <c r="G25" s="350" t="s">
        <v>849</v>
      </c>
      <c r="H25" s="350"/>
      <c r="I25" s="353" t="s">
        <v>850</v>
      </c>
      <c r="J25" s="350"/>
      <c r="K25" s="350"/>
      <c r="L25" s="350"/>
    </row>
    <row r="26" spans="1:15" ht="15" customHeight="1">
      <c r="A26" s="350"/>
      <c r="B26" s="352"/>
      <c r="C26" s="319" t="s">
        <v>851</v>
      </c>
      <c r="D26" s="319" t="s">
        <v>852</v>
      </c>
      <c r="E26" s="319" t="s">
        <v>853</v>
      </c>
      <c r="F26" s="319" t="s">
        <v>854</v>
      </c>
      <c r="G26" s="320" t="s">
        <v>855</v>
      </c>
      <c r="H26" s="321" t="s">
        <v>856</v>
      </c>
      <c r="I26" s="320" t="s">
        <v>857</v>
      </c>
      <c r="J26" s="322" t="s">
        <v>858</v>
      </c>
      <c r="K26" s="320" t="s">
        <v>859</v>
      </c>
      <c r="L26" s="320" t="s">
        <v>860</v>
      </c>
    </row>
    <row r="27" spans="1:15" ht="15" customHeight="1">
      <c r="A27" s="354" t="s">
        <v>791</v>
      </c>
      <c r="B27" s="323" t="s">
        <v>861</v>
      </c>
      <c r="C27" s="324">
        <v>1090169480</v>
      </c>
      <c r="D27" s="324">
        <v>0</v>
      </c>
      <c r="E27" s="324">
        <v>1090169480</v>
      </c>
      <c r="F27" s="324">
        <v>0</v>
      </c>
      <c r="G27" s="324">
        <v>158591591</v>
      </c>
      <c r="H27" s="325">
        <v>931577889</v>
      </c>
      <c r="I27" s="324">
        <v>68135592</v>
      </c>
      <c r="J27" s="326">
        <v>226727183</v>
      </c>
      <c r="K27" s="324">
        <v>0</v>
      </c>
      <c r="L27" s="324">
        <v>0</v>
      </c>
    </row>
    <row r="28" spans="1:15" ht="15" customHeight="1">
      <c r="A28" s="355"/>
      <c r="B28" s="323" t="s">
        <v>862</v>
      </c>
      <c r="C28" s="324">
        <v>284316156</v>
      </c>
      <c r="D28" s="324"/>
      <c r="E28" s="324">
        <v>284316156</v>
      </c>
      <c r="F28" s="324">
        <v>0</v>
      </c>
      <c r="G28" s="324">
        <v>43630606</v>
      </c>
      <c r="H28" s="325">
        <v>240685550</v>
      </c>
      <c r="I28" s="324">
        <v>17769760</v>
      </c>
      <c r="J28" s="326">
        <v>61400366</v>
      </c>
      <c r="K28" s="324">
        <v>0</v>
      </c>
      <c r="L28" s="324">
        <v>0</v>
      </c>
    </row>
    <row r="29" spans="1:15" ht="15" customHeight="1">
      <c r="A29" s="355"/>
      <c r="B29" s="323" t="s">
        <v>863</v>
      </c>
      <c r="C29" s="324">
        <v>19757338</v>
      </c>
      <c r="D29" s="324">
        <v>0</v>
      </c>
      <c r="E29" s="324">
        <v>19757338</v>
      </c>
      <c r="F29" s="324">
        <v>0</v>
      </c>
      <c r="G29" s="324">
        <v>4610046</v>
      </c>
      <c r="H29" s="325">
        <v>15147292</v>
      </c>
      <c r="I29" s="324">
        <v>1975734</v>
      </c>
      <c r="J29" s="326">
        <v>6585780</v>
      </c>
      <c r="K29" s="324">
        <v>0</v>
      </c>
      <c r="L29" s="324">
        <v>0</v>
      </c>
    </row>
    <row r="30" spans="1:15" ht="15" customHeight="1">
      <c r="A30" s="356"/>
      <c r="B30" s="327" t="s">
        <v>864</v>
      </c>
      <c r="C30" s="328">
        <f t="shared" ref="C30:J30" si="3">SUM(C27:C29)</f>
        <v>1394242974</v>
      </c>
      <c r="D30" s="328">
        <f t="shared" si="3"/>
        <v>0</v>
      </c>
      <c r="E30" s="328">
        <f t="shared" si="3"/>
        <v>1394242974</v>
      </c>
      <c r="F30" s="328">
        <f t="shared" si="3"/>
        <v>0</v>
      </c>
      <c r="G30" s="328">
        <f t="shared" si="3"/>
        <v>206832243</v>
      </c>
      <c r="H30" s="329">
        <f t="shared" si="3"/>
        <v>1187410731</v>
      </c>
      <c r="I30" s="328">
        <f t="shared" si="3"/>
        <v>87881086</v>
      </c>
      <c r="J30" s="330">
        <f t="shared" si="3"/>
        <v>294713329</v>
      </c>
      <c r="K30" s="331">
        <f>SUM(K27:K29)</f>
        <v>0</v>
      </c>
      <c r="L30" s="328">
        <f>SUM(L27:L29)</f>
        <v>0</v>
      </c>
    </row>
    <row r="33" spans="1:12" ht="15" customHeight="1">
      <c r="A33" s="348" t="s">
        <v>846</v>
      </c>
      <c r="B33" s="348"/>
      <c r="C33" s="348"/>
      <c r="D33" s="348"/>
      <c r="E33" s="348"/>
      <c r="F33" s="348"/>
      <c r="G33" s="348"/>
      <c r="H33" s="348"/>
      <c r="I33" s="348"/>
      <c r="J33" s="348"/>
      <c r="K33" s="348"/>
      <c r="L33" s="348"/>
    </row>
    <row r="34" spans="1:12" ht="15" customHeight="1">
      <c r="A34" s="349">
        <v>45473</v>
      </c>
      <c r="B34" s="349"/>
      <c r="C34" s="349"/>
      <c r="D34" s="349"/>
      <c r="E34" s="349"/>
      <c r="F34" s="349"/>
      <c r="G34" s="349"/>
      <c r="H34" s="349"/>
      <c r="I34" s="349"/>
      <c r="J34" s="349"/>
      <c r="K34" s="349"/>
      <c r="L34" s="349"/>
    </row>
    <row r="35" spans="1:12" ht="15" customHeight="1">
      <c r="A35" s="317"/>
      <c r="B35" s="318"/>
      <c r="C35" s="59"/>
      <c r="D35" s="59"/>
      <c r="E35" s="59"/>
      <c r="F35" s="59"/>
      <c r="G35" s="59"/>
      <c r="H35" s="59"/>
      <c r="I35" s="59"/>
      <c r="J35" s="59"/>
      <c r="K35" s="59"/>
      <c r="L35" s="75" t="s">
        <v>387</v>
      </c>
    </row>
    <row r="36" spans="1:12" ht="15" customHeight="1">
      <c r="A36" s="350" t="s">
        <v>388</v>
      </c>
      <c r="B36" s="351" t="s">
        <v>847</v>
      </c>
      <c r="C36" s="350" t="s">
        <v>848</v>
      </c>
      <c r="D36" s="350"/>
      <c r="E36" s="350"/>
      <c r="F36" s="350"/>
      <c r="G36" s="350" t="s">
        <v>849</v>
      </c>
      <c r="H36" s="350"/>
      <c r="I36" s="353" t="s">
        <v>850</v>
      </c>
      <c r="J36" s="350"/>
      <c r="K36" s="350"/>
      <c r="L36" s="350"/>
    </row>
    <row r="37" spans="1:12" ht="15" customHeight="1">
      <c r="A37" s="350"/>
      <c r="B37" s="352"/>
      <c r="C37" s="319" t="s">
        <v>851</v>
      </c>
      <c r="D37" s="319" t="s">
        <v>852</v>
      </c>
      <c r="E37" s="319" t="s">
        <v>853</v>
      </c>
      <c r="F37" s="319" t="s">
        <v>854</v>
      </c>
      <c r="G37" s="320" t="s">
        <v>855</v>
      </c>
      <c r="H37" s="321" t="s">
        <v>856</v>
      </c>
      <c r="I37" s="320" t="s">
        <v>857</v>
      </c>
      <c r="J37" s="322" t="s">
        <v>858</v>
      </c>
      <c r="K37" s="320" t="s">
        <v>859</v>
      </c>
      <c r="L37" s="320" t="s">
        <v>860</v>
      </c>
    </row>
    <row r="38" spans="1:12" ht="15" customHeight="1">
      <c r="A38" s="354" t="s">
        <v>792</v>
      </c>
      <c r="B38" s="323" t="s">
        <v>861</v>
      </c>
      <c r="C38" s="324">
        <v>1018650000</v>
      </c>
      <c r="D38" s="324">
        <v>0</v>
      </c>
      <c r="E38" s="324">
        <v>0</v>
      </c>
      <c r="F38" s="324">
        <v>1018650000</v>
      </c>
      <c r="G38" s="324">
        <v>63665625</v>
      </c>
      <c r="H38" s="325">
        <v>954984375</v>
      </c>
      <c r="I38" s="324">
        <v>63665625</v>
      </c>
      <c r="J38" s="326">
        <v>0</v>
      </c>
      <c r="K38" s="324">
        <v>127331250</v>
      </c>
      <c r="L38" s="324">
        <v>891318750</v>
      </c>
    </row>
    <row r="39" spans="1:12" ht="15" customHeight="1">
      <c r="A39" s="355"/>
      <c r="B39" s="323" t="s">
        <v>862</v>
      </c>
      <c r="C39" s="324">
        <v>297003327</v>
      </c>
      <c r="D39" s="324">
        <v>0</v>
      </c>
      <c r="E39" s="324">
        <v>0</v>
      </c>
      <c r="F39" s="324">
        <v>297003327</v>
      </c>
      <c r="G39" s="324">
        <v>30348473</v>
      </c>
      <c r="H39" s="325">
        <v>266654854</v>
      </c>
      <c r="I39" s="324">
        <v>18562709</v>
      </c>
      <c r="J39" s="326">
        <v>0</v>
      </c>
      <c r="K39" s="324">
        <v>48911182</v>
      </c>
      <c r="L39" s="324">
        <v>248092145</v>
      </c>
    </row>
    <row r="40" spans="1:12" ht="15" customHeight="1">
      <c r="A40" s="355"/>
      <c r="B40" s="323" t="s">
        <v>863</v>
      </c>
      <c r="C40" s="324">
        <v>22243454</v>
      </c>
      <c r="D40" s="324">
        <v>0</v>
      </c>
      <c r="E40" s="324">
        <v>0</v>
      </c>
      <c r="F40" s="324">
        <v>22243454</v>
      </c>
      <c r="G40" s="324">
        <v>3300879</v>
      </c>
      <c r="H40" s="325">
        <v>18942575</v>
      </c>
      <c r="I40" s="324">
        <v>2224345</v>
      </c>
      <c r="J40" s="326">
        <v>0</v>
      </c>
      <c r="K40" s="324">
        <v>5525224</v>
      </c>
      <c r="L40" s="324">
        <v>16718230</v>
      </c>
    </row>
    <row r="41" spans="1:12" ht="15" customHeight="1">
      <c r="A41" s="356"/>
      <c r="B41" s="327" t="s">
        <v>864</v>
      </c>
      <c r="C41" s="328">
        <v>1337896781</v>
      </c>
      <c r="D41" s="328">
        <v>0</v>
      </c>
      <c r="E41" s="328">
        <v>0</v>
      </c>
      <c r="F41" s="328">
        <v>1337896781</v>
      </c>
      <c r="G41" s="328">
        <v>97314977</v>
      </c>
      <c r="H41" s="329">
        <v>1240581804</v>
      </c>
      <c r="I41" s="328">
        <v>84452679</v>
      </c>
      <c r="J41" s="330">
        <v>0</v>
      </c>
      <c r="K41" s="330">
        <v>181767656</v>
      </c>
      <c r="L41" s="328">
        <v>1156129125</v>
      </c>
    </row>
    <row r="42" spans="1:12" ht="15" customHeight="1">
      <c r="A42" s="357" t="s">
        <v>865</v>
      </c>
      <c r="B42" s="323" t="s">
        <v>866</v>
      </c>
      <c r="C42" s="324">
        <v>318273750</v>
      </c>
      <c r="D42" s="324">
        <v>0</v>
      </c>
      <c r="E42" s="324">
        <v>0</v>
      </c>
      <c r="F42" s="324">
        <v>318273750</v>
      </c>
      <c r="G42" s="324">
        <v>53045625</v>
      </c>
      <c r="H42" s="325">
        <v>265228125</v>
      </c>
      <c r="I42" s="324">
        <v>31827375</v>
      </c>
      <c r="J42" s="326">
        <v>0</v>
      </c>
      <c r="K42" s="324">
        <v>84873000</v>
      </c>
      <c r="L42" s="324">
        <v>233400750</v>
      </c>
    </row>
    <row r="43" spans="1:12" ht="15" customHeight="1">
      <c r="A43" s="358"/>
      <c r="B43" s="327" t="s">
        <v>864</v>
      </c>
      <c r="C43" s="328">
        <v>318273750</v>
      </c>
      <c r="D43" s="328">
        <v>0</v>
      </c>
      <c r="E43" s="328">
        <v>0</v>
      </c>
      <c r="F43" s="328">
        <v>318273750</v>
      </c>
      <c r="G43" s="328">
        <v>53045625</v>
      </c>
      <c r="H43" s="329">
        <v>265228125</v>
      </c>
      <c r="I43" s="328">
        <v>31827375</v>
      </c>
      <c r="J43" s="330">
        <v>0</v>
      </c>
      <c r="K43" s="328">
        <v>84873000</v>
      </c>
      <c r="L43" s="328">
        <v>233400750</v>
      </c>
    </row>
    <row r="47" spans="1:12" ht="15" customHeight="1">
      <c r="A47" s="348" t="s">
        <v>846</v>
      </c>
      <c r="B47" s="348"/>
      <c r="C47" s="348"/>
      <c r="D47" s="348"/>
      <c r="E47" s="348"/>
      <c r="F47" s="348"/>
      <c r="G47" s="348"/>
      <c r="H47" s="348"/>
      <c r="I47" s="348"/>
      <c r="J47" s="348"/>
      <c r="K47" s="348"/>
      <c r="L47" s="348"/>
    </row>
    <row r="48" spans="1:12" ht="15" customHeight="1">
      <c r="A48" s="349">
        <v>45473</v>
      </c>
      <c r="B48" s="349"/>
      <c r="C48" s="349"/>
      <c r="D48" s="349"/>
      <c r="E48" s="349"/>
      <c r="F48" s="349"/>
      <c r="G48" s="349"/>
      <c r="H48" s="349"/>
      <c r="I48" s="349"/>
      <c r="J48" s="349"/>
      <c r="K48" s="349"/>
      <c r="L48" s="349"/>
    </row>
    <row r="49" spans="1:12" ht="15" customHeight="1">
      <c r="A49" s="317"/>
      <c r="B49" s="318"/>
      <c r="C49" s="59"/>
      <c r="D49" s="59"/>
      <c r="E49" s="59"/>
      <c r="F49" s="59"/>
      <c r="G49" s="59"/>
      <c r="H49" s="59"/>
      <c r="I49" s="59"/>
      <c r="J49" s="59"/>
      <c r="K49" s="59"/>
      <c r="L49" s="75" t="s">
        <v>387</v>
      </c>
    </row>
    <row r="50" spans="1:12" ht="15" customHeight="1">
      <c r="A50" s="350" t="s">
        <v>388</v>
      </c>
      <c r="B50" s="351" t="s">
        <v>847</v>
      </c>
      <c r="C50" s="350" t="s">
        <v>848</v>
      </c>
      <c r="D50" s="350"/>
      <c r="E50" s="350"/>
      <c r="F50" s="350"/>
      <c r="G50" s="350" t="s">
        <v>849</v>
      </c>
      <c r="H50" s="350"/>
      <c r="I50" s="353" t="s">
        <v>850</v>
      </c>
      <c r="J50" s="350"/>
      <c r="K50" s="350"/>
      <c r="L50" s="350"/>
    </row>
    <row r="51" spans="1:12" ht="15" customHeight="1">
      <c r="A51" s="350"/>
      <c r="B51" s="352"/>
      <c r="C51" s="319" t="s">
        <v>851</v>
      </c>
      <c r="D51" s="319" t="s">
        <v>852</v>
      </c>
      <c r="E51" s="319" t="s">
        <v>853</v>
      </c>
      <c r="F51" s="319" t="s">
        <v>854</v>
      </c>
      <c r="G51" s="320" t="s">
        <v>855</v>
      </c>
      <c r="H51" s="321" t="s">
        <v>856</v>
      </c>
      <c r="I51" s="320" t="s">
        <v>857</v>
      </c>
      <c r="J51" s="322" t="s">
        <v>858</v>
      </c>
      <c r="K51" s="320" t="s">
        <v>859</v>
      </c>
      <c r="L51" s="320" t="s">
        <v>860</v>
      </c>
    </row>
    <row r="52" spans="1:12" ht="15" customHeight="1">
      <c r="A52" s="354" t="s">
        <v>793</v>
      </c>
      <c r="B52" s="323" t="s">
        <v>861</v>
      </c>
      <c r="C52" s="324">
        <v>1578500000</v>
      </c>
      <c r="D52" s="324">
        <v>0</v>
      </c>
      <c r="E52" s="324">
        <v>0</v>
      </c>
      <c r="F52" s="324">
        <v>1578500000</v>
      </c>
      <c r="G52" s="324">
        <v>115098958</v>
      </c>
      <c r="H52" s="325">
        <v>1463401042</v>
      </c>
      <c r="I52" s="324">
        <v>98656250</v>
      </c>
      <c r="J52" s="326">
        <v>0</v>
      </c>
      <c r="K52" s="324">
        <v>213755208</v>
      </c>
      <c r="L52" s="324">
        <v>1364744792</v>
      </c>
    </row>
    <row r="53" spans="1:12" ht="15" customHeight="1">
      <c r="A53" s="355"/>
      <c r="B53" s="323" t="s">
        <v>862</v>
      </c>
      <c r="C53" s="324">
        <v>356582467</v>
      </c>
      <c r="D53" s="324">
        <v>0</v>
      </c>
      <c r="E53" s="324">
        <v>0</v>
      </c>
      <c r="F53" s="324">
        <v>356582467</v>
      </c>
      <c r="G53" s="324">
        <v>28113725</v>
      </c>
      <c r="H53" s="325">
        <v>328468742</v>
      </c>
      <c r="I53" s="324">
        <v>22286405</v>
      </c>
      <c r="J53" s="326">
        <v>0</v>
      </c>
      <c r="K53" s="324">
        <v>50400130</v>
      </c>
      <c r="L53" s="324">
        <v>306182337</v>
      </c>
    </row>
    <row r="54" spans="1:12" ht="15" customHeight="1">
      <c r="A54" s="355"/>
      <c r="B54" s="323" t="s">
        <v>863</v>
      </c>
      <c r="C54" s="324">
        <v>0</v>
      </c>
      <c r="D54" s="324">
        <v>1000000</v>
      </c>
      <c r="E54" s="324">
        <v>0</v>
      </c>
      <c r="F54" s="324">
        <v>1000000</v>
      </c>
      <c r="G54" s="324">
        <v>0</v>
      </c>
      <c r="H54" s="325">
        <v>0</v>
      </c>
      <c r="I54" s="324">
        <v>16667</v>
      </c>
      <c r="J54" s="326">
        <v>0</v>
      </c>
      <c r="K54" s="324">
        <v>16667</v>
      </c>
      <c r="L54" s="324">
        <v>983333</v>
      </c>
    </row>
    <row r="55" spans="1:12" ht="15" customHeight="1">
      <c r="A55" s="356"/>
      <c r="B55" s="327" t="s">
        <v>864</v>
      </c>
      <c r="C55" s="328">
        <v>1935082467</v>
      </c>
      <c r="D55" s="328">
        <v>1000000</v>
      </c>
      <c r="E55" s="328">
        <v>0</v>
      </c>
      <c r="F55" s="328">
        <v>1936082467</v>
      </c>
      <c r="G55" s="328">
        <v>143212683</v>
      </c>
      <c r="H55" s="329">
        <v>1791869784</v>
      </c>
      <c r="I55" s="328">
        <v>120959322</v>
      </c>
      <c r="J55" s="330">
        <v>0</v>
      </c>
      <c r="K55" s="330">
        <v>264172005</v>
      </c>
      <c r="L55" s="328">
        <v>1671910462</v>
      </c>
    </row>
    <row r="56" spans="1:12" ht="15" customHeight="1">
      <c r="A56" s="357" t="s">
        <v>865</v>
      </c>
      <c r="B56" s="323" t="s">
        <v>866</v>
      </c>
      <c r="C56" s="324">
        <v>548562500</v>
      </c>
      <c r="D56" s="324">
        <v>0</v>
      </c>
      <c r="E56" s="324">
        <v>0</v>
      </c>
      <c r="F56" s="324">
        <v>548562500</v>
      </c>
      <c r="G56" s="324">
        <v>63998958</v>
      </c>
      <c r="H56" s="325">
        <v>484563542</v>
      </c>
      <c r="I56" s="324">
        <v>54856250</v>
      </c>
      <c r="J56" s="326">
        <v>0</v>
      </c>
      <c r="K56" s="324">
        <v>118855208</v>
      </c>
      <c r="L56" s="324">
        <v>429707292</v>
      </c>
    </row>
    <row r="57" spans="1:12" ht="15" customHeight="1">
      <c r="A57" s="358"/>
      <c r="B57" s="327" t="s">
        <v>864</v>
      </c>
      <c r="C57" s="328">
        <v>548562500</v>
      </c>
      <c r="D57" s="328">
        <v>0</v>
      </c>
      <c r="E57" s="328">
        <v>0</v>
      </c>
      <c r="F57" s="328">
        <v>548562500</v>
      </c>
      <c r="G57" s="328">
        <v>63998958</v>
      </c>
      <c r="H57" s="329">
        <v>484563542</v>
      </c>
      <c r="I57" s="328">
        <v>54856250</v>
      </c>
      <c r="J57" s="330">
        <v>0</v>
      </c>
      <c r="K57" s="328">
        <v>118855208</v>
      </c>
      <c r="L57" s="328">
        <v>429707292</v>
      </c>
    </row>
    <row r="61" spans="1:12" ht="15" customHeight="1">
      <c r="A61" s="348" t="s">
        <v>846</v>
      </c>
      <c r="B61" s="348"/>
      <c r="C61" s="348"/>
      <c r="D61" s="348"/>
      <c r="E61" s="348"/>
      <c r="F61" s="348"/>
      <c r="G61" s="348"/>
      <c r="H61" s="348"/>
      <c r="I61" s="348"/>
      <c r="J61" s="348"/>
      <c r="K61" s="348"/>
      <c r="L61" s="348"/>
    </row>
    <row r="62" spans="1:12" ht="15" customHeight="1">
      <c r="A62" s="349">
        <v>45473</v>
      </c>
      <c r="B62" s="349"/>
      <c r="C62" s="349"/>
      <c r="D62" s="349"/>
      <c r="E62" s="349"/>
      <c r="F62" s="349"/>
      <c r="G62" s="349"/>
      <c r="H62" s="349"/>
      <c r="I62" s="349"/>
      <c r="J62" s="349"/>
      <c r="K62" s="349"/>
      <c r="L62" s="349"/>
    </row>
    <row r="63" spans="1:12" ht="15" customHeight="1">
      <c r="A63" s="317"/>
      <c r="B63" s="318"/>
      <c r="C63" s="59"/>
      <c r="D63" s="59"/>
      <c r="E63" s="59"/>
      <c r="F63" s="59"/>
      <c r="G63" s="59"/>
      <c r="H63" s="59"/>
      <c r="I63" s="59"/>
      <c r="J63" s="59"/>
      <c r="K63" s="59"/>
      <c r="L63" s="75" t="s">
        <v>387</v>
      </c>
    </row>
    <row r="64" spans="1:12" ht="15" customHeight="1">
      <c r="A64" s="350" t="s">
        <v>388</v>
      </c>
      <c r="B64" s="351" t="s">
        <v>847</v>
      </c>
      <c r="C64" s="350" t="s">
        <v>848</v>
      </c>
      <c r="D64" s="350"/>
      <c r="E64" s="350"/>
      <c r="F64" s="350"/>
      <c r="G64" s="350" t="s">
        <v>849</v>
      </c>
      <c r="H64" s="350"/>
      <c r="I64" s="353" t="s">
        <v>850</v>
      </c>
      <c r="J64" s="350"/>
      <c r="K64" s="350"/>
      <c r="L64" s="350"/>
    </row>
    <row r="65" spans="1:12" ht="15" customHeight="1">
      <c r="A65" s="350"/>
      <c r="B65" s="352"/>
      <c r="C65" s="319" t="s">
        <v>851</v>
      </c>
      <c r="D65" s="319" t="s">
        <v>852</v>
      </c>
      <c r="E65" s="319" t="s">
        <v>853</v>
      </c>
      <c r="F65" s="319" t="s">
        <v>854</v>
      </c>
      <c r="G65" s="320" t="s">
        <v>855</v>
      </c>
      <c r="H65" s="321" t="s">
        <v>856</v>
      </c>
      <c r="I65" s="320" t="s">
        <v>857</v>
      </c>
      <c r="J65" s="322" t="s">
        <v>858</v>
      </c>
      <c r="K65" s="320" t="s">
        <v>859</v>
      </c>
      <c r="L65" s="320" t="s">
        <v>860</v>
      </c>
    </row>
    <row r="66" spans="1:12" ht="15" customHeight="1">
      <c r="A66" s="354" t="s">
        <v>794</v>
      </c>
      <c r="B66" s="323" t="s">
        <v>861</v>
      </c>
      <c r="C66" s="324">
        <v>742000000</v>
      </c>
      <c r="D66" s="324">
        <v>0</v>
      </c>
      <c r="E66" s="324">
        <v>0</v>
      </c>
      <c r="F66" s="324">
        <v>742000000</v>
      </c>
      <c r="G66" s="324">
        <v>7729167</v>
      </c>
      <c r="H66" s="325">
        <v>734270833</v>
      </c>
      <c r="I66" s="324">
        <v>46375001</v>
      </c>
      <c r="J66" s="326">
        <v>0</v>
      </c>
      <c r="K66" s="324">
        <v>54104168</v>
      </c>
      <c r="L66" s="324">
        <v>687895832</v>
      </c>
    </row>
    <row r="67" spans="1:12" ht="15" customHeight="1">
      <c r="A67" s="355"/>
      <c r="B67" s="323" t="s">
        <v>862</v>
      </c>
      <c r="C67" s="324">
        <v>230152348</v>
      </c>
      <c r="D67" s="324">
        <v>0</v>
      </c>
      <c r="E67" s="324">
        <v>0</v>
      </c>
      <c r="F67" s="324">
        <v>230152348</v>
      </c>
      <c r="G67" s="324">
        <v>2420335</v>
      </c>
      <c r="H67" s="325">
        <v>227732013</v>
      </c>
      <c r="I67" s="324">
        <v>14384523</v>
      </c>
      <c r="J67" s="326">
        <v>0</v>
      </c>
      <c r="K67" s="324">
        <v>16804858</v>
      </c>
      <c r="L67" s="324">
        <v>213347490</v>
      </c>
    </row>
    <row r="68" spans="1:12" ht="15" customHeight="1">
      <c r="A68" s="355"/>
      <c r="B68" s="323" t="s">
        <v>863</v>
      </c>
      <c r="C68" s="324">
        <v>55520000</v>
      </c>
      <c r="D68" s="324">
        <v>0</v>
      </c>
      <c r="E68" s="324">
        <v>0</v>
      </c>
      <c r="F68" s="324">
        <v>55520000</v>
      </c>
      <c r="G68" s="324">
        <v>983667</v>
      </c>
      <c r="H68" s="325">
        <v>54536333</v>
      </c>
      <c r="I68" s="324">
        <v>5552000</v>
      </c>
      <c r="J68" s="326">
        <v>0</v>
      </c>
      <c r="K68" s="324">
        <v>6535667</v>
      </c>
      <c r="L68" s="324">
        <v>48984333</v>
      </c>
    </row>
    <row r="69" spans="1:12" ht="15" customHeight="1">
      <c r="A69" s="356"/>
      <c r="B69" s="327" t="s">
        <v>864</v>
      </c>
      <c r="C69" s="328">
        <v>1027672348</v>
      </c>
      <c r="D69" s="328">
        <v>0</v>
      </c>
      <c r="E69" s="328">
        <v>0</v>
      </c>
      <c r="F69" s="328">
        <v>1027672348</v>
      </c>
      <c r="G69" s="328">
        <v>11133169</v>
      </c>
      <c r="H69" s="329">
        <v>1016539179</v>
      </c>
      <c r="I69" s="328">
        <v>66311524</v>
      </c>
      <c r="J69" s="330">
        <v>0</v>
      </c>
      <c r="K69" s="330">
        <v>77444693</v>
      </c>
      <c r="L69" s="328">
        <v>950227655</v>
      </c>
    </row>
    <row r="70" spans="1:12" ht="15" customHeight="1">
      <c r="A70" s="357" t="s">
        <v>865</v>
      </c>
      <c r="B70" s="323" t="s">
        <v>866</v>
      </c>
      <c r="C70" s="324">
        <v>308441250</v>
      </c>
      <c r="D70" s="324">
        <v>0</v>
      </c>
      <c r="E70" s="324">
        <v>0</v>
      </c>
      <c r="F70" s="324">
        <v>308441250</v>
      </c>
      <c r="G70" s="324">
        <v>10281375</v>
      </c>
      <c r="H70" s="325">
        <v>298159875</v>
      </c>
      <c r="I70" s="324">
        <v>30844125</v>
      </c>
      <c r="J70" s="326">
        <v>0</v>
      </c>
      <c r="K70" s="324">
        <v>41125500</v>
      </c>
      <c r="L70" s="324">
        <v>267315750</v>
      </c>
    </row>
    <row r="71" spans="1:12" ht="15" customHeight="1">
      <c r="A71" s="358"/>
      <c r="B71" s="327" t="s">
        <v>864</v>
      </c>
      <c r="C71" s="328">
        <v>308441250</v>
      </c>
      <c r="D71" s="328">
        <v>0</v>
      </c>
      <c r="E71" s="328">
        <v>0</v>
      </c>
      <c r="F71" s="328">
        <v>308441250</v>
      </c>
      <c r="G71" s="328">
        <v>10281375</v>
      </c>
      <c r="H71" s="329">
        <v>298159875</v>
      </c>
      <c r="I71" s="328">
        <v>30844125</v>
      </c>
      <c r="J71" s="330">
        <v>0</v>
      </c>
      <c r="K71" s="328">
        <v>41125500</v>
      </c>
      <c r="L71" s="328">
        <v>267315750</v>
      </c>
    </row>
    <row r="77" spans="1:12" ht="15" customHeight="1">
      <c r="A77" s="348" t="s">
        <v>846</v>
      </c>
      <c r="B77" s="348"/>
      <c r="C77" s="348"/>
      <c r="D77" s="348"/>
      <c r="E77" s="348"/>
      <c r="F77" s="348"/>
      <c r="G77" s="348"/>
      <c r="H77" s="348"/>
      <c r="I77" s="348"/>
      <c r="J77" s="348"/>
      <c r="K77" s="348"/>
      <c r="L77" s="348"/>
    </row>
    <row r="78" spans="1:12" ht="15" customHeight="1">
      <c r="A78" s="349">
        <v>45473</v>
      </c>
      <c r="B78" s="349"/>
      <c r="C78" s="349"/>
      <c r="D78" s="349"/>
      <c r="E78" s="349"/>
      <c r="F78" s="349"/>
      <c r="G78" s="349"/>
      <c r="H78" s="349"/>
      <c r="I78" s="349"/>
      <c r="J78" s="349"/>
      <c r="K78" s="349"/>
      <c r="L78" s="349"/>
    </row>
    <row r="79" spans="1:12" ht="15" customHeight="1">
      <c r="A79" s="317"/>
      <c r="B79" s="318"/>
      <c r="C79" s="59"/>
      <c r="D79" s="59"/>
      <c r="E79" s="59"/>
      <c r="F79" s="59"/>
      <c r="G79" s="59"/>
      <c r="H79" s="59"/>
      <c r="I79" s="59"/>
      <c r="J79" s="59"/>
      <c r="K79" s="59"/>
      <c r="L79" s="75" t="s">
        <v>387</v>
      </c>
    </row>
    <row r="80" spans="1:12" ht="15" customHeight="1">
      <c r="A80" s="350" t="s">
        <v>388</v>
      </c>
      <c r="B80" s="351" t="s">
        <v>847</v>
      </c>
      <c r="C80" s="350" t="s">
        <v>848</v>
      </c>
      <c r="D80" s="350"/>
      <c r="E80" s="350"/>
      <c r="F80" s="350"/>
      <c r="G80" s="350" t="s">
        <v>849</v>
      </c>
      <c r="H80" s="350"/>
      <c r="I80" s="353" t="s">
        <v>850</v>
      </c>
      <c r="J80" s="350"/>
      <c r="K80" s="350"/>
      <c r="L80" s="350"/>
    </row>
    <row r="81" spans="1:12" ht="15" customHeight="1">
      <c r="A81" s="350"/>
      <c r="B81" s="352"/>
      <c r="C81" s="319" t="s">
        <v>851</v>
      </c>
      <c r="D81" s="319" t="s">
        <v>852</v>
      </c>
      <c r="E81" s="319" t="s">
        <v>853</v>
      </c>
      <c r="F81" s="319" t="s">
        <v>854</v>
      </c>
      <c r="G81" s="320" t="s">
        <v>855</v>
      </c>
      <c r="H81" s="321" t="s">
        <v>856</v>
      </c>
      <c r="I81" s="320" t="s">
        <v>857</v>
      </c>
      <c r="J81" s="322" t="s">
        <v>858</v>
      </c>
      <c r="K81" s="320" t="s">
        <v>859</v>
      </c>
      <c r="L81" s="320" t="s">
        <v>860</v>
      </c>
    </row>
    <row r="82" spans="1:12" ht="15" customHeight="1">
      <c r="A82" s="355" t="s">
        <v>781</v>
      </c>
      <c r="B82" s="323" t="s">
        <v>861</v>
      </c>
      <c r="C82" s="324">
        <v>0</v>
      </c>
      <c r="D82" s="324">
        <v>22033000</v>
      </c>
      <c r="E82" s="324">
        <v>0</v>
      </c>
      <c r="F82" s="324">
        <v>22033000</v>
      </c>
      <c r="G82" s="324">
        <v>0</v>
      </c>
      <c r="H82" s="325">
        <v>0</v>
      </c>
      <c r="I82" s="324">
        <v>751031</v>
      </c>
      <c r="J82" s="326">
        <v>0</v>
      </c>
      <c r="K82" s="324">
        <v>751031</v>
      </c>
      <c r="L82" s="324">
        <v>21281969</v>
      </c>
    </row>
    <row r="83" spans="1:12" ht="15" customHeight="1">
      <c r="A83" s="355"/>
      <c r="B83" s="323" t="s">
        <v>862</v>
      </c>
      <c r="C83" s="324">
        <v>0</v>
      </c>
      <c r="D83" s="324">
        <v>13150000</v>
      </c>
      <c r="E83" s="324">
        <v>0</v>
      </c>
      <c r="F83" s="324">
        <v>13150000</v>
      </c>
      <c r="G83" s="324">
        <v>0</v>
      </c>
      <c r="H83" s="325">
        <v>0</v>
      </c>
      <c r="I83" s="324">
        <v>647396</v>
      </c>
      <c r="J83" s="326">
        <v>0</v>
      </c>
      <c r="K83" s="324">
        <v>647396</v>
      </c>
      <c r="L83" s="324">
        <v>12502604</v>
      </c>
    </row>
    <row r="84" spans="1:12" ht="15" customHeight="1">
      <c r="A84" s="356"/>
      <c r="B84" s="327" t="s">
        <v>864</v>
      </c>
      <c r="C84" s="328">
        <v>0</v>
      </c>
      <c r="D84" s="328">
        <v>35183000</v>
      </c>
      <c r="E84" s="328">
        <v>0</v>
      </c>
      <c r="F84" s="328">
        <v>35183000</v>
      </c>
      <c r="G84" s="328">
        <v>0</v>
      </c>
      <c r="H84" s="329">
        <v>0</v>
      </c>
      <c r="I84" s="328">
        <v>1398427</v>
      </c>
      <c r="J84" s="330">
        <v>0</v>
      </c>
      <c r="K84" s="330">
        <v>1398427</v>
      </c>
      <c r="L84" s="328">
        <v>33784573</v>
      </c>
    </row>
    <row r="85" spans="1:12" ht="15" customHeight="1">
      <c r="A85" s="355" t="s">
        <v>865</v>
      </c>
      <c r="B85" s="323" t="s">
        <v>866</v>
      </c>
      <c r="C85" s="324">
        <v>0</v>
      </c>
      <c r="D85" s="324">
        <v>1376500000</v>
      </c>
      <c r="E85" s="324">
        <v>0</v>
      </c>
      <c r="F85" s="324">
        <v>1376500000</v>
      </c>
      <c r="G85" s="324">
        <v>0</v>
      </c>
      <c r="H85" s="325">
        <v>0</v>
      </c>
      <c r="I85" s="324">
        <v>28677083</v>
      </c>
      <c r="J85" s="326">
        <v>0</v>
      </c>
      <c r="K85" s="324">
        <v>28677083</v>
      </c>
      <c r="L85" s="324">
        <v>1347822917</v>
      </c>
    </row>
    <row r="86" spans="1:12" ht="15" customHeight="1">
      <c r="A86" s="356"/>
      <c r="B86" s="327" t="s">
        <v>864</v>
      </c>
      <c r="C86" s="328">
        <v>0</v>
      </c>
      <c r="D86" s="328">
        <v>1376500000</v>
      </c>
      <c r="E86" s="328">
        <v>0</v>
      </c>
      <c r="F86" s="328">
        <v>1376500000</v>
      </c>
      <c r="G86" s="328">
        <v>0</v>
      </c>
      <c r="H86" s="329">
        <v>0</v>
      </c>
      <c r="I86" s="328">
        <v>28677083</v>
      </c>
      <c r="J86" s="330">
        <v>0</v>
      </c>
      <c r="K86" s="330">
        <v>28677083</v>
      </c>
      <c r="L86" s="328">
        <v>1347822917</v>
      </c>
    </row>
    <row r="90" spans="1:12" ht="15" customHeight="1">
      <c r="A90" s="348" t="s">
        <v>846</v>
      </c>
      <c r="B90" s="348"/>
      <c r="C90" s="348"/>
      <c r="D90" s="348"/>
      <c r="E90" s="348"/>
      <c r="F90" s="348"/>
      <c r="G90" s="348"/>
      <c r="H90" s="348"/>
      <c r="I90" s="348"/>
      <c r="J90" s="348"/>
      <c r="K90" s="348"/>
      <c r="L90" s="348"/>
    </row>
    <row r="91" spans="1:12" ht="15" customHeight="1">
      <c r="A91" s="349">
        <v>45473</v>
      </c>
      <c r="B91" s="349"/>
      <c r="C91" s="349"/>
      <c r="D91" s="349"/>
      <c r="E91" s="349"/>
      <c r="F91" s="349"/>
      <c r="G91" s="349"/>
      <c r="H91" s="349"/>
      <c r="I91" s="349"/>
      <c r="J91" s="349"/>
      <c r="K91" s="349"/>
      <c r="L91" s="349"/>
    </row>
    <row r="92" spans="1:12" ht="15" customHeight="1">
      <c r="A92" s="317"/>
      <c r="B92" s="318"/>
      <c r="C92" s="59"/>
      <c r="D92" s="59"/>
      <c r="E92" s="59"/>
      <c r="F92" s="59"/>
      <c r="G92" s="59"/>
      <c r="H92" s="59"/>
      <c r="I92" s="59"/>
      <c r="J92" s="59"/>
      <c r="K92" s="59"/>
      <c r="L92" s="75" t="s">
        <v>387</v>
      </c>
    </row>
    <row r="93" spans="1:12" ht="15" customHeight="1">
      <c r="A93" s="350" t="s">
        <v>388</v>
      </c>
      <c r="B93" s="351" t="s">
        <v>847</v>
      </c>
      <c r="C93" s="350" t="s">
        <v>848</v>
      </c>
      <c r="D93" s="350"/>
      <c r="E93" s="350"/>
      <c r="F93" s="350"/>
      <c r="G93" s="350" t="s">
        <v>849</v>
      </c>
      <c r="H93" s="350"/>
      <c r="I93" s="353" t="s">
        <v>850</v>
      </c>
      <c r="J93" s="350"/>
      <c r="K93" s="350"/>
      <c r="L93" s="350"/>
    </row>
    <row r="94" spans="1:12" ht="15" customHeight="1">
      <c r="A94" s="350"/>
      <c r="B94" s="352"/>
      <c r="C94" s="319" t="s">
        <v>851</v>
      </c>
      <c r="D94" s="319" t="s">
        <v>852</v>
      </c>
      <c r="E94" s="319" t="s">
        <v>853</v>
      </c>
      <c r="F94" s="319" t="s">
        <v>854</v>
      </c>
      <c r="G94" s="320" t="s">
        <v>855</v>
      </c>
      <c r="H94" s="321" t="s">
        <v>856</v>
      </c>
      <c r="I94" s="320" t="s">
        <v>857</v>
      </c>
      <c r="J94" s="322" t="s">
        <v>858</v>
      </c>
      <c r="K94" s="320" t="s">
        <v>859</v>
      </c>
      <c r="L94" s="320" t="s">
        <v>860</v>
      </c>
    </row>
    <row r="95" spans="1:12" ht="15" customHeight="1">
      <c r="A95" s="355" t="s">
        <v>867</v>
      </c>
      <c r="B95" s="323" t="s">
        <v>861</v>
      </c>
      <c r="C95" s="324">
        <v>0</v>
      </c>
      <c r="D95" s="324">
        <v>11320000</v>
      </c>
      <c r="E95" s="324">
        <v>0</v>
      </c>
      <c r="F95" s="324">
        <v>11320000</v>
      </c>
      <c r="G95" s="324">
        <v>0</v>
      </c>
      <c r="H95" s="325">
        <v>0</v>
      </c>
      <c r="I95" s="324">
        <v>117917</v>
      </c>
      <c r="J95" s="326">
        <v>0</v>
      </c>
      <c r="K95" s="324">
        <v>117917</v>
      </c>
      <c r="L95" s="324">
        <v>11202083</v>
      </c>
    </row>
    <row r="96" spans="1:12" ht="15" customHeight="1">
      <c r="A96" s="355"/>
      <c r="B96" s="323" t="s">
        <v>863</v>
      </c>
      <c r="C96" s="324">
        <v>0</v>
      </c>
      <c r="D96" s="324">
        <v>0</v>
      </c>
      <c r="E96" s="324">
        <v>0</v>
      </c>
      <c r="F96" s="324">
        <v>0</v>
      </c>
      <c r="G96" s="324">
        <v>0</v>
      </c>
      <c r="H96" s="325">
        <v>0</v>
      </c>
      <c r="I96" s="324">
        <v>0</v>
      </c>
      <c r="J96" s="326">
        <v>0</v>
      </c>
      <c r="K96" s="324">
        <v>0</v>
      </c>
      <c r="L96" s="324">
        <v>0</v>
      </c>
    </row>
    <row r="97" spans="1:12" ht="15" customHeight="1">
      <c r="A97" s="356"/>
      <c r="B97" s="327" t="s">
        <v>864</v>
      </c>
      <c r="C97" s="328">
        <v>0</v>
      </c>
      <c r="D97" s="328">
        <v>11320000</v>
      </c>
      <c r="E97" s="328">
        <v>0</v>
      </c>
      <c r="F97" s="328">
        <v>11320000</v>
      </c>
      <c r="G97" s="328">
        <v>0</v>
      </c>
      <c r="H97" s="329">
        <v>0</v>
      </c>
      <c r="I97" s="328">
        <v>117917</v>
      </c>
      <c r="J97" s="330">
        <v>0</v>
      </c>
      <c r="K97" s="330">
        <v>117917</v>
      </c>
      <c r="L97" s="328">
        <v>11202083</v>
      </c>
    </row>
  </sheetData>
  <mergeCells count="60">
    <mergeCell ref="A95:A97"/>
    <mergeCell ref="A82:A84"/>
    <mergeCell ref="A85:A86"/>
    <mergeCell ref="A90:L90"/>
    <mergeCell ref="A91:L91"/>
    <mergeCell ref="A93:A94"/>
    <mergeCell ref="B93:B94"/>
    <mergeCell ref="C93:F93"/>
    <mergeCell ref="G93:H93"/>
    <mergeCell ref="I93:L93"/>
    <mergeCell ref="A66:A69"/>
    <mergeCell ref="A70:A71"/>
    <mergeCell ref="A77:L77"/>
    <mergeCell ref="A78:L78"/>
    <mergeCell ref="A80:A81"/>
    <mergeCell ref="B80:B81"/>
    <mergeCell ref="C80:F80"/>
    <mergeCell ref="G80:H80"/>
    <mergeCell ref="I80:L80"/>
    <mergeCell ref="A52:A55"/>
    <mergeCell ref="A56:A57"/>
    <mergeCell ref="A61:L61"/>
    <mergeCell ref="A62:L62"/>
    <mergeCell ref="A64:A65"/>
    <mergeCell ref="B64:B65"/>
    <mergeCell ref="C64:F64"/>
    <mergeCell ref="G64:H64"/>
    <mergeCell ref="I64:L64"/>
    <mergeCell ref="A38:A41"/>
    <mergeCell ref="A42:A43"/>
    <mergeCell ref="A47:L47"/>
    <mergeCell ref="A48:L48"/>
    <mergeCell ref="A50:A51"/>
    <mergeCell ref="B50:B51"/>
    <mergeCell ref="C50:F50"/>
    <mergeCell ref="G50:H50"/>
    <mergeCell ref="I50:L50"/>
    <mergeCell ref="A27:A30"/>
    <mergeCell ref="A33:L33"/>
    <mergeCell ref="A34:L34"/>
    <mergeCell ref="A36:A37"/>
    <mergeCell ref="B36:B37"/>
    <mergeCell ref="C36:F36"/>
    <mergeCell ref="G36:H36"/>
    <mergeCell ref="I36:L36"/>
    <mergeCell ref="A15:A18"/>
    <mergeCell ref="A22:L22"/>
    <mergeCell ref="A23:L23"/>
    <mergeCell ref="A25:A26"/>
    <mergeCell ref="B25:B26"/>
    <mergeCell ref="C25:F25"/>
    <mergeCell ref="G25:H25"/>
    <mergeCell ref="I25:L25"/>
    <mergeCell ref="A10:L10"/>
    <mergeCell ref="A11:L11"/>
    <mergeCell ref="A13:A14"/>
    <mergeCell ref="B13:B14"/>
    <mergeCell ref="C13:F13"/>
    <mergeCell ref="G13:H13"/>
    <mergeCell ref="I13:L13"/>
  </mergeCells>
  <phoneticPr fontId="9" type="noConversion"/>
  <printOptions horizontalCentered="1"/>
  <pageMargins left="0.15748031496062992" right="0.15748031496062992" top="0.98425196850393704" bottom="0.98425196850393704" header="0.51181102362204722" footer="0.51181102362204722"/>
  <pageSetup paperSize="9" scale="3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01"/>
  <sheetViews>
    <sheetView topLeftCell="A72" zoomScaleNormal="100" workbookViewId="0">
      <selection activeCell="E113" sqref="E113"/>
    </sheetView>
  </sheetViews>
  <sheetFormatPr defaultRowHeight="13.5"/>
  <cols>
    <col min="2" max="2" width="11.28515625" customWidth="1"/>
    <col min="3" max="3" width="10.140625" bestFit="1" customWidth="1"/>
    <col min="10" max="10" width="11.28515625" bestFit="1" customWidth="1"/>
    <col min="12" max="12" width="10.140625" bestFit="1" customWidth="1"/>
    <col min="13" max="13" width="11.28515625" bestFit="1" customWidth="1"/>
  </cols>
  <sheetData>
    <row r="2" spans="2:8">
      <c r="B2" t="s">
        <v>500</v>
      </c>
    </row>
    <row r="3" spans="2:8">
      <c r="B3" t="s">
        <v>501</v>
      </c>
    </row>
    <row r="4" spans="2:8">
      <c r="B4" t="s">
        <v>438</v>
      </c>
    </row>
    <row r="5" spans="2:8">
      <c r="C5" s="202"/>
      <c r="D5" s="202"/>
      <c r="E5" s="202"/>
      <c r="F5" s="202"/>
      <c r="G5" s="202"/>
      <c r="H5" s="202"/>
    </row>
    <row r="6" spans="2:8">
      <c r="C6" t="s">
        <v>276</v>
      </c>
      <c r="D6" t="s">
        <v>242</v>
      </c>
    </row>
    <row r="7" spans="2:8">
      <c r="B7" t="s">
        <v>95</v>
      </c>
      <c r="C7" t="s">
        <v>111</v>
      </c>
      <c r="D7" t="s">
        <v>200</v>
      </c>
      <c r="E7" t="s">
        <v>148</v>
      </c>
      <c r="F7" t="s">
        <v>149</v>
      </c>
      <c r="G7" t="s">
        <v>150</v>
      </c>
      <c r="H7" t="s">
        <v>207</v>
      </c>
    </row>
    <row r="8" spans="2:8">
      <c r="B8" t="s">
        <v>503</v>
      </c>
      <c r="C8" s="202">
        <f>C34</f>
        <v>435</v>
      </c>
      <c r="D8" s="202">
        <f t="shared" ref="D8:H8" si="0">D34</f>
        <v>656.75</v>
      </c>
      <c r="E8" s="202">
        <f t="shared" si="0"/>
        <v>678.03</v>
      </c>
      <c r="F8" s="202">
        <f t="shared" si="0"/>
        <v>704.53717000000006</v>
      </c>
      <c r="G8" s="202">
        <f t="shared" si="0"/>
        <v>728.32097095000006</v>
      </c>
      <c r="H8" s="202">
        <f t="shared" si="0"/>
        <v>753.93720493324986</v>
      </c>
    </row>
    <row r="9" spans="2:8">
      <c r="B9" t="s">
        <v>264</v>
      </c>
      <c r="C9" s="202">
        <f>C46</f>
        <v>1635</v>
      </c>
      <c r="D9" s="202">
        <f t="shared" ref="D9:H9" si="1">D46</f>
        <v>958.32104270118202</v>
      </c>
      <c r="E9" s="202">
        <f t="shared" si="1"/>
        <v>988.9812827829486</v>
      </c>
      <c r="F9" s="202">
        <f t="shared" si="1"/>
        <v>1027.5590405487098</v>
      </c>
      <c r="G9" s="202">
        <f t="shared" si="1"/>
        <v>1063.5004434642647</v>
      </c>
      <c r="H9" s="202">
        <f t="shared" si="1"/>
        <v>1100.7819451169007</v>
      </c>
    </row>
    <row r="10" spans="2:8">
      <c r="B10" t="s">
        <v>417</v>
      </c>
      <c r="C10" s="202">
        <v>1032</v>
      </c>
      <c r="D10" s="202">
        <v>0</v>
      </c>
      <c r="E10" s="202">
        <v>0</v>
      </c>
      <c r="F10" s="202">
        <v>0</v>
      </c>
      <c r="G10" s="202">
        <v>0</v>
      </c>
      <c r="H10" s="202">
        <v>0</v>
      </c>
    </row>
    <row r="11" spans="2:8">
      <c r="B11" t="s">
        <v>265</v>
      </c>
      <c r="C11" s="202">
        <f>C64</f>
        <v>415</v>
      </c>
      <c r="D11" s="202">
        <f t="shared" ref="D11:H11" si="2">D64</f>
        <v>877.7514210526316</v>
      </c>
      <c r="E11" s="202">
        <f t="shared" si="2"/>
        <v>905.85621052631575</v>
      </c>
      <c r="F11" s="202">
        <f t="shared" si="2"/>
        <v>941.200254736842</v>
      </c>
      <c r="G11" s="202">
        <f t="shared" si="2"/>
        <v>974.09357865263132</v>
      </c>
      <c r="H11" s="202">
        <f t="shared" si="2"/>
        <v>1008.1768439054733</v>
      </c>
    </row>
    <row r="12" spans="2:8">
      <c r="B12" t="s">
        <v>266</v>
      </c>
      <c r="C12" s="202">
        <f>C80</f>
        <v>890</v>
      </c>
      <c r="D12" s="202">
        <f t="shared" ref="D12:H12" si="3">D80</f>
        <v>723.06268184019359</v>
      </c>
      <c r="E12" s="202">
        <f t="shared" si="3"/>
        <v>746.18236125907993</v>
      </c>
      <c r="F12" s="202">
        <f t="shared" si="3"/>
        <v>775.29296774818397</v>
      </c>
      <c r="G12" s="202">
        <f t="shared" si="3"/>
        <v>802.42628961937032</v>
      </c>
      <c r="H12" s="202">
        <f t="shared" si="3"/>
        <v>830.53177175604833</v>
      </c>
    </row>
    <row r="13" spans="2:8">
      <c r="B13" t="s">
        <v>267</v>
      </c>
      <c r="C13" s="202">
        <f>C96</f>
        <v>55</v>
      </c>
      <c r="D13" s="202">
        <f t="shared" ref="D13:H13" si="4">D96</f>
        <v>797.95387856257742</v>
      </c>
      <c r="E13" s="202">
        <f t="shared" si="4"/>
        <v>790.60312267657991</v>
      </c>
      <c r="F13" s="202">
        <f t="shared" si="4"/>
        <v>821.57800446096644</v>
      </c>
      <c r="G13" s="202">
        <f t="shared" si="4"/>
        <v>850.33683461710018</v>
      </c>
      <c r="H13" s="202">
        <f t="shared" si="4"/>
        <v>880.0542238286987</v>
      </c>
    </row>
    <row r="14" spans="2:8">
      <c r="B14" t="s">
        <v>268</v>
      </c>
      <c r="C14" s="202">
        <f>C113</f>
        <v>0</v>
      </c>
      <c r="D14" s="202">
        <f t="shared" ref="D14:H14" si="5">D113</f>
        <v>338.63240740740741</v>
      </c>
      <c r="E14" s="202">
        <f t="shared" si="5"/>
        <v>774.13962962962967</v>
      </c>
      <c r="F14" s="202">
        <f t="shared" si="5"/>
        <v>805.8640740740741</v>
      </c>
      <c r="G14" s="202">
        <f t="shared" si="5"/>
        <v>833.80296296296308</v>
      </c>
      <c r="H14" s="202">
        <f t="shared" si="5"/>
        <v>862.96370370370369</v>
      </c>
    </row>
    <row r="15" spans="2:8">
      <c r="B15" t="s">
        <v>269</v>
      </c>
      <c r="C15" s="202">
        <f>인건비!C126</f>
        <v>0</v>
      </c>
      <c r="D15" s="202">
        <f>인건비!D126</f>
        <v>160.00260223048329</v>
      </c>
      <c r="E15" s="202">
        <f>인건비!E126</f>
        <v>1773.9474762494835</v>
      </c>
      <c r="F15" s="202">
        <f>인건비!F126</f>
        <v>1260.2637979843039</v>
      </c>
      <c r="G15" s="202">
        <f>인건비!G126</f>
        <v>1003.6073314721186</v>
      </c>
      <c r="H15" s="202">
        <f>인건비!H126</f>
        <v>1038.7365880736429</v>
      </c>
    </row>
    <row r="16" spans="2:8">
      <c r="B16" t="s">
        <v>270</v>
      </c>
      <c r="C16" s="202">
        <f>C139</f>
        <v>0</v>
      </c>
      <c r="D16" s="202">
        <f t="shared" ref="D16:H16" si="6">D139</f>
        <v>0</v>
      </c>
      <c r="E16" s="202">
        <f t="shared" si="6"/>
        <v>495.90515489467163</v>
      </c>
      <c r="F16" s="202">
        <f t="shared" si="6"/>
        <v>860.23800446096652</v>
      </c>
      <c r="G16" s="202">
        <f t="shared" si="6"/>
        <v>873.27683461710023</v>
      </c>
      <c r="H16" s="202">
        <f t="shared" si="6"/>
        <v>903.81422382869869</v>
      </c>
    </row>
    <row r="17" spans="2:15">
      <c r="B17" t="s">
        <v>271</v>
      </c>
      <c r="C17" s="202">
        <f>C151</f>
        <v>0</v>
      </c>
      <c r="D17" s="202">
        <f t="shared" ref="D17:H17" si="7">D151</f>
        <v>0</v>
      </c>
      <c r="E17" s="202">
        <f t="shared" si="7"/>
        <v>70.541333333333341</v>
      </c>
      <c r="F17" s="202">
        <f t="shared" si="7"/>
        <v>876.03006399999992</v>
      </c>
      <c r="G17" s="202">
        <f t="shared" si="7"/>
        <v>869.11826623999991</v>
      </c>
      <c r="H17" s="202">
        <f t="shared" si="7"/>
        <v>899.5101055583998</v>
      </c>
    </row>
    <row r="18" spans="2:15">
      <c r="B18" t="s">
        <v>272</v>
      </c>
      <c r="C18" s="202">
        <f>C163</f>
        <v>0</v>
      </c>
      <c r="D18" s="202">
        <f t="shared" ref="D18:H18" si="8">D163</f>
        <v>0</v>
      </c>
      <c r="E18" s="202">
        <f t="shared" si="8"/>
        <v>0</v>
      </c>
      <c r="F18" s="202">
        <f t="shared" si="8"/>
        <v>513.10003733333326</v>
      </c>
      <c r="G18" s="202">
        <f t="shared" si="8"/>
        <v>886.54826623999986</v>
      </c>
      <c r="H18" s="202">
        <f t="shared" si="8"/>
        <v>899.93010555839987</v>
      </c>
    </row>
    <row r="19" spans="2:15">
      <c r="B19" t="s">
        <v>273</v>
      </c>
      <c r="C19" s="202">
        <f>C175</f>
        <v>0</v>
      </c>
      <c r="D19" s="202">
        <f t="shared" ref="D19:H19" si="9">D175</f>
        <v>0</v>
      </c>
      <c r="E19" s="202">
        <f t="shared" si="9"/>
        <v>0</v>
      </c>
      <c r="F19" s="202">
        <f t="shared" si="9"/>
        <v>73.300005333333317</v>
      </c>
      <c r="G19" s="202">
        <f t="shared" si="9"/>
        <v>906.9882662399998</v>
      </c>
      <c r="H19" s="202">
        <f t="shared" si="9"/>
        <v>899.93010555839987</v>
      </c>
    </row>
    <row r="20" spans="2:15">
      <c r="B20" t="s">
        <v>274</v>
      </c>
      <c r="C20" s="202">
        <f>C188</f>
        <v>0</v>
      </c>
      <c r="D20" s="202">
        <f t="shared" ref="D20:H20" si="10">D188</f>
        <v>0</v>
      </c>
      <c r="E20" s="202">
        <f t="shared" si="10"/>
        <v>0</v>
      </c>
      <c r="F20" s="202">
        <f t="shared" si="10"/>
        <v>0</v>
      </c>
      <c r="G20" s="202">
        <f t="shared" si="10"/>
        <v>472.28913311999992</v>
      </c>
      <c r="H20" s="202">
        <f t="shared" si="10"/>
        <v>917.36010555839982</v>
      </c>
    </row>
    <row r="21" spans="2:15">
      <c r="B21" t="s">
        <v>275</v>
      </c>
      <c r="C21" s="202">
        <f>C201</f>
        <v>0</v>
      </c>
      <c r="D21" s="202">
        <f t="shared" ref="D21:H21" si="11">D201</f>
        <v>0</v>
      </c>
      <c r="E21" s="202">
        <f t="shared" si="11"/>
        <v>0</v>
      </c>
      <c r="F21" s="202">
        <f t="shared" si="11"/>
        <v>0</v>
      </c>
      <c r="G21" s="202">
        <f t="shared" si="11"/>
        <v>721.55826623999985</v>
      </c>
      <c r="H21" s="202">
        <f t="shared" si="11"/>
        <v>938.6401055583998</v>
      </c>
    </row>
    <row r="22" spans="2:15">
      <c r="C22" s="202">
        <f>SUM(C8:C21)</f>
        <v>4462</v>
      </c>
      <c r="D22" s="202">
        <f t="shared" ref="D22:H22" si="12">SUM(D8:D21)</f>
        <v>4512.4740337944759</v>
      </c>
      <c r="E22" s="202">
        <f t="shared" si="12"/>
        <v>7224.1865713520428</v>
      </c>
      <c r="F22" s="202">
        <f t="shared" si="12"/>
        <v>8658.9634206807114</v>
      </c>
      <c r="G22" s="202">
        <f t="shared" si="12"/>
        <v>10985.867444435547</v>
      </c>
      <c r="H22" s="202">
        <f t="shared" si="12"/>
        <v>11934.367032938415</v>
      </c>
    </row>
    <row r="23" spans="2:15">
      <c r="B23" t="s">
        <v>824</v>
      </c>
      <c r="C23" s="206">
        <f>C22/매출!D9</f>
        <v>0.34097508788017727</v>
      </c>
      <c r="D23" s="206">
        <f>D22/매출!G9</f>
        <v>0.31402046164192593</v>
      </c>
      <c r="E23" s="206">
        <f>E22/매출!H9</f>
        <v>0.27412106592365648</v>
      </c>
      <c r="F23" s="206">
        <f>F22/매출!I9</f>
        <v>0.29696698747104433</v>
      </c>
      <c r="G23" s="206">
        <f>G22/매출!J9</f>
        <v>0.33034241774222839</v>
      </c>
      <c r="H23" s="206">
        <f>H22/매출!K9</f>
        <v>0.32022235726578163</v>
      </c>
    </row>
    <row r="25" spans="2:15">
      <c r="D25" s="207">
        <v>3.6000000000000004E-2</v>
      </c>
      <c r="E25" s="207">
        <v>3.2000000000000001E-2</v>
      </c>
      <c r="F25" s="207">
        <v>3.9E-2</v>
      </c>
      <c r="G25" s="207">
        <v>3.5000000000000003E-2</v>
      </c>
      <c r="H25" s="207">
        <v>3.5000000000000003E-2</v>
      </c>
    </row>
    <row r="26" spans="2:15">
      <c r="C26" t="s">
        <v>276</v>
      </c>
      <c r="D26" t="s">
        <v>242</v>
      </c>
    </row>
    <row r="27" spans="2:15">
      <c r="B27" t="s">
        <v>503</v>
      </c>
      <c r="C27" t="s">
        <v>111</v>
      </c>
      <c r="D27" t="s">
        <v>200</v>
      </c>
      <c r="E27" t="s">
        <v>148</v>
      </c>
      <c r="F27" t="s">
        <v>149</v>
      </c>
      <c r="G27" t="s">
        <v>150</v>
      </c>
      <c r="H27" t="s">
        <v>207</v>
      </c>
    </row>
    <row r="28" spans="2:15">
      <c r="B28" t="s">
        <v>232</v>
      </c>
      <c r="C28" s="202">
        <f>ROUND('분할사업부문 손익(2023년 실적)'!F24/10^6,)</f>
        <v>413</v>
      </c>
      <c r="D28" s="202">
        <f>D29</f>
        <v>585</v>
      </c>
      <c r="E28" s="202">
        <f t="shared" ref="E28:H28" si="13">E29</f>
        <v>603.72</v>
      </c>
      <c r="F28" s="202">
        <f t="shared" si="13"/>
        <v>627.26508000000001</v>
      </c>
      <c r="G28" s="202">
        <f t="shared" si="13"/>
        <v>649.21935780000001</v>
      </c>
      <c r="H28" s="202">
        <f t="shared" si="13"/>
        <v>671.94203532299991</v>
      </c>
      <c r="I28" s="203"/>
      <c r="J28" s="207"/>
      <c r="K28" s="207"/>
      <c r="L28" s="207"/>
      <c r="M28" s="207"/>
      <c r="N28" s="206"/>
      <c r="O28" s="207"/>
    </row>
    <row r="29" spans="2:15">
      <c r="B29" t="s">
        <v>504</v>
      </c>
      <c r="C29" s="202">
        <f>C28</f>
        <v>413</v>
      </c>
      <c r="D29" s="202">
        <f>D30*D31</f>
        <v>585</v>
      </c>
      <c r="E29" s="202">
        <f t="shared" ref="E29:H29" si="14">E30*E31</f>
        <v>603.72</v>
      </c>
      <c r="F29" s="202">
        <f t="shared" si="14"/>
        <v>627.26508000000001</v>
      </c>
      <c r="G29" s="202">
        <f t="shared" si="14"/>
        <v>649.21935780000001</v>
      </c>
      <c r="H29" s="202">
        <f t="shared" si="14"/>
        <v>671.94203532299991</v>
      </c>
      <c r="I29" s="203"/>
      <c r="J29" s="207"/>
      <c r="K29" s="207"/>
      <c r="L29" s="207"/>
      <c r="M29" s="207"/>
      <c r="N29" s="206"/>
    </row>
    <row r="30" spans="2:15">
      <c r="B30" t="s">
        <v>505</v>
      </c>
      <c r="C30" s="202">
        <v>14</v>
      </c>
      <c r="D30" s="202">
        <f>C30+1</f>
        <v>15</v>
      </c>
      <c r="E30" s="202">
        <f>D30</f>
        <v>15</v>
      </c>
      <c r="F30" s="202">
        <f t="shared" ref="F30:H30" si="15">E30</f>
        <v>15</v>
      </c>
      <c r="G30" s="202">
        <f t="shared" si="15"/>
        <v>15</v>
      </c>
      <c r="H30" s="202">
        <f t="shared" si="15"/>
        <v>15</v>
      </c>
      <c r="I30" s="203"/>
      <c r="J30" s="207"/>
      <c r="K30" s="207"/>
      <c r="L30" s="207"/>
      <c r="M30" s="207"/>
    </row>
    <row r="31" spans="2:15">
      <c r="B31" t="s">
        <v>506</v>
      </c>
      <c r="C31" s="202">
        <f>C29/C30</f>
        <v>29.5</v>
      </c>
      <c r="D31" s="202">
        <v>39</v>
      </c>
      <c r="E31" s="202">
        <f>D31*(1+E25)</f>
        <v>40.248000000000005</v>
      </c>
      <c r="F31" s="202">
        <f t="shared" ref="F31:H31" si="16">E31*(1+F25)</f>
        <v>41.817672000000002</v>
      </c>
      <c r="G31" s="202">
        <f t="shared" si="16"/>
        <v>43.281290519999999</v>
      </c>
      <c r="H31" s="202">
        <f t="shared" si="16"/>
        <v>44.796135688199996</v>
      </c>
      <c r="I31" s="203"/>
      <c r="J31" s="207"/>
      <c r="K31" s="207"/>
      <c r="L31" s="207"/>
      <c r="M31" s="207"/>
    </row>
    <row r="32" spans="2:15">
      <c r="B32" t="s">
        <v>92</v>
      </c>
      <c r="C32" s="202">
        <v>0</v>
      </c>
      <c r="D32" s="202">
        <f>D28/12</f>
        <v>48.75</v>
      </c>
      <c r="E32" s="202">
        <f t="shared" ref="E32:H32" si="17">E28/12</f>
        <v>50.31</v>
      </c>
      <c r="F32" s="202">
        <f t="shared" si="17"/>
        <v>52.272089999999999</v>
      </c>
      <c r="G32" s="202">
        <f t="shared" si="17"/>
        <v>54.101613149999999</v>
      </c>
      <c r="H32" s="202">
        <f t="shared" si="17"/>
        <v>55.995169610249995</v>
      </c>
      <c r="I32" s="203"/>
      <c r="J32" s="207"/>
      <c r="K32" s="207"/>
      <c r="L32" s="207"/>
      <c r="M32" s="207"/>
    </row>
    <row r="33" spans="2:20">
      <c r="B33" t="s">
        <v>233</v>
      </c>
      <c r="C33" s="202">
        <f>ROUND('분할사업부문 손익(2023년 실적)'!F30/10^6,)</f>
        <v>22</v>
      </c>
      <c r="D33" s="202">
        <v>23</v>
      </c>
      <c r="E33" s="202">
        <v>24</v>
      </c>
      <c r="F33" s="202">
        <v>25</v>
      </c>
      <c r="G33" s="202">
        <v>25</v>
      </c>
      <c r="H33" s="202">
        <v>26</v>
      </c>
      <c r="I33" s="203"/>
      <c r="J33" s="207"/>
      <c r="K33" s="207"/>
      <c r="L33" s="207"/>
      <c r="M33" s="207"/>
    </row>
    <row r="34" spans="2:20">
      <c r="B34" t="s">
        <v>507</v>
      </c>
      <c r="C34" s="202">
        <f>C28+C33+C32</f>
        <v>435</v>
      </c>
      <c r="D34" s="202">
        <f t="shared" ref="D34:H34" si="18">D28+D33+D32</f>
        <v>656.75</v>
      </c>
      <c r="E34" s="202">
        <f t="shared" si="18"/>
        <v>678.03</v>
      </c>
      <c r="F34" s="202">
        <f t="shared" si="18"/>
        <v>704.53717000000006</v>
      </c>
      <c r="G34" s="202">
        <f t="shared" si="18"/>
        <v>728.32097095000006</v>
      </c>
      <c r="H34" s="202">
        <f t="shared" si="18"/>
        <v>753.93720493324986</v>
      </c>
      <c r="I34" s="203"/>
      <c r="J34" s="207"/>
      <c r="K34" s="207"/>
      <c r="L34" s="207"/>
      <c r="M34" s="207"/>
      <c r="O34" s="207"/>
      <c r="P34" s="207"/>
      <c r="Q34" s="207"/>
      <c r="R34" s="207"/>
      <c r="S34" s="207"/>
    </row>
    <row r="36" spans="2:20">
      <c r="C36" t="s">
        <v>276</v>
      </c>
      <c r="D36" t="s">
        <v>242</v>
      </c>
    </row>
    <row r="37" spans="2:20">
      <c r="B37" t="s">
        <v>264</v>
      </c>
      <c r="C37" t="s">
        <v>111</v>
      </c>
      <c r="D37" t="s">
        <v>200</v>
      </c>
      <c r="E37" t="s">
        <v>148</v>
      </c>
      <c r="F37" t="s">
        <v>149</v>
      </c>
      <c r="G37" t="s">
        <v>150</v>
      </c>
      <c r="H37" t="s">
        <v>207</v>
      </c>
    </row>
    <row r="38" spans="2:20">
      <c r="B38" t="s">
        <v>232</v>
      </c>
      <c r="C38" s="202">
        <f>C39+C42</f>
        <v>1370</v>
      </c>
      <c r="D38" s="202">
        <f>D39+D42</f>
        <v>840.05</v>
      </c>
      <c r="E38" s="202">
        <f t="shared" ref="E38:H38" si="19">E39+E42</f>
        <v>866.92600000000004</v>
      </c>
      <c r="F38" s="202">
        <f t="shared" si="19"/>
        <v>900.743064</v>
      </c>
      <c r="G38" s="202">
        <f t="shared" si="19"/>
        <v>932.24757123999984</v>
      </c>
      <c r="H38" s="202">
        <f t="shared" si="19"/>
        <v>964.93098623339984</v>
      </c>
      <c r="I38" s="203"/>
      <c r="J38" s="207"/>
      <c r="K38" s="207"/>
      <c r="L38" s="207"/>
      <c r="M38" s="207"/>
    </row>
    <row r="39" spans="2:20">
      <c r="B39" t="s">
        <v>504</v>
      </c>
      <c r="C39" s="202">
        <f>ROUND('분할사업부문 손익(2023년 실적)'!G24/10^6,)</f>
        <v>1076</v>
      </c>
      <c r="D39" s="202">
        <f>D40*D41</f>
        <v>593</v>
      </c>
      <c r="E39" s="202">
        <f t="shared" ref="E39:H39" si="20">E40*E41</f>
        <v>611.976</v>
      </c>
      <c r="F39" s="202">
        <f t="shared" si="20"/>
        <v>635.84306399999991</v>
      </c>
      <c r="G39" s="202">
        <f>G40*G41</f>
        <v>658.09757123999987</v>
      </c>
      <c r="H39" s="202">
        <f t="shared" si="20"/>
        <v>681.13098623339977</v>
      </c>
      <c r="I39" s="203"/>
      <c r="J39" s="207"/>
      <c r="K39" s="207"/>
      <c r="L39" s="207"/>
      <c r="M39" s="207"/>
      <c r="P39" s="202"/>
      <c r="Q39" s="202"/>
      <c r="R39" s="202"/>
      <c r="S39" s="202"/>
      <c r="T39" s="202"/>
    </row>
    <row r="40" spans="2:20">
      <c r="B40" t="s">
        <v>505</v>
      </c>
      <c r="C40" s="202">
        <v>32</v>
      </c>
      <c r="D40" s="202">
        <f>ROUNDDOWN(매출계획!E9/240,)</f>
        <v>20</v>
      </c>
      <c r="E40" s="202">
        <v>20</v>
      </c>
      <c r="F40" s="202">
        <v>20</v>
      </c>
      <c r="G40" s="202">
        <v>20</v>
      </c>
      <c r="H40" s="202">
        <v>20</v>
      </c>
      <c r="N40" s="206"/>
      <c r="P40" s="202">
        <v>247</v>
      </c>
      <c r="Q40" s="202">
        <v>254</v>
      </c>
      <c r="R40" s="202">
        <v>265</v>
      </c>
      <c r="S40" s="202">
        <v>274</v>
      </c>
      <c r="T40" s="202">
        <v>283</v>
      </c>
    </row>
    <row r="41" spans="2:20">
      <c r="B41" t="s">
        <v>506</v>
      </c>
      <c r="C41" s="202">
        <f>C39/C40</f>
        <v>33.625</v>
      </c>
      <c r="D41" s="202">
        <v>29.65</v>
      </c>
      <c r="E41" s="202">
        <f>D41*(1+E25)</f>
        <v>30.598800000000001</v>
      </c>
      <c r="F41" s="202">
        <f t="shared" ref="F41:H41" si="21">E41*(1+F25)</f>
        <v>31.792153199999998</v>
      </c>
      <c r="G41" s="202">
        <f t="shared" si="21"/>
        <v>32.904878561999993</v>
      </c>
      <c r="H41" s="202">
        <f t="shared" si="21"/>
        <v>34.05654931166999</v>
      </c>
      <c r="P41" s="202">
        <f>매출!G11</f>
        <v>4941</v>
      </c>
      <c r="Q41" s="202">
        <f>매출!H11</f>
        <v>5099</v>
      </c>
      <c r="R41" s="202">
        <f>매출!I11</f>
        <v>5298</v>
      </c>
      <c r="S41" s="202">
        <f>매출!J11</f>
        <v>5483</v>
      </c>
      <c r="T41" s="202">
        <f>매출!K11</f>
        <v>5676</v>
      </c>
    </row>
    <row r="42" spans="2:20">
      <c r="B42" t="s">
        <v>508</v>
      </c>
      <c r="C42" s="202">
        <f>ROUND('분할사업부문 손익(2023년 실적)'!G27/10^6,)</f>
        <v>294</v>
      </c>
      <c r="D42" s="202">
        <f>매출!G11*5%</f>
        <v>247.05</v>
      </c>
      <c r="E42" s="202">
        <f>매출!H11*5%</f>
        <v>254.95000000000002</v>
      </c>
      <c r="F42" s="202">
        <f>매출!I11*5%</f>
        <v>264.90000000000003</v>
      </c>
      <c r="G42" s="202">
        <f>매출!J11*5%</f>
        <v>274.15000000000003</v>
      </c>
      <c r="H42" s="202">
        <f>매출!K11*5%</f>
        <v>283.8</v>
      </c>
      <c r="I42" s="203" t="s">
        <v>870</v>
      </c>
      <c r="J42" s="207"/>
      <c r="K42" s="207"/>
      <c r="L42" s="207"/>
      <c r="M42" s="207"/>
      <c r="P42" s="207">
        <f>P40/P41</f>
        <v>4.9989880590973486E-2</v>
      </c>
      <c r="Q42" s="207">
        <f>Q40/Q41</f>
        <v>4.9813688958619338E-2</v>
      </c>
      <c r="R42" s="207">
        <f>R40/R41</f>
        <v>5.0018875047187619E-2</v>
      </c>
      <c r="S42" s="207">
        <f>S40/S41</f>
        <v>4.9972642713842788E-2</v>
      </c>
      <c r="T42" s="207">
        <f>T40/T41</f>
        <v>4.9859055673009162E-2</v>
      </c>
    </row>
    <row r="43" spans="2:20">
      <c r="B43" t="s">
        <v>509</v>
      </c>
      <c r="C43" s="202">
        <f>ROUND('분할사업부문 손익(2023년 실적)'!G25/10^6,)</f>
        <v>7</v>
      </c>
      <c r="D43" s="202">
        <f>D39*C48</f>
        <v>3.8578066914498144</v>
      </c>
      <c r="E43" s="202">
        <f t="shared" ref="E43:H43" si="22">E39*D48</f>
        <v>3.9812565055762081</v>
      </c>
      <c r="F43" s="202">
        <f t="shared" si="22"/>
        <v>4.1365255092936799</v>
      </c>
      <c r="G43" s="202">
        <f t="shared" si="22"/>
        <v>4.2813039021189585</v>
      </c>
      <c r="H43" s="202">
        <f t="shared" si="22"/>
        <v>4.4311495386931217</v>
      </c>
      <c r="I43" s="203"/>
      <c r="J43" s="207"/>
      <c r="K43" s="207"/>
      <c r="L43" s="207"/>
      <c r="M43" s="207"/>
    </row>
    <row r="44" spans="2:20">
      <c r="B44" t="s">
        <v>92</v>
      </c>
      <c r="C44" s="202">
        <f>ROUND('분할사업부문 손익(2023년 실적)'!G28/10^6,)</f>
        <v>152</v>
      </c>
      <c r="D44" s="202">
        <f>D39/12</f>
        <v>49.416666666666664</v>
      </c>
      <c r="E44" s="202">
        <f t="shared" ref="E44:H44" si="23">E39/12</f>
        <v>50.997999999999998</v>
      </c>
      <c r="F44" s="202">
        <f t="shared" si="23"/>
        <v>52.986921999999993</v>
      </c>
      <c r="G44" s="202">
        <f t="shared" si="23"/>
        <v>54.841464269999989</v>
      </c>
      <c r="H44" s="202">
        <f t="shared" si="23"/>
        <v>56.760915519449981</v>
      </c>
      <c r="I44" s="203"/>
      <c r="J44" s="207"/>
      <c r="K44" s="207"/>
      <c r="L44" s="207"/>
      <c r="M44" s="207"/>
    </row>
    <row r="45" spans="2:20">
      <c r="B45" t="s">
        <v>233</v>
      </c>
      <c r="C45" s="202">
        <f>ROUND('분할사업부문 손익(2023년 실적)'!G30/10^6,)</f>
        <v>106</v>
      </c>
      <c r="D45" s="202">
        <f>D38*C49</f>
        <v>64.996569343065687</v>
      </c>
      <c r="E45" s="202">
        <f t="shared" ref="E45:H45" si="24">E38*D49</f>
        <v>67.076026277372264</v>
      </c>
      <c r="F45" s="202">
        <f t="shared" si="24"/>
        <v>69.692529039416058</v>
      </c>
      <c r="G45" s="202">
        <f t="shared" si="24"/>
        <v>72.130104052145967</v>
      </c>
      <c r="H45" s="202">
        <f t="shared" si="24"/>
        <v>74.658893825357936</v>
      </c>
      <c r="I45" s="203"/>
      <c r="J45" s="207"/>
      <c r="K45" s="207"/>
      <c r="L45" s="207"/>
      <c r="M45" s="207"/>
    </row>
    <row r="46" spans="2:20">
      <c r="B46" t="s">
        <v>507</v>
      </c>
      <c r="C46" s="202">
        <f>C39+C42+C43+C44+C45</f>
        <v>1635</v>
      </c>
      <c r="D46" s="202">
        <f t="shared" ref="D46:H46" si="25">D39+D42+D43+D44+D45</f>
        <v>958.32104270118202</v>
      </c>
      <c r="E46" s="202">
        <f t="shared" si="25"/>
        <v>988.9812827829486</v>
      </c>
      <c r="F46" s="202">
        <f t="shared" si="25"/>
        <v>1027.5590405487098</v>
      </c>
      <c r="G46" s="202">
        <f t="shared" si="25"/>
        <v>1063.5004434642647</v>
      </c>
      <c r="H46" s="202">
        <f t="shared" si="25"/>
        <v>1100.7819451169007</v>
      </c>
    </row>
    <row r="47" spans="2:20">
      <c r="C47">
        <f>C42/C39</f>
        <v>0.27323420074349442</v>
      </c>
      <c r="D47">
        <f t="shared" ref="D47:H47" si="26">D42/D39</f>
        <v>0.41661045531197305</v>
      </c>
      <c r="E47">
        <f t="shared" si="26"/>
        <v>0.41660130462632522</v>
      </c>
      <c r="F47">
        <f t="shared" si="26"/>
        <v>0.41661223499640165</v>
      </c>
      <c r="G47">
        <f t="shared" si="26"/>
        <v>0.41657956506881105</v>
      </c>
      <c r="H47">
        <f t="shared" si="26"/>
        <v>0.41665994608377965</v>
      </c>
    </row>
    <row r="48" spans="2:20">
      <c r="C48">
        <f>C43/C39</f>
        <v>6.5055762081784388E-3</v>
      </c>
      <c r="D48">
        <f t="shared" ref="D48:H48" si="27">D43/D39</f>
        <v>6.5055762081784388E-3</v>
      </c>
      <c r="E48">
        <f t="shared" si="27"/>
        <v>6.5055762081784388E-3</v>
      </c>
      <c r="F48">
        <f t="shared" si="27"/>
        <v>6.5055762081784388E-3</v>
      </c>
      <c r="G48">
        <f t="shared" si="27"/>
        <v>6.5055762081784388E-3</v>
      </c>
      <c r="H48">
        <f t="shared" si="27"/>
        <v>6.5055762081784397E-3</v>
      </c>
    </row>
    <row r="49" spans="2:15">
      <c r="C49">
        <f>C45/C38</f>
        <v>7.7372262773722625E-2</v>
      </c>
      <c r="D49">
        <f>D45/D38</f>
        <v>7.7372262773722625E-2</v>
      </c>
      <c r="E49">
        <f t="shared" ref="E49:H49" si="28">E45/E38</f>
        <v>7.7372262773722625E-2</v>
      </c>
      <c r="F49">
        <f t="shared" si="28"/>
        <v>7.7372262773722625E-2</v>
      </c>
      <c r="G49">
        <f t="shared" si="28"/>
        <v>7.7372262773722625E-2</v>
      </c>
      <c r="H49">
        <f t="shared" si="28"/>
        <v>7.7372262773722625E-2</v>
      </c>
    </row>
    <row r="52" spans="2:15">
      <c r="B52" t="s">
        <v>417</v>
      </c>
      <c r="C52" t="s">
        <v>205</v>
      </c>
    </row>
    <row r="53" spans="2:15">
      <c r="K53" s="202"/>
      <c r="L53" s="202"/>
      <c r="M53" s="207"/>
      <c r="N53" s="207"/>
    </row>
    <row r="54" spans="2:15">
      <c r="C54" t="s">
        <v>276</v>
      </c>
      <c r="D54" t="s">
        <v>242</v>
      </c>
      <c r="K54" s="286"/>
      <c r="L54" s="202"/>
      <c r="M54" s="202"/>
      <c r="N54" s="202"/>
      <c r="O54" s="202"/>
    </row>
    <row r="55" spans="2:15">
      <c r="B55" t="s">
        <v>510</v>
      </c>
      <c r="C55" t="s">
        <v>111</v>
      </c>
      <c r="D55" t="s">
        <v>200</v>
      </c>
      <c r="E55" t="s">
        <v>148</v>
      </c>
      <c r="F55" t="s">
        <v>149</v>
      </c>
      <c r="G55" t="s">
        <v>150</v>
      </c>
      <c r="H55" t="s">
        <v>207</v>
      </c>
      <c r="K55" s="202"/>
      <c r="L55" s="202"/>
      <c r="M55" s="202"/>
      <c r="N55" s="202"/>
      <c r="O55" s="202"/>
    </row>
    <row r="56" spans="2:15">
      <c r="B56" t="s">
        <v>232</v>
      </c>
      <c r="C56" s="202">
        <f>C57+C60</f>
        <v>372</v>
      </c>
      <c r="D56" s="202">
        <f t="shared" ref="D56:H56" si="29">D57+D60</f>
        <v>749.89200000000005</v>
      </c>
      <c r="E56" s="202">
        <f t="shared" si="29"/>
        <v>773.904</v>
      </c>
      <c r="F56" s="202">
        <f t="shared" si="29"/>
        <v>804.10070399999995</v>
      </c>
      <c r="G56" s="202">
        <f t="shared" si="29"/>
        <v>832.19928863999974</v>
      </c>
      <c r="H56" s="202">
        <f t="shared" si="29"/>
        <v>861.31702374239967</v>
      </c>
      <c r="I56" s="203"/>
      <c r="J56" s="207"/>
      <c r="K56" s="207"/>
      <c r="L56" s="207"/>
      <c r="M56" s="207"/>
      <c r="N56" s="207"/>
      <c r="O56" s="202"/>
    </row>
    <row r="57" spans="2:15">
      <c r="B57" t="s">
        <v>504</v>
      </c>
      <c r="C57" s="202">
        <f>ROUND('분할사업부문 손익(2023년 실적)'!I24/10^6,)</f>
        <v>342</v>
      </c>
      <c r="D57" s="202">
        <f>D58*D59</f>
        <v>648</v>
      </c>
      <c r="E57" s="202">
        <f t="shared" ref="E57:H57" si="30">E58*E59</f>
        <v>668.73599999999999</v>
      </c>
      <c r="F57" s="202">
        <f t="shared" si="30"/>
        <v>694.81670399999996</v>
      </c>
      <c r="G57" s="202">
        <f t="shared" si="30"/>
        <v>719.13528863999977</v>
      </c>
      <c r="H57" s="202">
        <f t="shared" si="30"/>
        <v>744.30502374239973</v>
      </c>
      <c r="I57" s="203"/>
    </row>
    <row r="58" spans="2:15">
      <c r="B58" t="s">
        <v>505</v>
      </c>
      <c r="C58" s="202">
        <v>24</v>
      </c>
      <c r="D58" s="202">
        <f>ROUNDDOWN(매출!G13/132,0)</f>
        <v>18</v>
      </c>
      <c r="E58" s="202">
        <f>D58</f>
        <v>18</v>
      </c>
      <c r="F58" s="202">
        <f t="shared" ref="F58:H58" si="31">E58</f>
        <v>18</v>
      </c>
      <c r="G58" s="202">
        <f t="shared" si="31"/>
        <v>18</v>
      </c>
      <c r="H58" s="202">
        <f t="shared" si="31"/>
        <v>18</v>
      </c>
      <c r="I58" s="286"/>
      <c r="O58" s="202"/>
    </row>
    <row r="59" spans="2:15">
      <c r="B59" t="s">
        <v>506</v>
      </c>
      <c r="C59" s="202">
        <f>C57/C58</f>
        <v>14.25</v>
      </c>
      <c r="D59" s="202">
        <v>36</v>
      </c>
      <c r="E59" s="202">
        <f>D59*(1+E25)</f>
        <v>37.152000000000001</v>
      </c>
      <c r="F59" s="202">
        <f t="shared" ref="F59:H59" si="32">E59*(1+F25)</f>
        <v>38.600927999999996</v>
      </c>
      <c r="G59" s="202">
        <f t="shared" si="32"/>
        <v>39.95196047999999</v>
      </c>
      <c r="H59" s="202">
        <f t="shared" si="32"/>
        <v>41.350279096799987</v>
      </c>
      <c r="I59" s="203"/>
      <c r="O59" s="202"/>
    </row>
    <row r="60" spans="2:15">
      <c r="B60" t="s">
        <v>508</v>
      </c>
      <c r="C60" s="202">
        <f>ROUND('분할사업부문 손익(2023년 실적)'!I27/10^6,0)</f>
        <v>30</v>
      </c>
      <c r="D60" s="202">
        <f>매출!G13*4.2%</f>
        <v>101.89200000000001</v>
      </c>
      <c r="E60" s="202">
        <f>매출!H13*4.2%</f>
        <v>105.16800000000001</v>
      </c>
      <c r="F60" s="202">
        <f>매출!I13*4.2%</f>
        <v>109.28400000000001</v>
      </c>
      <c r="G60" s="202">
        <f>매출!J13*4.2%</f>
        <v>113.06400000000001</v>
      </c>
      <c r="H60" s="202">
        <f>매출!K13*4.2%</f>
        <v>117.012</v>
      </c>
      <c r="I60" t="s">
        <v>871</v>
      </c>
      <c r="O60" s="202"/>
    </row>
    <row r="61" spans="2:15">
      <c r="B61" t="s">
        <v>509</v>
      </c>
      <c r="C61" s="202">
        <f>ROUND('분할사업부문 손익(2023년 실적)'!I25/10^6,)</f>
        <v>6</v>
      </c>
      <c r="D61" s="202">
        <f>D57*C66</f>
        <v>11.368421052631579</v>
      </c>
      <c r="E61" s="202">
        <f t="shared" ref="E61:H61" si="33">E57*D66</f>
        <v>11.732210526315789</v>
      </c>
      <c r="F61" s="202">
        <f t="shared" si="33"/>
        <v>12.189766736842104</v>
      </c>
      <c r="G61" s="202">
        <f t="shared" si="33"/>
        <v>12.616408572631574</v>
      </c>
      <c r="H61" s="202">
        <f t="shared" si="33"/>
        <v>13.057982872673678</v>
      </c>
      <c r="I61" s="203"/>
      <c r="J61" s="207"/>
      <c r="K61" s="207"/>
      <c r="L61" s="207"/>
      <c r="M61" s="207"/>
    </row>
    <row r="62" spans="2:15">
      <c r="B62" t="s">
        <v>92</v>
      </c>
      <c r="C62" s="202">
        <f>ROUND('분할사업부문 손익(2023년 실적)'!I28/10^6,0)</f>
        <v>6</v>
      </c>
      <c r="D62" s="202">
        <f>D57/12</f>
        <v>54</v>
      </c>
      <c r="E62" s="202">
        <f t="shared" ref="E62:H62" si="34">E57/12</f>
        <v>55.728000000000002</v>
      </c>
      <c r="F62" s="202">
        <f t="shared" si="34"/>
        <v>57.901391999999994</v>
      </c>
      <c r="G62" s="202">
        <f t="shared" si="34"/>
        <v>59.927940719999981</v>
      </c>
      <c r="H62" s="202">
        <f t="shared" si="34"/>
        <v>62.025418645199977</v>
      </c>
      <c r="I62" s="203"/>
      <c r="J62" s="207"/>
      <c r="K62" s="207"/>
      <c r="L62" s="207"/>
      <c r="M62" s="207"/>
    </row>
    <row r="63" spans="2:15">
      <c r="B63" t="s">
        <v>233</v>
      </c>
      <c r="C63" s="202">
        <f>ROUND('분할사업부문 손익(2023년 실적)'!I30/10^6,)</f>
        <v>31</v>
      </c>
      <c r="D63" s="202">
        <f>D56*C67</f>
        <v>62.491</v>
      </c>
      <c r="E63" s="202">
        <f t="shared" ref="E63:H63" si="35">E56*D67</f>
        <v>64.49199999999999</v>
      </c>
      <c r="F63" s="202">
        <f t="shared" si="35"/>
        <v>67.008391999999986</v>
      </c>
      <c r="G63" s="202">
        <f t="shared" si="35"/>
        <v>69.349940719999964</v>
      </c>
      <c r="H63" s="202">
        <f t="shared" si="35"/>
        <v>71.776418645199954</v>
      </c>
      <c r="I63" s="203"/>
      <c r="J63" s="207"/>
      <c r="K63" s="207"/>
      <c r="L63" s="207"/>
      <c r="M63" s="207"/>
    </row>
    <row r="64" spans="2:15">
      <c r="B64" t="s">
        <v>507</v>
      </c>
      <c r="C64" s="202">
        <f>C57+C60+C61+C62+C63</f>
        <v>415</v>
      </c>
      <c r="D64" s="202">
        <f t="shared" ref="D64" si="36">D57+D60+D61+D62+D63</f>
        <v>877.7514210526316</v>
      </c>
      <c r="E64" s="202">
        <f t="shared" ref="E64" si="37">E57+E60+E61+E62+E63</f>
        <v>905.85621052631575</v>
      </c>
      <c r="F64" s="202">
        <f t="shared" ref="F64" si="38">F57+F60+F61+F62+F63</f>
        <v>941.200254736842</v>
      </c>
      <c r="G64" s="202">
        <f t="shared" ref="G64" si="39">G57+G60+G61+G62+G63</f>
        <v>974.09357865263132</v>
      </c>
      <c r="H64" s="202">
        <f t="shared" ref="H64" si="40">H57+H60+H61+H62+H63</f>
        <v>1008.1768439054733</v>
      </c>
      <c r="I64" s="203"/>
      <c r="J64" s="207"/>
      <c r="K64" s="207"/>
      <c r="L64" s="207"/>
      <c r="M64" s="207"/>
    </row>
    <row r="65" spans="2:17">
      <c r="C65" t="e">
        <f>#REF!/2</f>
        <v>#REF!</v>
      </c>
      <c r="D65">
        <f t="shared" ref="D65:H65" si="41">D60/D57</f>
        <v>0.15724074074074076</v>
      </c>
      <c r="E65">
        <f t="shared" si="41"/>
        <v>0.15726385300028711</v>
      </c>
      <c r="F65">
        <f t="shared" si="41"/>
        <v>0.15728464697359953</v>
      </c>
      <c r="G65">
        <f t="shared" si="41"/>
        <v>0.15722215525512895</v>
      </c>
      <c r="H65">
        <f t="shared" si="41"/>
        <v>0.1572097409898677</v>
      </c>
    </row>
    <row r="66" spans="2:17">
      <c r="C66">
        <f>C61/C57</f>
        <v>1.7543859649122806E-2</v>
      </c>
      <c r="D66">
        <f t="shared" ref="D66:H66" si="42">D61/D57</f>
        <v>1.7543859649122806E-2</v>
      </c>
      <c r="E66">
        <f t="shared" si="42"/>
        <v>1.7543859649122806E-2</v>
      </c>
      <c r="F66">
        <f t="shared" si="42"/>
        <v>1.7543859649122806E-2</v>
      </c>
      <c r="G66">
        <f t="shared" si="42"/>
        <v>1.7543859649122806E-2</v>
      </c>
      <c r="H66">
        <f t="shared" si="42"/>
        <v>1.7543859649122806E-2</v>
      </c>
    </row>
    <row r="67" spans="2:17">
      <c r="C67">
        <f>C63/C56</f>
        <v>8.3333333333333329E-2</v>
      </c>
      <c r="D67">
        <f t="shared" ref="D67:H67" si="43">D63/D56</f>
        <v>8.3333333333333329E-2</v>
      </c>
      <c r="E67">
        <f t="shared" si="43"/>
        <v>8.3333333333333315E-2</v>
      </c>
      <c r="F67">
        <f t="shared" si="43"/>
        <v>8.3333333333333315E-2</v>
      </c>
      <c r="G67">
        <f t="shared" si="43"/>
        <v>8.3333333333333315E-2</v>
      </c>
      <c r="H67">
        <f t="shared" si="43"/>
        <v>8.3333333333333315E-2</v>
      </c>
    </row>
    <row r="70" spans="2:17">
      <c r="C70" t="s">
        <v>276</v>
      </c>
      <c r="D70" t="s">
        <v>242</v>
      </c>
    </row>
    <row r="71" spans="2:17">
      <c r="B71" t="s">
        <v>511</v>
      </c>
      <c r="C71" t="s">
        <v>111</v>
      </c>
      <c r="D71" t="s">
        <v>200</v>
      </c>
      <c r="E71" t="s">
        <v>148</v>
      </c>
      <c r="F71" t="s">
        <v>149</v>
      </c>
      <c r="G71" t="s">
        <v>150</v>
      </c>
      <c r="H71" t="s">
        <v>207</v>
      </c>
    </row>
    <row r="72" spans="2:17">
      <c r="B72" t="s">
        <v>232</v>
      </c>
      <c r="C72" s="202">
        <f>C73+C76</f>
        <v>844</v>
      </c>
      <c r="D72" s="202">
        <f t="shared" ref="D72:H72" si="44">D73+D76</f>
        <v>642.98519999999996</v>
      </c>
      <c r="E72" s="202">
        <f t="shared" si="44"/>
        <v>663.54240000000004</v>
      </c>
      <c r="F72" s="202">
        <f t="shared" si="44"/>
        <v>689.43004799999994</v>
      </c>
      <c r="G72" s="202">
        <f t="shared" si="44"/>
        <v>713.55816767999988</v>
      </c>
      <c r="H72" s="202">
        <f t="shared" si="44"/>
        <v>738.5532655487998</v>
      </c>
      <c r="I72" s="203"/>
      <c r="J72" s="207"/>
      <c r="K72" s="207"/>
      <c r="L72" s="207"/>
      <c r="M72" s="207"/>
    </row>
    <row r="73" spans="2:17">
      <c r="B73" t="s">
        <v>504</v>
      </c>
      <c r="C73" s="202">
        <f>ROUND('분할사업부문 손익(2023년 실적)'!J24/10^6,)</f>
        <v>826</v>
      </c>
      <c r="D73" s="202">
        <f>D74*D75</f>
        <v>576</v>
      </c>
      <c r="E73" s="202">
        <f t="shared" ref="E73:H73" si="45">E74*E75</f>
        <v>594.43200000000002</v>
      </c>
      <c r="F73" s="202">
        <f t="shared" si="45"/>
        <v>617.61484799999994</v>
      </c>
      <c r="G73" s="202">
        <f t="shared" si="45"/>
        <v>639.23136767999983</v>
      </c>
      <c r="H73" s="202">
        <f t="shared" si="45"/>
        <v>661.60446554879979</v>
      </c>
      <c r="I73" s="203"/>
      <c r="J73" s="207"/>
      <c r="K73" s="207"/>
      <c r="L73" s="207"/>
      <c r="M73" s="202"/>
      <c r="N73" s="202"/>
      <c r="O73" s="202"/>
      <c r="P73" s="202"/>
      <c r="Q73" s="202"/>
    </row>
    <row r="74" spans="2:17">
      <c r="B74" t="s">
        <v>505</v>
      </c>
      <c r="C74" s="202">
        <v>43</v>
      </c>
      <c r="D74" s="202">
        <f>ROUNDDOWN(매출!D14/132,)</f>
        <v>18</v>
      </c>
      <c r="E74" s="202">
        <v>18</v>
      </c>
      <c r="F74" s="202">
        <v>18</v>
      </c>
      <c r="G74" s="202">
        <v>18</v>
      </c>
      <c r="H74" s="202">
        <v>18</v>
      </c>
      <c r="I74" s="203"/>
      <c r="J74" s="207"/>
      <c r="K74" s="207"/>
      <c r="L74" s="207"/>
      <c r="M74" s="202">
        <v>67</v>
      </c>
      <c r="N74" s="202">
        <v>69</v>
      </c>
      <c r="O74" s="202">
        <v>72</v>
      </c>
      <c r="P74" s="202">
        <v>75</v>
      </c>
      <c r="Q74" s="202">
        <v>77</v>
      </c>
    </row>
    <row r="75" spans="2:17">
      <c r="B75" t="s">
        <v>506</v>
      </c>
      <c r="C75" s="202">
        <f>C73/C74</f>
        <v>19.209302325581394</v>
      </c>
      <c r="D75" s="202">
        <v>32</v>
      </c>
      <c r="E75" s="202">
        <f>D75*(1+E25)</f>
        <v>33.024000000000001</v>
      </c>
      <c r="F75" s="202">
        <f t="shared" ref="F75:H75" si="46">E75*(1+F25)</f>
        <v>34.311935999999996</v>
      </c>
      <c r="G75" s="202">
        <f t="shared" si="46"/>
        <v>35.512853759999992</v>
      </c>
      <c r="H75" s="202">
        <f t="shared" si="46"/>
        <v>36.755803641599989</v>
      </c>
      <c r="I75" s="203"/>
      <c r="J75" s="207"/>
      <c r="K75" s="207"/>
      <c r="L75" s="207"/>
      <c r="M75" s="202">
        <f>매출!G14</f>
        <v>2427</v>
      </c>
      <c r="N75" s="202">
        <f>매출!H14</f>
        <v>2504</v>
      </c>
      <c r="O75" s="202">
        <f>매출!I14</f>
        <v>2602</v>
      </c>
      <c r="P75" s="202">
        <f>매출!J14</f>
        <v>2693</v>
      </c>
      <c r="Q75" s="202">
        <f>매출!K14</f>
        <v>2788</v>
      </c>
    </row>
    <row r="76" spans="2:17">
      <c r="B76" t="s">
        <v>508</v>
      </c>
      <c r="C76" s="202">
        <f>ROUND('분할사업부문 손익(2023년 실적)'!J27/10^6,)</f>
        <v>18</v>
      </c>
      <c r="D76" s="202">
        <f>매출!G14*2.76%</f>
        <v>66.985199999999992</v>
      </c>
      <c r="E76" s="202">
        <f>매출!H14*2.76%</f>
        <v>69.110399999999998</v>
      </c>
      <c r="F76" s="202">
        <f>매출!I14*2.76%</f>
        <v>71.815200000000004</v>
      </c>
      <c r="G76" s="202">
        <f>매출!J14*2.76%</f>
        <v>74.326800000000006</v>
      </c>
      <c r="H76" s="202">
        <f>매출!K14*2.76%</f>
        <v>76.948800000000006</v>
      </c>
      <c r="I76" s="203" t="s">
        <v>872</v>
      </c>
      <c r="J76" s="207"/>
      <c r="K76" s="207"/>
      <c r="L76" s="207"/>
      <c r="M76" s="207">
        <f>M74/M75</f>
        <v>2.7606098063452822E-2</v>
      </c>
      <c r="N76" s="207">
        <f>N74/N75</f>
        <v>2.7555910543130991E-2</v>
      </c>
      <c r="O76" s="207">
        <f>O74/O75</f>
        <v>2.7671022290545733E-2</v>
      </c>
      <c r="P76" s="207">
        <f>P74/P75</f>
        <v>2.7849981433345713E-2</v>
      </c>
      <c r="Q76" s="207">
        <f>Q74/Q75</f>
        <v>2.7618364418938307E-2</v>
      </c>
    </row>
    <row r="77" spans="2:17">
      <c r="B77" t="s">
        <v>509</v>
      </c>
      <c r="C77" s="202">
        <f>ROUND('분할사업부문 손익(2023년 실적)'!J25/10^6,)</f>
        <v>2</v>
      </c>
      <c r="D77" s="202">
        <f>D73*C82</f>
        <v>1.3946731234866829</v>
      </c>
      <c r="E77" s="202">
        <f t="shared" ref="E77:H77" si="47">E73*D82</f>
        <v>1.4393026634382569</v>
      </c>
      <c r="F77" s="202">
        <f t="shared" si="47"/>
        <v>1.4954354673123487</v>
      </c>
      <c r="G77" s="202">
        <f t="shared" si="47"/>
        <v>1.5477757086682806</v>
      </c>
      <c r="H77" s="202">
        <f t="shared" si="47"/>
        <v>1.6019478584716702</v>
      </c>
      <c r="I77" s="203"/>
      <c r="J77" s="207"/>
      <c r="K77" s="207"/>
      <c r="L77" s="207"/>
    </row>
    <row r="78" spans="2:17">
      <c r="B78" t="s">
        <v>92</v>
      </c>
      <c r="C78" s="202">
        <v>0</v>
      </c>
      <c r="D78" s="202">
        <f>D73/12</f>
        <v>48</v>
      </c>
      <c r="E78" s="202">
        <f t="shared" ref="E78:G78" si="48">E73/12</f>
        <v>49.536000000000001</v>
      </c>
      <c r="F78" s="202">
        <f t="shared" si="48"/>
        <v>51.467903999999997</v>
      </c>
      <c r="G78" s="202">
        <f t="shared" si="48"/>
        <v>53.269280639999984</v>
      </c>
      <c r="H78" s="202">
        <f>H73/12</f>
        <v>55.13370546239998</v>
      </c>
      <c r="I78" s="203"/>
      <c r="J78" s="207"/>
      <c r="K78" s="207"/>
      <c r="L78" s="207"/>
      <c r="M78" s="207"/>
    </row>
    <row r="79" spans="2:17">
      <c r="B79" t="s">
        <v>233</v>
      </c>
      <c r="C79" s="202">
        <f>ROUND('분할사업부문 손익(2023년 실적)'!J30/10^6,)</f>
        <v>44</v>
      </c>
      <c r="D79" s="202">
        <f>D73*C83</f>
        <v>30.682808716707022</v>
      </c>
      <c r="E79" s="202">
        <f t="shared" ref="E79:H79" si="49">E73*D83</f>
        <v>31.664658595641647</v>
      </c>
      <c r="F79" s="202">
        <f t="shared" si="49"/>
        <v>32.899580280871668</v>
      </c>
      <c r="G79" s="202">
        <f t="shared" si="49"/>
        <v>34.051065590702173</v>
      </c>
      <c r="H79" s="202">
        <f t="shared" si="49"/>
        <v>35.242852886376745</v>
      </c>
      <c r="I79" s="203"/>
      <c r="J79" s="207"/>
      <c r="K79" s="207"/>
      <c r="L79" s="207"/>
      <c r="M79" s="207"/>
    </row>
    <row r="80" spans="2:17">
      <c r="B80" t="s">
        <v>507</v>
      </c>
      <c r="C80" s="202">
        <f>C73+C76+C77+C78+C79</f>
        <v>890</v>
      </c>
      <c r="D80" s="202">
        <f t="shared" ref="D80" si="50">D73+D76+D77+D78+D79</f>
        <v>723.06268184019359</v>
      </c>
      <c r="E80" s="202">
        <f t="shared" ref="E80" si="51">E73+E76+E77+E78+E79</f>
        <v>746.18236125907993</v>
      </c>
      <c r="F80" s="202">
        <f t="shared" ref="F80" si="52">F73+F76+F77+F78+F79</f>
        <v>775.29296774818397</v>
      </c>
      <c r="G80" s="202">
        <f t="shared" ref="G80" si="53">G73+G76+G77+G78+G79</f>
        <v>802.42628961937032</v>
      </c>
      <c r="H80" s="202">
        <f t="shared" ref="H80" si="54">H73+H76+H77+H78+H79</f>
        <v>830.53177175604833</v>
      </c>
      <c r="I80" s="203"/>
      <c r="J80" s="207"/>
      <c r="K80" s="207"/>
      <c r="L80" s="207"/>
      <c r="M80" s="207"/>
    </row>
    <row r="81" spans="2:19">
      <c r="C81">
        <f>C76/C73</f>
        <v>2.1791767554479417E-2</v>
      </c>
      <c r="D81">
        <v>0.11713286713286714</v>
      </c>
      <c r="E81">
        <v>0.11734693877551021</v>
      </c>
      <c r="F81">
        <v>0.11764705882352941</v>
      </c>
      <c r="G81">
        <v>0.11848341232227488</v>
      </c>
      <c r="H81">
        <v>0.11755725190839694</v>
      </c>
      <c r="I81" s="203"/>
      <c r="J81" s="207"/>
      <c r="K81" s="207"/>
      <c r="L81" s="207"/>
      <c r="M81" s="207"/>
    </row>
    <row r="82" spans="2:19">
      <c r="C82">
        <f>C77/C73</f>
        <v>2.4213075060532689E-3</v>
      </c>
      <c r="D82">
        <f t="shared" ref="D82:H82" si="55">D77/D73</f>
        <v>2.4213075060532689E-3</v>
      </c>
      <c r="E82">
        <f t="shared" si="55"/>
        <v>2.4213075060532689E-3</v>
      </c>
      <c r="F82">
        <f t="shared" si="55"/>
        <v>2.4213075060532689E-3</v>
      </c>
      <c r="G82">
        <f t="shared" si="55"/>
        <v>2.4213075060532689E-3</v>
      </c>
      <c r="H82">
        <f t="shared" si="55"/>
        <v>2.4213075060532689E-3</v>
      </c>
      <c r="I82" s="203"/>
      <c r="J82" s="207"/>
      <c r="K82" s="207"/>
      <c r="L82" s="207"/>
      <c r="M82" s="207"/>
    </row>
    <row r="83" spans="2:19">
      <c r="C83">
        <f>C79/C73</f>
        <v>5.3268765133171914E-2</v>
      </c>
      <c r="D83">
        <f t="shared" ref="D83:H83" si="56">D79/D73</f>
        <v>5.3268765133171914E-2</v>
      </c>
      <c r="E83">
        <f t="shared" si="56"/>
        <v>5.3268765133171914E-2</v>
      </c>
      <c r="F83">
        <f t="shared" si="56"/>
        <v>5.3268765133171914E-2</v>
      </c>
      <c r="G83">
        <f t="shared" si="56"/>
        <v>5.3268765133171914E-2</v>
      </c>
      <c r="H83">
        <f t="shared" si="56"/>
        <v>5.3268765133171914E-2</v>
      </c>
    </row>
    <row r="86" spans="2:19">
      <c r="C86" t="s">
        <v>276</v>
      </c>
      <c r="D86" t="s">
        <v>242</v>
      </c>
    </row>
    <row r="87" spans="2:19">
      <c r="B87" t="s">
        <v>512</v>
      </c>
      <c r="C87" t="s">
        <v>111</v>
      </c>
      <c r="D87" t="s">
        <v>200</v>
      </c>
      <c r="E87" t="s">
        <v>148</v>
      </c>
      <c r="F87" t="s">
        <v>149</v>
      </c>
      <c r="G87" t="s">
        <v>150</v>
      </c>
      <c r="H87" t="s">
        <v>207</v>
      </c>
    </row>
    <row r="88" spans="2:19">
      <c r="B88" t="s">
        <v>232</v>
      </c>
      <c r="C88" s="202">
        <f>C89+C92</f>
        <v>54</v>
      </c>
      <c r="D88" s="202">
        <f t="shared" ref="D88:H88" si="57">D89+D92</f>
        <v>735.54</v>
      </c>
      <c r="E88" s="202">
        <f t="shared" si="57"/>
        <v>726.19200000000001</v>
      </c>
      <c r="F88" s="202">
        <f t="shared" si="57"/>
        <v>754.6548479999999</v>
      </c>
      <c r="G88" s="202">
        <f t="shared" si="57"/>
        <v>781.07136767999987</v>
      </c>
      <c r="H88" s="202">
        <f t="shared" si="57"/>
        <v>808.36446554879979</v>
      </c>
      <c r="I88" s="203"/>
      <c r="J88" s="207"/>
      <c r="K88" s="207"/>
      <c r="L88" s="207"/>
      <c r="M88" s="207"/>
    </row>
    <row r="89" spans="2:19">
      <c r="B89" t="s">
        <v>504</v>
      </c>
      <c r="C89" s="202">
        <f>ROUND('분할사업부문 손익(2023년 실적)'!K24/10^6,)</f>
        <v>49</v>
      </c>
      <c r="D89" s="202">
        <f>D90*D91</f>
        <v>576</v>
      </c>
      <c r="E89" s="202">
        <f t="shared" ref="E89:H89" si="58">E90*E91</f>
        <v>594.43200000000002</v>
      </c>
      <c r="F89" s="202">
        <f>F90*F91</f>
        <v>617.61484799999994</v>
      </c>
      <c r="G89" s="202">
        <f t="shared" si="58"/>
        <v>639.23136767999983</v>
      </c>
      <c r="H89" s="202">
        <f t="shared" si="58"/>
        <v>661.60446554879979</v>
      </c>
      <c r="I89" s="203"/>
      <c r="J89" s="207"/>
      <c r="K89" s="207"/>
      <c r="L89" s="207"/>
      <c r="M89" s="202">
        <v>749</v>
      </c>
      <c r="N89" s="202">
        <v>738</v>
      </c>
      <c r="O89" s="202">
        <v>768</v>
      </c>
      <c r="P89" s="202">
        <v>794</v>
      </c>
      <c r="Q89" s="202">
        <v>822</v>
      </c>
      <c r="R89" s="202"/>
      <c r="S89" s="202"/>
    </row>
    <row r="90" spans="2:19">
      <c r="B90" t="s">
        <v>505</v>
      </c>
      <c r="C90" s="202">
        <v>17</v>
      </c>
      <c r="D90" s="202">
        <v>16</v>
      </c>
      <c r="E90" s="202">
        <v>16</v>
      </c>
      <c r="F90" s="202">
        <v>16</v>
      </c>
      <c r="G90" s="202">
        <v>16</v>
      </c>
      <c r="H90" s="202">
        <v>16</v>
      </c>
      <c r="I90" s="219"/>
      <c r="J90" s="219"/>
      <c r="K90" s="207"/>
      <c r="L90" s="207"/>
      <c r="M90" s="202">
        <v>157</v>
      </c>
      <c r="N90" s="202">
        <v>155</v>
      </c>
      <c r="O90" s="202">
        <v>161</v>
      </c>
      <c r="P90" s="202">
        <v>166</v>
      </c>
      <c r="Q90" s="202">
        <v>172</v>
      </c>
    </row>
    <row r="91" spans="2:19">
      <c r="B91" t="s">
        <v>506</v>
      </c>
      <c r="C91" s="202">
        <f>C89/C90</f>
        <v>2.8823529411764706</v>
      </c>
      <c r="D91" s="202">
        <v>36</v>
      </c>
      <c r="E91" s="202">
        <f>D91*(1+E25)</f>
        <v>37.152000000000001</v>
      </c>
      <c r="F91" s="202">
        <f t="shared" ref="F91:H91" si="59">E91*(1+F25)</f>
        <v>38.600927999999996</v>
      </c>
      <c r="G91" s="202">
        <f t="shared" si="59"/>
        <v>39.95196047999999</v>
      </c>
      <c r="H91" s="202">
        <f t="shared" si="59"/>
        <v>41.350279096799987</v>
      </c>
      <c r="I91" s="203"/>
      <c r="J91" s="207"/>
      <c r="K91" s="207"/>
      <c r="L91" s="207"/>
      <c r="M91" s="335">
        <f>M90/M89</f>
        <v>0.20961281708945259</v>
      </c>
      <c r="N91" s="335">
        <f t="shared" ref="N91:Q91" si="60">N90/N89</f>
        <v>0.21002710027100271</v>
      </c>
      <c r="O91" s="335">
        <f t="shared" si="60"/>
        <v>0.20963541666666666</v>
      </c>
      <c r="P91" s="335">
        <f t="shared" si="60"/>
        <v>0.20906801007556675</v>
      </c>
      <c r="Q91" s="335">
        <f t="shared" si="60"/>
        <v>0.20924574209245742</v>
      </c>
    </row>
    <row r="92" spans="2:19">
      <c r="B92" t="s">
        <v>508</v>
      </c>
      <c r="C92" s="202">
        <f>ROUND('분할사업부문 손익(2023년 실적)'!K27/10^6,)</f>
        <v>5</v>
      </c>
      <c r="D92" s="202">
        <f>매출!G15*6%</f>
        <v>159.54</v>
      </c>
      <c r="E92" s="202">
        <f>매출!H15*6%</f>
        <v>131.76</v>
      </c>
      <c r="F92" s="202">
        <f>매출!I15*6%</f>
        <v>137.04</v>
      </c>
      <c r="G92" s="202">
        <f>매출!J15*6%</f>
        <v>141.84</v>
      </c>
      <c r="H92" s="202">
        <f>매출!K15*6%</f>
        <v>146.76</v>
      </c>
      <c r="I92" s="203"/>
      <c r="J92" s="207"/>
      <c r="K92" s="207"/>
      <c r="L92" s="207"/>
      <c r="M92" s="202">
        <f>매출!G15</f>
        <v>2659</v>
      </c>
      <c r="N92" s="202">
        <f>매출!H15</f>
        <v>2196</v>
      </c>
      <c r="O92" s="202">
        <f>매출!I15</f>
        <v>2284</v>
      </c>
      <c r="P92" s="202">
        <f>매출!J15</f>
        <v>2364</v>
      </c>
      <c r="Q92" s="202">
        <f>매출!K15</f>
        <v>2446</v>
      </c>
    </row>
    <row r="93" spans="2:19">
      <c r="B93" t="s">
        <v>509</v>
      </c>
      <c r="C93" s="202">
        <v>0</v>
      </c>
      <c r="D93" s="202">
        <f>D89*D48</f>
        <v>3.7472118959107807</v>
      </c>
      <c r="E93" s="202">
        <f t="shared" ref="E93:H93" si="61">E89*E48</f>
        <v>3.867122676579926</v>
      </c>
      <c r="F93" s="202">
        <f t="shared" si="61"/>
        <v>4.0179404609665426</v>
      </c>
      <c r="G93" s="202">
        <f t="shared" si="61"/>
        <v>4.1585683771003712</v>
      </c>
      <c r="H93" s="202">
        <f t="shared" si="61"/>
        <v>4.3041182702988845</v>
      </c>
      <c r="I93" s="203" t="s">
        <v>823</v>
      </c>
      <c r="J93" s="207"/>
      <c r="K93" s="207"/>
      <c r="L93" s="207"/>
      <c r="M93" s="207">
        <f>M90/M92</f>
        <v>5.904475366679203E-2</v>
      </c>
      <c r="N93" s="207">
        <f t="shared" ref="N93:Q93" si="62">N90/N92</f>
        <v>7.058287795992714E-2</v>
      </c>
      <c r="O93" s="207">
        <f t="shared" si="62"/>
        <v>7.0490367775831869E-2</v>
      </c>
      <c r="P93" s="207">
        <f t="shared" si="62"/>
        <v>7.0219966159052447E-2</v>
      </c>
      <c r="Q93" s="207">
        <f t="shared" si="62"/>
        <v>7.0318887980376124E-2</v>
      </c>
    </row>
    <row r="94" spans="2:19">
      <c r="B94" t="s">
        <v>92</v>
      </c>
      <c r="C94" s="202">
        <v>0</v>
      </c>
      <c r="D94" s="202">
        <f>D89/12</f>
        <v>48</v>
      </c>
      <c r="E94" s="202">
        <f t="shared" ref="E94:H94" si="63">E89/12</f>
        <v>49.536000000000001</v>
      </c>
      <c r="F94" s="202">
        <f t="shared" si="63"/>
        <v>51.467903999999997</v>
      </c>
      <c r="G94" s="202">
        <f t="shared" si="63"/>
        <v>53.269280639999984</v>
      </c>
      <c r="H94" s="202">
        <f t="shared" si="63"/>
        <v>55.13370546239998</v>
      </c>
      <c r="I94" s="203"/>
      <c r="J94" s="207"/>
      <c r="K94" s="207"/>
      <c r="L94" s="207"/>
      <c r="M94" s="207"/>
    </row>
    <row r="95" spans="2:19">
      <c r="B95" t="s">
        <v>233</v>
      </c>
      <c r="C95" s="202">
        <f>ROUND('분할사업부문 손익(2023년 실적)'!K30/10^6,)</f>
        <v>1</v>
      </c>
      <c r="D95" s="202">
        <f>D89*C98</f>
        <v>10.666666666666666</v>
      </c>
      <c r="E95" s="202">
        <f t="shared" ref="E95:H95" si="64">E89*D98</f>
        <v>11.007999999999999</v>
      </c>
      <c r="F95" s="202">
        <f t="shared" si="64"/>
        <v>11.437311999999999</v>
      </c>
      <c r="G95" s="202">
        <f t="shared" si="64"/>
        <v>11.837617919999996</v>
      </c>
      <c r="H95" s="202">
        <f t="shared" si="64"/>
        <v>12.251934547199996</v>
      </c>
      <c r="I95" s="203"/>
      <c r="J95" s="207"/>
      <c r="K95" s="207"/>
      <c r="L95" s="207"/>
      <c r="M95" s="207"/>
    </row>
    <row r="96" spans="2:19">
      <c r="B96" t="s">
        <v>507</v>
      </c>
      <c r="C96" s="202">
        <f>C89+C92+C93+C94+C95</f>
        <v>55</v>
      </c>
      <c r="D96" s="202">
        <f t="shared" ref="D96" si="65">D89+D92+D93+D94+D95</f>
        <v>797.95387856257742</v>
      </c>
      <c r="E96" s="202">
        <f t="shared" ref="E96" si="66">E89+E92+E93+E94+E95</f>
        <v>790.60312267657991</v>
      </c>
      <c r="F96" s="202">
        <f t="shared" ref="F96" si="67">F89+F92+F93+F94+F95</f>
        <v>821.57800446096644</v>
      </c>
      <c r="G96" s="202">
        <f t="shared" ref="G96" si="68">G89+G92+G93+G94+G95</f>
        <v>850.33683461710018</v>
      </c>
      <c r="H96" s="202">
        <f t="shared" ref="H96" si="69">H89+H92+H93+H94+H95</f>
        <v>880.0542238286987</v>
      </c>
      <c r="I96" s="203"/>
      <c r="J96" s="207"/>
      <c r="K96" s="207"/>
      <c r="L96" s="207"/>
      <c r="M96" s="207"/>
    </row>
    <row r="97" spans="2:17">
      <c r="D97">
        <f>D93/D89</f>
        <v>6.5055762081784388E-3</v>
      </c>
      <c r="E97">
        <f>E93/E89</f>
        <v>6.5055762081784388E-3</v>
      </c>
      <c r="F97">
        <f>F93/F89</f>
        <v>6.5055762081784388E-3</v>
      </c>
      <c r="G97">
        <f>G93/G89</f>
        <v>6.5055762081784397E-3</v>
      </c>
      <c r="H97">
        <f>H93/H89</f>
        <v>6.5055762081784405E-3</v>
      </c>
    </row>
    <row r="98" spans="2:17">
      <c r="C98">
        <f>C95/C88</f>
        <v>1.8518518518518517E-2</v>
      </c>
      <c r="D98">
        <f t="shared" ref="D98:H98" si="70">D95/D89</f>
        <v>1.8518518518518517E-2</v>
      </c>
      <c r="E98">
        <f t="shared" si="70"/>
        <v>1.8518518518518517E-2</v>
      </c>
      <c r="F98">
        <f t="shared" si="70"/>
        <v>1.8518518518518517E-2</v>
      </c>
      <c r="G98">
        <f t="shared" si="70"/>
        <v>1.8518518518518517E-2</v>
      </c>
      <c r="H98">
        <f t="shared" si="70"/>
        <v>1.8518518518518517E-2</v>
      </c>
    </row>
    <row r="99" spans="2:17">
      <c r="C99" s="206"/>
      <c r="D99" s="206"/>
      <c r="E99" s="206"/>
      <c r="F99" s="206"/>
      <c r="G99" s="206"/>
      <c r="H99" s="206"/>
    </row>
    <row r="103" spans="2:17">
      <c r="C103" t="s">
        <v>276</v>
      </c>
      <c r="D103" t="s">
        <v>242</v>
      </c>
    </row>
    <row r="104" spans="2:17">
      <c r="B104" t="s">
        <v>513</v>
      </c>
      <c r="C104" t="s">
        <v>111</v>
      </c>
      <c r="D104" t="s">
        <v>200</v>
      </c>
      <c r="E104" t="s">
        <v>148</v>
      </c>
      <c r="F104" t="s">
        <v>149</v>
      </c>
      <c r="G104" t="s">
        <v>150</v>
      </c>
      <c r="H104" t="s">
        <v>207</v>
      </c>
    </row>
    <row r="105" spans="2:17">
      <c r="B105" t="s">
        <v>232</v>
      </c>
      <c r="C105" s="202"/>
      <c r="D105" s="202">
        <f>D106+D109</f>
        <v>313.47500000000002</v>
      </c>
      <c r="E105" s="202">
        <f t="shared" ref="E105:H105" si="71">E106+E109</f>
        <v>714.76</v>
      </c>
      <c r="F105" s="202">
        <f t="shared" si="71"/>
        <v>744.04</v>
      </c>
      <c r="G105" s="202">
        <f t="shared" si="71"/>
        <v>769.84</v>
      </c>
      <c r="H105" s="202">
        <f t="shared" si="71"/>
        <v>796.76</v>
      </c>
      <c r="I105" s="203"/>
      <c r="J105" s="207"/>
      <c r="K105" s="207"/>
      <c r="L105" s="207"/>
      <c r="M105" s="207"/>
    </row>
    <row r="106" spans="2:17">
      <c r="B106" t="s">
        <v>504</v>
      </c>
      <c r="C106" s="202"/>
      <c r="D106" s="202">
        <v>247</v>
      </c>
      <c r="E106" s="202">
        <v>583</v>
      </c>
      <c r="F106" s="202">
        <v>607</v>
      </c>
      <c r="G106" s="202">
        <v>628</v>
      </c>
      <c r="H106" s="202">
        <v>650</v>
      </c>
      <c r="I106" s="203"/>
      <c r="J106" s="207"/>
      <c r="K106" s="207"/>
      <c r="L106" s="207"/>
      <c r="M106" s="207"/>
    </row>
    <row r="107" spans="2:17">
      <c r="B107" t="s">
        <v>505</v>
      </c>
      <c r="C107" s="202"/>
      <c r="D107" s="202">
        <f t="shared" ref="D107:H108" si="72">D90</f>
        <v>16</v>
      </c>
      <c r="E107" s="202">
        <f t="shared" si="72"/>
        <v>16</v>
      </c>
      <c r="F107" s="202">
        <f t="shared" si="72"/>
        <v>16</v>
      </c>
      <c r="G107" s="202">
        <f t="shared" si="72"/>
        <v>16</v>
      </c>
      <c r="H107" s="202">
        <f t="shared" si="72"/>
        <v>16</v>
      </c>
      <c r="I107" s="203"/>
      <c r="J107" s="207"/>
      <c r="K107" s="207"/>
      <c r="L107" s="207"/>
      <c r="M107" s="207"/>
    </row>
    <row r="108" spans="2:17">
      <c r="B108" t="s">
        <v>506</v>
      </c>
      <c r="C108" s="202" t="e">
        <f>C106/C107</f>
        <v>#DIV/0!</v>
      </c>
      <c r="D108" s="202">
        <f t="shared" si="72"/>
        <v>36</v>
      </c>
      <c r="E108" s="202">
        <f t="shared" si="72"/>
        <v>37.152000000000001</v>
      </c>
      <c r="F108" s="202">
        <f t="shared" si="72"/>
        <v>38.600927999999996</v>
      </c>
      <c r="G108" s="202">
        <f t="shared" si="72"/>
        <v>39.95196047999999</v>
      </c>
      <c r="H108" s="202">
        <f t="shared" si="72"/>
        <v>41.350279096799987</v>
      </c>
      <c r="I108" s="203"/>
      <c r="J108" s="207"/>
      <c r="K108" s="207"/>
      <c r="L108" s="207"/>
      <c r="M108" s="207"/>
    </row>
    <row r="109" spans="2:17">
      <c r="B109" t="s">
        <v>508</v>
      </c>
      <c r="C109" s="202">
        <f>C105-C106</f>
        <v>0</v>
      </c>
      <c r="D109" s="202">
        <f>D92*5/12</f>
        <v>66.474999999999994</v>
      </c>
      <c r="E109" s="202">
        <f>E92</f>
        <v>131.76</v>
      </c>
      <c r="F109" s="202">
        <f>F92</f>
        <v>137.04</v>
      </c>
      <c r="G109" s="202">
        <f>G92</f>
        <v>141.84</v>
      </c>
      <c r="H109" s="202">
        <f>H92</f>
        <v>146.76</v>
      </c>
      <c r="I109" s="203"/>
      <c r="J109" s="207"/>
      <c r="K109" s="207"/>
      <c r="L109" s="207"/>
      <c r="M109" s="202">
        <v>65</v>
      </c>
      <c r="N109" s="202">
        <v>155</v>
      </c>
      <c r="O109" s="202">
        <v>161</v>
      </c>
      <c r="P109" s="202">
        <v>166</v>
      </c>
      <c r="Q109" s="202">
        <v>172</v>
      </c>
    </row>
    <row r="110" spans="2:17">
      <c r="B110" t="s">
        <v>509</v>
      </c>
      <c r="C110" s="202">
        <v>0</v>
      </c>
      <c r="D110" s="202">
        <v>0</v>
      </c>
      <c r="E110" s="202">
        <v>0</v>
      </c>
      <c r="F110" s="202">
        <v>0</v>
      </c>
      <c r="G110" s="202">
        <v>0</v>
      </c>
      <c r="H110" s="202">
        <v>0</v>
      </c>
      <c r="I110" s="203"/>
      <c r="J110" s="207"/>
      <c r="K110" s="207"/>
      <c r="L110" s="207"/>
      <c r="M110" s="202">
        <f>매출!G16</f>
        <v>1111</v>
      </c>
      <c r="N110" s="202">
        <f>매출!H16</f>
        <v>2525</v>
      </c>
      <c r="O110" s="202">
        <f>매출!I16</f>
        <v>2291</v>
      </c>
      <c r="P110" s="202">
        <f>매출!J16</f>
        <v>2372</v>
      </c>
      <c r="Q110" s="202">
        <f>매출!K16</f>
        <v>2455</v>
      </c>
    </row>
    <row r="111" spans="2:17">
      <c r="B111" t="s">
        <v>92</v>
      </c>
      <c r="C111" s="202"/>
      <c r="D111" s="202">
        <f>D106/12</f>
        <v>20.583333333333332</v>
      </c>
      <c r="E111" s="202">
        <f t="shared" ref="E111:H111" si="73">E106/12</f>
        <v>48.583333333333336</v>
      </c>
      <c r="F111" s="202">
        <f t="shared" si="73"/>
        <v>50.583333333333336</v>
      </c>
      <c r="G111" s="202">
        <f t="shared" si="73"/>
        <v>52.333333333333336</v>
      </c>
      <c r="H111" s="202">
        <f t="shared" si="73"/>
        <v>54.166666666666664</v>
      </c>
      <c r="I111" s="203"/>
      <c r="J111" s="207"/>
      <c r="K111" s="207"/>
      <c r="L111" s="207"/>
      <c r="M111" s="207">
        <f>M109/M110</f>
        <v>5.8505850585058507E-2</v>
      </c>
      <c r="N111" s="207">
        <f t="shared" ref="N111:Q111" si="74">N109/N110</f>
        <v>6.1386138613861385E-2</v>
      </c>
      <c r="O111" s="207">
        <f t="shared" si="74"/>
        <v>7.0274989087734607E-2</v>
      </c>
      <c r="P111" s="207">
        <f t="shared" si="74"/>
        <v>6.9983136593591899E-2</v>
      </c>
      <c r="Q111" s="207">
        <f t="shared" si="74"/>
        <v>7.0061099796334014E-2</v>
      </c>
    </row>
    <row r="112" spans="2:17">
      <c r="B112" t="s">
        <v>233</v>
      </c>
      <c r="C112" s="202"/>
      <c r="D112" s="202">
        <f>D106*D98</f>
        <v>4.5740740740740735</v>
      </c>
      <c r="E112" s="202">
        <f>E106*E98</f>
        <v>10.796296296296296</v>
      </c>
      <c r="F112" s="202">
        <f>F106*F98</f>
        <v>11.24074074074074</v>
      </c>
      <c r="G112" s="202">
        <f>G106*G98</f>
        <v>11.62962962962963</v>
      </c>
      <c r="H112" s="202">
        <f>H106*H98</f>
        <v>12.037037037037036</v>
      </c>
      <c r="I112" s="203"/>
      <c r="J112" s="207"/>
      <c r="K112" s="207"/>
      <c r="L112" s="207"/>
      <c r="M112" s="207"/>
    </row>
    <row r="113" spans="2:19">
      <c r="B113" t="s">
        <v>507</v>
      </c>
      <c r="C113" s="202">
        <f>C106+C109+C110+C111+C112</f>
        <v>0</v>
      </c>
      <c r="D113" s="202">
        <f t="shared" ref="D113" si="75">D106+D109+D110+D111+D112</f>
        <v>338.63240740740741</v>
      </c>
      <c r="E113" s="202">
        <f t="shared" ref="E113" si="76">E106+E109+E110+E111+E112</f>
        <v>774.13962962962967</v>
      </c>
      <c r="F113" s="202">
        <f t="shared" ref="F113" si="77">F106+F109+F110+F111+F112</f>
        <v>805.8640740740741</v>
      </c>
      <c r="G113" s="202">
        <f t="shared" ref="G113" si="78">G106+G109+G110+G111+G112</f>
        <v>833.80296296296308</v>
      </c>
      <c r="H113" s="202">
        <f t="shared" ref="H113" si="79">H106+H109+H110+H111+H112</f>
        <v>862.96370370370369</v>
      </c>
      <c r="I113" s="203"/>
      <c r="J113" s="207"/>
      <c r="K113" s="207"/>
      <c r="L113" s="207"/>
      <c r="M113" s="207"/>
    </row>
    <row r="116" spans="2:19">
      <c r="C116" t="s">
        <v>276</v>
      </c>
      <c r="D116" t="s">
        <v>242</v>
      </c>
    </row>
    <row r="117" spans="2:19">
      <c r="B117" t="s">
        <v>514</v>
      </c>
      <c r="C117" t="s">
        <v>111</v>
      </c>
      <c r="D117" t="s">
        <v>200</v>
      </c>
      <c r="E117" t="s">
        <v>148</v>
      </c>
      <c r="F117" t="s">
        <v>149</v>
      </c>
      <c r="G117" t="s">
        <v>150</v>
      </c>
      <c r="H117" t="s">
        <v>207</v>
      </c>
    </row>
    <row r="118" spans="2:19">
      <c r="B118" t="s">
        <v>232</v>
      </c>
      <c r="C118" s="202"/>
      <c r="D118" s="202">
        <f>D119+D122</f>
        <v>148.30000000000001</v>
      </c>
      <c r="E118" s="202">
        <f t="shared" ref="E118" si="80">E119+E122</f>
        <v>1647.9544000000001</v>
      </c>
      <c r="F118" s="202">
        <f t="shared" ref="F118" si="81">F119+F122</f>
        <v>1170.6959832</v>
      </c>
      <c r="G118" s="202">
        <f>G119+G122</f>
        <v>932.2975712399998</v>
      </c>
      <c r="H118" s="202">
        <f t="shared" ref="H118" si="82">H119+H122</f>
        <v>964.93098623339984</v>
      </c>
      <c r="I118" s="203"/>
      <c r="J118" s="207"/>
      <c r="K118" s="207"/>
      <c r="L118" s="207"/>
      <c r="M118" s="207"/>
    </row>
    <row r="119" spans="2:19">
      <c r="B119" t="s">
        <v>504</v>
      </c>
      <c r="C119" s="202"/>
      <c r="D119" s="202">
        <f>D120*D121</f>
        <v>108</v>
      </c>
      <c r="E119" s="202">
        <f t="shared" ref="E119:H119" si="83">E120*E121</f>
        <v>1162.7544</v>
      </c>
      <c r="F119" s="202">
        <f t="shared" si="83"/>
        <v>826.59598319999998</v>
      </c>
      <c r="G119" s="202">
        <f t="shared" si="83"/>
        <v>658.09757123999987</v>
      </c>
      <c r="H119" s="202">
        <f t="shared" si="83"/>
        <v>681.13098623339977</v>
      </c>
      <c r="I119" s="203"/>
      <c r="J119" s="207"/>
      <c r="K119" s="207"/>
      <c r="L119" s="207"/>
      <c r="M119" s="202"/>
      <c r="N119" s="202"/>
      <c r="O119" s="202"/>
      <c r="P119" s="202"/>
      <c r="Q119" s="202"/>
      <c r="R119" s="202"/>
      <c r="S119" s="202"/>
    </row>
    <row r="120" spans="2:19">
      <c r="B120" t="s">
        <v>505</v>
      </c>
      <c r="C120" s="202"/>
      <c r="D120" s="202">
        <f>ROUNDDOWN(매출!G17/240,)</f>
        <v>3</v>
      </c>
      <c r="E120" s="202">
        <f>ROUNDDOWN(매출!H17/240,)-2</f>
        <v>38</v>
      </c>
      <c r="F120" s="202">
        <f>ROUNDDOWN(매출!I17/240,)-2</f>
        <v>26</v>
      </c>
      <c r="G120" s="202">
        <f>ROUNDDOWN(매출!J17/240,)-2</f>
        <v>20</v>
      </c>
      <c r="H120" s="202">
        <f>ROUNDDOWN(매출!K17/240,)-3</f>
        <v>20</v>
      </c>
      <c r="I120" s="203"/>
      <c r="J120" s="207"/>
      <c r="K120" s="207"/>
      <c r="L120" s="202">
        <v>33</v>
      </c>
      <c r="M120" s="202">
        <v>484</v>
      </c>
      <c r="N120" s="202">
        <v>344</v>
      </c>
      <c r="O120" s="202">
        <v>274</v>
      </c>
      <c r="P120" s="202">
        <v>283</v>
      </c>
    </row>
    <row r="121" spans="2:19">
      <c r="B121" t="s">
        <v>506</v>
      </c>
      <c r="C121" s="202" t="e">
        <f>C119/C120</f>
        <v>#DIV/0!</v>
      </c>
      <c r="D121" s="202">
        <f>D91</f>
        <v>36</v>
      </c>
      <c r="E121" s="202">
        <f>E41</f>
        <v>30.598800000000001</v>
      </c>
      <c r="F121" s="202">
        <f t="shared" ref="F121:H121" si="84">F41</f>
        <v>31.792153199999998</v>
      </c>
      <c r="G121" s="202">
        <f t="shared" si="84"/>
        <v>32.904878561999993</v>
      </c>
      <c r="H121" s="202">
        <f t="shared" si="84"/>
        <v>34.05654931166999</v>
      </c>
      <c r="I121" s="203"/>
      <c r="J121" s="207"/>
      <c r="K121" s="207"/>
      <c r="L121" s="202">
        <f>매출!G17</f>
        <v>806</v>
      </c>
      <c r="M121" s="202">
        <f>매출!H17</f>
        <v>9704</v>
      </c>
      <c r="N121" s="202">
        <f>매출!I17</f>
        <v>6882</v>
      </c>
      <c r="O121" s="202">
        <f>매출!J17</f>
        <v>5484</v>
      </c>
      <c r="P121" s="202">
        <f>매출!K17</f>
        <v>5676</v>
      </c>
    </row>
    <row r="122" spans="2:19">
      <c r="B122" t="s">
        <v>508</v>
      </c>
      <c r="C122" s="202">
        <f>C118-C119</f>
        <v>0</v>
      </c>
      <c r="D122" s="202">
        <f>매출!G17*5%</f>
        <v>40.300000000000004</v>
      </c>
      <c r="E122" s="202">
        <f>매출!H17*5%</f>
        <v>485.20000000000005</v>
      </c>
      <c r="F122" s="202">
        <f>매출!I17*5%</f>
        <v>344.1</v>
      </c>
      <c r="G122" s="202">
        <f>매출!J17*5%</f>
        <v>274.2</v>
      </c>
      <c r="H122" s="202">
        <f>매출!K17*5%</f>
        <v>283.8</v>
      </c>
      <c r="I122" s="203" t="s">
        <v>822</v>
      </c>
      <c r="J122" s="207"/>
      <c r="K122" s="207"/>
      <c r="L122" s="207">
        <f>L120/L121</f>
        <v>4.0942928039702231E-2</v>
      </c>
      <c r="M122" s="207">
        <f>M120/M121</f>
        <v>4.9876339653751031E-2</v>
      </c>
      <c r="N122" s="207">
        <f>N120/N121</f>
        <v>4.998546934030805E-2</v>
      </c>
      <c r="O122" s="207">
        <f>O120/O121</f>
        <v>4.9963530269876003E-2</v>
      </c>
      <c r="P122" s="207">
        <f>P120/P121</f>
        <v>4.9859055673009162E-2</v>
      </c>
    </row>
    <row r="123" spans="2:19">
      <c r="B123" t="s">
        <v>509</v>
      </c>
      <c r="C123" s="202">
        <v>0</v>
      </c>
      <c r="D123" s="202">
        <f>D119*D97</f>
        <v>0.70260223048327142</v>
      </c>
      <c r="E123" s="202">
        <f>E119*E97</f>
        <v>7.5643873605947958</v>
      </c>
      <c r="F123" s="202">
        <f>F119*F97</f>
        <v>5.3774831620817842</v>
      </c>
      <c r="G123" s="202">
        <f>G119*G97</f>
        <v>4.2813039021189585</v>
      </c>
      <c r="H123" s="202">
        <f>H119*H97</f>
        <v>4.4311495386931226</v>
      </c>
      <c r="I123" s="203" t="s">
        <v>822</v>
      </c>
      <c r="J123" s="207"/>
      <c r="K123" s="207"/>
    </row>
    <row r="124" spans="2:19">
      <c r="B124" t="s">
        <v>92</v>
      </c>
      <c r="C124" s="202"/>
      <c r="D124" s="202">
        <f>D119/12</f>
        <v>9</v>
      </c>
      <c r="E124" s="202">
        <f t="shared" ref="E124:H124" si="85">E119/12</f>
        <v>96.896200000000007</v>
      </c>
      <c r="F124" s="202">
        <f t="shared" si="85"/>
        <v>68.882998599999993</v>
      </c>
      <c r="G124" s="202">
        <f t="shared" si="85"/>
        <v>54.841464269999989</v>
      </c>
      <c r="H124" s="202">
        <f t="shared" si="85"/>
        <v>56.760915519449981</v>
      </c>
      <c r="I124" s="203" t="s">
        <v>822</v>
      </c>
      <c r="J124" s="207"/>
      <c r="K124" s="207"/>
      <c r="L124" s="207"/>
      <c r="M124" s="207"/>
    </row>
    <row r="125" spans="2:19">
      <c r="B125" t="s">
        <v>233</v>
      </c>
      <c r="C125" s="202"/>
      <c r="D125" s="202">
        <f>D119*D98</f>
        <v>2</v>
      </c>
      <c r="E125" s="202">
        <f>E119*E98</f>
        <v>21.532488888888889</v>
      </c>
      <c r="F125" s="202">
        <f>F119*F98</f>
        <v>15.30733302222222</v>
      </c>
      <c r="G125" s="202">
        <f>G119*G98</f>
        <v>12.186992059999996</v>
      </c>
      <c r="H125" s="202">
        <f>H119*H98</f>
        <v>12.613536782099995</v>
      </c>
      <c r="I125" s="203"/>
      <c r="J125" s="207"/>
      <c r="K125" s="207"/>
      <c r="L125" s="207"/>
      <c r="M125" s="207"/>
    </row>
    <row r="126" spans="2:19">
      <c r="B126" t="s">
        <v>507</v>
      </c>
      <c r="C126" s="202">
        <f>C119+C122+C123+C124+C125</f>
        <v>0</v>
      </c>
      <c r="D126" s="202">
        <f t="shared" ref="D126" si="86">D119+D122+D123+D124+D125</f>
        <v>160.00260223048329</v>
      </c>
      <c r="E126" s="202">
        <f t="shared" ref="E126" si="87">E119+E122+E123+E124+E125</f>
        <v>1773.9474762494835</v>
      </c>
      <c r="F126" s="202">
        <f t="shared" ref="F126" si="88">F119+F122+F123+F124+F125</f>
        <v>1260.2637979843039</v>
      </c>
      <c r="G126" s="202">
        <f t="shared" ref="G126" si="89">G119+G122+G123+G124+G125</f>
        <v>1003.6073314721186</v>
      </c>
      <c r="H126" s="202">
        <f t="shared" ref="H126" si="90">H119+H122+H123+H124+H125</f>
        <v>1038.7365880736429</v>
      </c>
      <c r="I126" s="203"/>
      <c r="J126" s="207"/>
      <c r="K126" s="207"/>
      <c r="L126" s="207"/>
      <c r="M126" s="207"/>
    </row>
    <row r="129" spans="2:13">
      <c r="C129" t="s">
        <v>276</v>
      </c>
      <c r="D129" t="s">
        <v>242</v>
      </c>
    </row>
    <row r="130" spans="2:13">
      <c r="B130" t="s">
        <v>515</v>
      </c>
      <c r="C130" t="s">
        <v>111</v>
      </c>
      <c r="D130" t="s">
        <v>200</v>
      </c>
      <c r="E130" t="s">
        <v>148</v>
      </c>
      <c r="F130" t="s">
        <v>149</v>
      </c>
      <c r="G130" t="s">
        <v>150</v>
      </c>
      <c r="H130" t="s">
        <v>207</v>
      </c>
    </row>
    <row r="131" spans="2:13">
      <c r="B131" t="s">
        <v>232</v>
      </c>
      <c r="C131" s="202">
        <f>C132+C135</f>
        <v>0</v>
      </c>
      <c r="D131" s="202">
        <f>D132+D135</f>
        <v>0</v>
      </c>
      <c r="E131" s="202">
        <f t="shared" ref="E131" si="91">E132+E135</f>
        <v>458.33199999999999</v>
      </c>
      <c r="F131" s="202">
        <f t="shared" ref="F131" si="92">F132+F135</f>
        <v>793.31484799999998</v>
      </c>
      <c r="G131" s="202">
        <f>G132+G135</f>
        <v>804.01136767999992</v>
      </c>
      <c r="H131" s="202">
        <f t="shared" ref="H131" si="93">H132+H135</f>
        <v>832.12446554879978</v>
      </c>
      <c r="I131" s="203"/>
      <c r="J131" s="207"/>
      <c r="K131" s="207"/>
      <c r="L131" s="207"/>
      <c r="M131" s="207"/>
    </row>
    <row r="132" spans="2:13">
      <c r="B132" t="s">
        <v>504</v>
      </c>
      <c r="C132" s="202"/>
      <c r="D132" s="202"/>
      <c r="E132" s="202">
        <f>E133*E134*7/12</f>
        <v>346.75200000000001</v>
      </c>
      <c r="F132" s="202">
        <f t="shared" ref="F132:H132" si="94">F133*F134</f>
        <v>617.61484799999994</v>
      </c>
      <c r="G132" s="202">
        <f t="shared" si="94"/>
        <v>639.23136767999983</v>
      </c>
      <c r="H132" s="202">
        <f t="shared" si="94"/>
        <v>661.60446554879979</v>
      </c>
      <c r="I132" s="203"/>
      <c r="J132" s="207"/>
      <c r="K132" s="207"/>
      <c r="L132" s="207"/>
      <c r="M132" s="207"/>
    </row>
    <row r="133" spans="2:13">
      <c r="B133" t="s">
        <v>505</v>
      </c>
      <c r="C133" s="202"/>
      <c r="D133" s="202"/>
      <c r="E133" s="202">
        <f t="shared" ref="E133:H134" si="95">E90</f>
        <v>16</v>
      </c>
      <c r="F133" s="202">
        <f t="shared" si="95"/>
        <v>16</v>
      </c>
      <c r="G133" s="202">
        <f t="shared" si="95"/>
        <v>16</v>
      </c>
      <c r="H133" s="202">
        <f t="shared" si="95"/>
        <v>16</v>
      </c>
      <c r="I133" s="203"/>
      <c r="J133" s="207"/>
      <c r="K133" s="207"/>
      <c r="L133" s="207"/>
      <c r="M133" s="207"/>
    </row>
    <row r="134" spans="2:13">
      <c r="B134" t="s">
        <v>506</v>
      </c>
      <c r="C134" s="202" t="e">
        <f>C132/C133</f>
        <v>#DIV/0!</v>
      </c>
      <c r="D134" s="202" t="e">
        <f t="shared" ref="D134" si="96">D132/D133</f>
        <v>#DIV/0!</v>
      </c>
      <c r="E134" s="202">
        <f t="shared" si="95"/>
        <v>37.152000000000001</v>
      </c>
      <c r="F134" s="202">
        <f t="shared" si="95"/>
        <v>38.600927999999996</v>
      </c>
      <c r="G134" s="202">
        <f t="shared" si="95"/>
        <v>39.95196047999999</v>
      </c>
      <c r="H134" s="202">
        <f t="shared" si="95"/>
        <v>41.350279096799987</v>
      </c>
      <c r="I134" s="203"/>
      <c r="J134" s="207"/>
      <c r="K134" s="207"/>
      <c r="L134" s="207"/>
      <c r="M134" s="207"/>
    </row>
    <row r="135" spans="2:13">
      <c r="B135" t="s">
        <v>508</v>
      </c>
      <c r="C135" s="202"/>
      <c r="D135" s="202"/>
      <c r="E135" s="202">
        <f>매출!H18*7%</f>
        <v>111.58000000000001</v>
      </c>
      <c r="F135" s="202">
        <f>매출!I18*7%</f>
        <v>175.70000000000002</v>
      </c>
      <c r="G135" s="202">
        <f>매출!J18*7%</f>
        <v>164.78000000000003</v>
      </c>
      <c r="H135" s="202">
        <f>매출!K18*7%</f>
        <v>170.52</v>
      </c>
      <c r="I135" s="203"/>
      <c r="J135" s="207"/>
      <c r="K135" s="207"/>
      <c r="L135" s="207"/>
      <c r="M135" s="207"/>
    </row>
    <row r="136" spans="2:13">
      <c r="B136" t="s">
        <v>509</v>
      </c>
      <c r="C136" s="202"/>
      <c r="D136" s="202"/>
      <c r="E136" s="202">
        <f>E132*E97</f>
        <v>2.2558215613382901</v>
      </c>
      <c r="F136" s="202">
        <f>F132*F97</f>
        <v>4.0179404609665426</v>
      </c>
      <c r="G136" s="202">
        <f>G132*G97</f>
        <v>4.1585683771003712</v>
      </c>
      <c r="H136" s="202">
        <f>H132*H97</f>
        <v>4.3041182702988845</v>
      </c>
      <c r="I136" s="203"/>
      <c r="J136" s="207"/>
      <c r="K136" s="207"/>
      <c r="L136" s="207"/>
      <c r="M136" s="207"/>
    </row>
    <row r="137" spans="2:13">
      <c r="B137" t="s">
        <v>92</v>
      </c>
      <c r="C137" s="202"/>
      <c r="D137" s="202"/>
      <c r="E137" s="202">
        <f>E132/12</f>
        <v>28.896000000000001</v>
      </c>
      <c r="F137" s="202">
        <f t="shared" ref="F137:H137" si="97">F132/12</f>
        <v>51.467903999999997</v>
      </c>
      <c r="G137" s="202">
        <f t="shared" si="97"/>
        <v>53.269280639999984</v>
      </c>
      <c r="H137" s="202">
        <f t="shared" si="97"/>
        <v>55.13370546239998</v>
      </c>
      <c r="I137" s="203"/>
      <c r="J137" s="207"/>
      <c r="K137" s="207"/>
      <c r="L137" s="207"/>
      <c r="M137" s="207"/>
    </row>
    <row r="138" spans="2:13">
      <c r="B138" t="s">
        <v>233</v>
      </c>
      <c r="C138" s="202"/>
      <c r="D138" s="202"/>
      <c r="E138" s="202">
        <f>E132*E98</f>
        <v>6.4213333333333331</v>
      </c>
      <c r="F138" s="202">
        <f t="shared" ref="F138:H138" si="98">F132*F98</f>
        <v>11.437311999999999</v>
      </c>
      <c r="G138" s="202">
        <f t="shared" si="98"/>
        <v>11.837617919999996</v>
      </c>
      <c r="H138" s="202">
        <f t="shared" si="98"/>
        <v>12.251934547199996</v>
      </c>
      <c r="I138" s="203"/>
      <c r="J138" s="207"/>
      <c r="K138" s="207"/>
      <c r="L138" s="207"/>
      <c r="M138" s="207"/>
    </row>
    <row r="139" spans="2:13">
      <c r="B139" t="s">
        <v>507</v>
      </c>
      <c r="C139" s="202">
        <f>C132+C135+C136+C137+C138</f>
        <v>0</v>
      </c>
      <c r="D139" s="202">
        <f t="shared" ref="D139" si="99">D132+D135+D136+D137+D138</f>
        <v>0</v>
      </c>
      <c r="E139" s="202">
        <f t="shared" ref="E139" si="100">E132+E135+E136+E137+E138</f>
        <v>495.90515489467163</v>
      </c>
      <c r="F139" s="202">
        <f t="shared" ref="F139" si="101">F132+F135+F136+F137+F138</f>
        <v>860.23800446096652</v>
      </c>
      <c r="G139" s="202">
        <f t="shared" ref="G139" si="102">G132+G135+G136+G137+G138</f>
        <v>873.27683461710023</v>
      </c>
      <c r="H139" s="202">
        <f t="shared" ref="H139" si="103">H132+H135+H136+H137+H138</f>
        <v>903.81422382869869</v>
      </c>
      <c r="I139" s="203"/>
      <c r="J139" s="207"/>
      <c r="K139" s="207"/>
      <c r="L139" s="207"/>
      <c r="M139" s="207"/>
    </row>
    <row r="141" spans="2:13">
      <c r="C141" t="s">
        <v>276</v>
      </c>
      <c r="D141" t="s">
        <v>242</v>
      </c>
    </row>
    <row r="142" spans="2:13">
      <c r="B142" t="s">
        <v>516</v>
      </c>
      <c r="C142" t="s">
        <v>111</v>
      </c>
      <c r="D142" t="s">
        <v>200</v>
      </c>
      <c r="E142" t="s">
        <v>148</v>
      </c>
      <c r="F142" t="s">
        <v>149</v>
      </c>
      <c r="G142" t="s">
        <v>150</v>
      </c>
      <c r="H142" t="s">
        <v>207</v>
      </c>
    </row>
    <row r="143" spans="2:13">
      <c r="B143" t="s">
        <v>232</v>
      </c>
      <c r="C143" s="202"/>
      <c r="D143" s="202"/>
      <c r="E143" s="202">
        <f t="shared" ref="E143" si="104">E144+E147</f>
        <v>65.496000000000009</v>
      </c>
      <c r="F143" s="202">
        <f t="shared" ref="F143" si="105">F144+F147</f>
        <v>813.12484799999993</v>
      </c>
      <c r="G143" s="202">
        <f>G144+G147</f>
        <v>804.01136767999992</v>
      </c>
      <c r="H143" s="202">
        <f t="shared" ref="H143" si="106">H144+H147</f>
        <v>832.12446554879978</v>
      </c>
      <c r="I143" s="203"/>
      <c r="J143" s="207"/>
      <c r="K143" s="207"/>
      <c r="L143" s="207"/>
      <c r="M143" s="207"/>
    </row>
    <row r="144" spans="2:13">
      <c r="B144" t="s">
        <v>504</v>
      </c>
      <c r="C144" s="202"/>
      <c r="D144" s="202"/>
      <c r="E144" s="202">
        <f>E145*E146/12</f>
        <v>49.536000000000001</v>
      </c>
      <c r="F144" s="202">
        <f t="shared" ref="F144:H144" si="107">F145*F146</f>
        <v>617.61484799999994</v>
      </c>
      <c r="G144" s="202">
        <f t="shared" si="107"/>
        <v>639.23136767999983</v>
      </c>
      <c r="H144" s="202">
        <f t="shared" si="107"/>
        <v>661.60446554879979</v>
      </c>
      <c r="I144" s="203"/>
      <c r="J144" s="207"/>
      <c r="K144" s="207"/>
      <c r="L144" s="207"/>
      <c r="M144" s="207"/>
    </row>
    <row r="145" spans="2:13">
      <c r="B145" t="s">
        <v>505</v>
      </c>
      <c r="C145" s="202"/>
      <c r="D145" s="202"/>
      <c r="E145" s="202">
        <f t="shared" ref="E145:H146" si="108">E90</f>
        <v>16</v>
      </c>
      <c r="F145" s="202">
        <f t="shared" si="108"/>
        <v>16</v>
      </c>
      <c r="G145" s="202">
        <f t="shared" si="108"/>
        <v>16</v>
      </c>
      <c r="H145" s="202">
        <f t="shared" si="108"/>
        <v>16</v>
      </c>
      <c r="I145" s="203"/>
      <c r="J145" s="207"/>
      <c r="K145" s="207"/>
      <c r="L145" s="207"/>
      <c r="M145" s="207"/>
    </row>
    <row r="146" spans="2:13">
      <c r="B146" t="s">
        <v>506</v>
      </c>
      <c r="C146" s="202"/>
      <c r="D146" s="202"/>
      <c r="E146" s="202">
        <f t="shared" si="108"/>
        <v>37.152000000000001</v>
      </c>
      <c r="F146" s="202">
        <f t="shared" si="108"/>
        <v>38.600927999999996</v>
      </c>
      <c r="G146" s="202">
        <f t="shared" si="108"/>
        <v>39.95196047999999</v>
      </c>
      <c r="H146" s="202">
        <f t="shared" si="108"/>
        <v>41.350279096799987</v>
      </c>
      <c r="I146" s="203"/>
      <c r="J146" s="207"/>
      <c r="K146" s="207"/>
      <c r="L146" s="207"/>
      <c r="M146" s="207"/>
    </row>
    <row r="147" spans="2:13">
      <c r="B147" t="s">
        <v>508</v>
      </c>
      <c r="C147" s="202">
        <f>C143-C144</f>
        <v>0</v>
      </c>
      <c r="D147" s="202">
        <f t="shared" ref="D147" si="109">D143-D144</f>
        <v>0</v>
      </c>
      <c r="E147" s="202">
        <f>매출!H19*7%</f>
        <v>15.96</v>
      </c>
      <c r="F147" s="202">
        <f>매출!I19*7%</f>
        <v>195.51000000000002</v>
      </c>
      <c r="G147" s="202">
        <f>매출!J19*7%</f>
        <v>164.78000000000003</v>
      </c>
      <c r="H147" s="202">
        <f>매출!K19*7%</f>
        <v>170.52</v>
      </c>
      <c r="I147" s="203"/>
      <c r="J147" s="207"/>
      <c r="K147" s="207"/>
      <c r="L147" s="207"/>
      <c r="M147" s="207"/>
    </row>
    <row r="148" spans="2:13">
      <c r="B148" t="s">
        <v>509</v>
      </c>
      <c r="C148" s="202"/>
      <c r="D148" s="202"/>
      <c r="E148" s="202">
        <v>0</v>
      </c>
      <c r="F148" s="202">
        <v>0</v>
      </c>
      <c r="G148" s="202">
        <v>0</v>
      </c>
      <c r="H148" s="202">
        <v>0</v>
      </c>
      <c r="I148" s="203"/>
      <c r="J148" s="207"/>
      <c r="K148" s="207"/>
      <c r="L148" s="207"/>
      <c r="M148" s="207"/>
    </row>
    <row r="149" spans="2:13">
      <c r="B149" t="s">
        <v>92</v>
      </c>
      <c r="C149" s="202"/>
      <c r="D149" s="202"/>
      <c r="E149" s="202">
        <f>E144/12</f>
        <v>4.1280000000000001</v>
      </c>
      <c r="F149" s="202">
        <f t="shared" ref="F149:H149" si="110">F144/12</f>
        <v>51.467903999999997</v>
      </c>
      <c r="G149" s="202">
        <f t="shared" si="110"/>
        <v>53.269280639999984</v>
      </c>
      <c r="H149" s="202">
        <f t="shared" si="110"/>
        <v>55.13370546239998</v>
      </c>
      <c r="I149" s="203"/>
      <c r="J149" s="207"/>
      <c r="K149" s="207"/>
      <c r="L149" s="207"/>
      <c r="M149" s="207"/>
    </row>
    <row r="150" spans="2:13">
      <c r="B150" t="s">
        <v>233</v>
      </c>
      <c r="C150" s="202"/>
      <c r="D150" s="202"/>
      <c r="E150" s="202">
        <f>E144*E98</f>
        <v>0.91733333333333333</v>
      </c>
      <c r="F150" s="202">
        <f t="shared" ref="F150:H150" si="111">F144*F98</f>
        <v>11.437311999999999</v>
      </c>
      <c r="G150" s="202">
        <f t="shared" si="111"/>
        <v>11.837617919999996</v>
      </c>
      <c r="H150" s="202">
        <f t="shared" si="111"/>
        <v>12.251934547199996</v>
      </c>
      <c r="I150" s="203"/>
      <c r="J150" s="207"/>
      <c r="K150" s="207"/>
      <c r="L150" s="207"/>
      <c r="M150" s="207"/>
    </row>
    <row r="151" spans="2:13">
      <c r="B151" t="s">
        <v>507</v>
      </c>
      <c r="C151" s="202">
        <f>C144+C147+C148+C149+C150</f>
        <v>0</v>
      </c>
      <c r="D151" s="202">
        <f t="shared" ref="D151" si="112">D144+D147+D148+D149+D150</f>
        <v>0</v>
      </c>
      <c r="E151" s="202">
        <f t="shared" ref="E151" si="113">E144+E147+E148+E149+E150</f>
        <v>70.541333333333341</v>
      </c>
      <c r="F151" s="202">
        <f t="shared" ref="F151" si="114">F144+F147+F148+F149+F150</f>
        <v>876.03006399999992</v>
      </c>
      <c r="G151" s="202">
        <f t="shared" ref="G151" si="115">G144+G147+G148+G149+G150</f>
        <v>869.11826623999991</v>
      </c>
      <c r="H151" s="202">
        <f t="shared" ref="H151" si="116">H144+H147+H148+H149+H150</f>
        <v>899.5101055583998</v>
      </c>
      <c r="I151" s="203"/>
      <c r="J151" s="207"/>
      <c r="K151" s="207"/>
      <c r="L151" s="207"/>
      <c r="M151" s="207"/>
    </row>
    <row r="153" spans="2:13">
      <c r="C153" t="s">
        <v>276</v>
      </c>
      <c r="D153" t="s">
        <v>242</v>
      </c>
    </row>
    <row r="154" spans="2:13">
      <c r="B154" t="s">
        <v>517</v>
      </c>
      <c r="C154" t="s">
        <v>111</v>
      </c>
      <c r="D154" t="s">
        <v>200</v>
      </c>
      <c r="E154" t="s">
        <v>148</v>
      </c>
      <c r="F154" t="s">
        <v>149</v>
      </c>
      <c r="G154" t="s">
        <v>150</v>
      </c>
      <c r="H154" t="s">
        <v>207</v>
      </c>
    </row>
    <row r="155" spans="2:13">
      <c r="B155" t="s">
        <v>232</v>
      </c>
      <c r="C155" s="202"/>
      <c r="D155" s="202"/>
      <c r="E155" s="202"/>
      <c r="F155" s="202">
        <f t="shared" ref="F155" si="117">F156+F159</f>
        <v>476.40532799999994</v>
      </c>
      <c r="G155" s="202">
        <f t="shared" ref="G155" si="118">G156+G159</f>
        <v>821.44136767999987</v>
      </c>
      <c r="H155" s="202">
        <f t="shared" ref="H155" si="119">H156+H159</f>
        <v>832.54446554879985</v>
      </c>
      <c r="I155" s="203"/>
      <c r="J155" s="207"/>
      <c r="K155" s="207"/>
      <c r="L155" s="207"/>
      <c r="M155" s="207"/>
    </row>
    <row r="156" spans="2:13">
      <c r="B156" t="s">
        <v>504</v>
      </c>
      <c r="C156" s="202"/>
      <c r="D156" s="202"/>
      <c r="E156" s="202"/>
      <c r="F156" s="202">
        <f>F157*F158*7/12</f>
        <v>360.27532799999994</v>
      </c>
      <c r="G156" s="202">
        <f t="shared" ref="G156:H156" si="120">G157*G158</f>
        <v>639.23136767999983</v>
      </c>
      <c r="H156" s="202">
        <f t="shared" si="120"/>
        <v>661.60446554879979</v>
      </c>
      <c r="I156" s="203"/>
      <c r="J156" s="207"/>
      <c r="K156" s="207"/>
      <c r="L156" s="207"/>
      <c r="M156" s="207"/>
    </row>
    <row r="157" spans="2:13">
      <c r="B157" t="s">
        <v>505</v>
      </c>
      <c r="C157" s="202"/>
      <c r="D157" s="202"/>
      <c r="E157" s="202"/>
      <c r="F157" s="202">
        <f t="shared" ref="F157:H158" si="121">F90</f>
        <v>16</v>
      </c>
      <c r="G157" s="202">
        <f t="shared" si="121"/>
        <v>16</v>
      </c>
      <c r="H157" s="202">
        <f t="shared" si="121"/>
        <v>16</v>
      </c>
      <c r="I157" s="203"/>
      <c r="J157" s="207"/>
      <c r="K157" s="207"/>
      <c r="L157" s="207"/>
      <c r="M157" s="207"/>
    </row>
    <row r="158" spans="2:13">
      <c r="B158" t="s">
        <v>506</v>
      </c>
      <c r="C158" s="202"/>
      <c r="D158" s="202"/>
      <c r="E158" s="202"/>
      <c r="F158" s="202">
        <f t="shared" si="121"/>
        <v>38.600927999999996</v>
      </c>
      <c r="G158" s="202">
        <f t="shared" si="121"/>
        <v>39.95196047999999</v>
      </c>
      <c r="H158" s="202">
        <f t="shared" si="121"/>
        <v>41.350279096799987</v>
      </c>
      <c r="I158" s="203"/>
      <c r="J158" s="207"/>
      <c r="K158" s="207"/>
      <c r="L158" s="207"/>
      <c r="M158" s="207"/>
    </row>
    <row r="159" spans="2:13">
      <c r="B159" t="s">
        <v>508</v>
      </c>
      <c r="C159" s="202"/>
      <c r="D159" s="202"/>
      <c r="E159" s="202"/>
      <c r="F159" s="202">
        <f>매출!I20*7%</f>
        <v>116.13000000000001</v>
      </c>
      <c r="G159" s="202">
        <f>매출!J20*7%</f>
        <v>182.21</v>
      </c>
      <c r="H159" s="202">
        <f>매출!K20*7%</f>
        <v>170.94000000000003</v>
      </c>
      <c r="I159" s="203"/>
      <c r="J159" s="207"/>
      <c r="K159" s="207"/>
      <c r="L159" s="207"/>
      <c r="M159" s="207"/>
    </row>
    <row r="160" spans="2:13">
      <c r="B160" t="s">
        <v>509</v>
      </c>
      <c r="C160" s="202"/>
      <c r="D160" s="202"/>
      <c r="E160" s="202"/>
      <c r="F160" s="202"/>
      <c r="G160" s="202"/>
      <c r="H160" s="202"/>
      <c r="I160" s="203"/>
      <c r="J160" s="207"/>
      <c r="K160" s="207"/>
      <c r="L160" s="207"/>
      <c r="M160" s="207"/>
    </row>
    <row r="161" spans="2:13">
      <c r="B161" t="s">
        <v>92</v>
      </c>
      <c r="C161" s="202"/>
      <c r="D161" s="202"/>
      <c r="E161" s="202"/>
      <c r="F161" s="202">
        <f>F156/12</f>
        <v>30.022943999999995</v>
      </c>
      <c r="G161" s="202">
        <f t="shared" ref="G161:H161" si="122">G156/12</f>
        <v>53.269280639999984</v>
      </c>
      <c r="H161" s="202">
        <f t="shared" si="122"/>
        <v>55.13370546239998</v>
      </c>
      <c r="I161" s="203"/>
      <c r="J161" s="207"/>
      <c r="K161" s="207"/>
      <c r="L161" s="207"/>
      <c r="M161" s="207"/>
    </row>
    <row r="162" spans="2:13">
      <c r="B162" t="s">
        <v>233</v>
      </c>
      <c r="C162" s="202"/>
      <c r="D162" s="202"/>
      <c r="E162" s="202"/>
      <c r="F162" s="202">
        <f>F156*F98</f>
        <v>6.6717653333333322</v>
      </c>
      <c r="G162" s="202">
        <f t="shared" ref="G162:H162" si="123">G156*G98</f>
        <v>11.837617919999996</v>
      </c>
      <c r="H162" s="202">
        <f t="shared" si="123"/>
        <v>12.251934547199996</v>
      </c>
      <c r="I162" s="203"/>
      <c r="J162" s="207"/>
      <c r="K162" s="207"/>
      <c r="L162" s="207"/>
      <c r="M162" s="207"/>
    </row>
    <row r="163" spans="2:13">
      <c r="B163" t="s">
        <v>507</v>
      </c>
      <c r="C163" s="202">
        <f>C156+C159+C160+C161+C162</f>
        <v>0</v>
      </c>
      <c r="D163" s="202">
        <f t="shared" ref="D163" si="124">D156+D159+D160+D161+D162</f>
        <v>0</v>
      </c>
      <c r="E163" s="202">
        <f t="shared" ref="E163" si="125">E156+E159+E160+E161+E162</f>
        <v>0</v>
      </c>
      <c r="F163" s="202">
        <f t="shared" ref="F163" si="126">F156+F159+F160+F161+F162</f>
        <v>513.10003733333326</v>
      </c>
      <c r="G163" s="202">
        <f t="shared" ref="G163" si="127">G156+G159+G160+G161+G162</f>
        <v>886.54826623999986</v>
      </c>
      <c r="H163" s="202">
        <f t="shared" ref="H163" si="128">H156+H159+H160+H161+H162</f>
        <v>899.93010555839987</v>
      </c>
      <c r="I163" s="203"/>
      <c r="J163" s="207"/>
      <c r="K163" s="207"/>
      <c r="L163" s="207"/>
      <c r="M163" s="207"/>
    </row>
    <row r="165" spans="2:13">
      <c r="C165" t="s">
        <v>276</v>
      </c>
      <c r="D165" t="s">
        <v>242</v>
      </c>
    </row>
    <row r="166" spans="2:13">
      <c r="B166" t="s">
        <v>518</v>
      </c>
      <c r="C166" t="s">
        <v>111</v>
      </c>
      <c r="D166" t="s">
        <v>200</v>
      </c>
      <c r="E166" t="s">
        <v>148</v>
      </c>
      <c r="F166" t="s">
        <v>149</v>
      </c>
      <c r="G166" t="s">
        <v>150</v>
      </c>
      <c r="H166" t="s">
        <v>207</v>
      </c>
    </row>
    <row r="167" spans="2:13">
      <c r="B167" t="s">
        <v>232</v>
      </c>
      <c r="C167" s="202"/>
      <c r="D167" s="202"/>
      <c r="E167" s="202"/>
      <c r="F167" s="202">
        <f t="shared" ref="F167" si="129">F168+F171</f>
        <v>68.057903999999994</v>
      </c>
      <c r="G167" s="202">
        <f t="shared" ref="G167" si="130">G168+G171</f>
        <v>841.88136767999981</v>
      </c>
      <c r="H167" s="202">
        <f t="shared" ref="H167" si="131">H168+H171</f>
        <v>832.54446554879985</v>
      </c>
      <c r="I167" s="203"/>
      <c r="J167" s="207"/>
      <c r="K167" s="207"/>
      <c r="L167" s="207"/>
      <c r="M167" s="207"/>
    </row>
    <row r="168" spans="2:13">
      <c r="B168" t="s">
        <v>504</v>
      </c>
      <c r="C168" s="202"/>
      <c r="D168" s="202"/>
      <c r="E168" s="202"/>
      <c r="F168" s="202">
        <f>F169*F170/12</f>
        <v>51.467903999999997</v>
      </c>
      <c r="G168" s="202">
        <f t="shared" ref="G168:H168" si="132">G169*G170</f>
        <v>639.23136767999983</v>
      </c>
      <c r="H168" s="202">
        <f t="shared" si="132"/>
        <v>661.60446554879979</v>
      </c>
      <c r="I168" s="203"/>
      <c r="J168" s="207"/>
      <c r="K168" s="207"/>
      <c r="L168" s="207"/>
      <c r="M168" s="207"/>
    </row>
    <row r="169" spans="2:13">
      <c r="B169" t="s">
        <v>505</v>
      </c>
      <c r="C169" s="202"/>
      <c r="D169" s="202"/>
      <c r="E169" s="202"/>
      <c r="F169" s="202">
        <f t="shared" ref="F169:H170" si="133">F90</f>
        <v>16</v>
      </c>
      <c r="G169" s="202">
        <f t="shared" si="133"/>
        <v>16</v>
      </c>
      <c r="H169" s="202">
        <f t="shared" si="133"/>
        <v>16</v>
      </c>
      <c r="I169" s="203"/>
      <c r="J169" s="207"/>
      <c r="K169" s="207"/>
      <c r="L169" s="207"/>
      <c r="M169" s="207"/>
    </row>
    <row r="170" spans="2:13">
      <c r="B170" t="s">
        <v>506</v>
      </c>
      <c r="C170" s="202" t="e">
        <f>C168/C169</f>
        <v>#DIV/0!</v>
      </c>
      <c r="D170" s="202" t="e">
        <f t="shared" ref="D170" si="134">D168/D169</f>
        <v>#DIV/0!</v>
      </c>
      <c r="E170" s="202" t="e">
        <f t="shared" ref="E170" si="135">E168/E169</f>
        <v>#DIV/0!</v>
      </c>
      <c r="F170" s="202">
        <f t="shared" si="133"/>
        <v>38.600927999999996</v>
      </c>
      <c r="G170" s="202">
        <f t="shared" si="133"/>
        <v>39.95196047999999</v>
      </c>
      <c r="H170" s="202">
        <f t="shared" si="133"/>
        <v>41.350279096799987</v>
      </c>
      <c r="I170" s="203"/>
      <c r="J170" s="207"/>
      <c r="K170" s="207"/>
      <c r="L170" s="207"/>
      <c r="M170" s="207"/>
    </row>
    <row r="171" spans="2:13">
      <c r="B171" t="s">
        <v>508</v>
      </c>
      <c r="C171" s="202">
        <f>C167-C168</f>
        <v>0</v>
      </c>
      <c r="D171" s="202">
        <f t="shared" ref="D171:E171" si="136">D167-D168</f>
        <v>0</v>
      </c>
      <c r="E171" s="202">
        <f t="shared" si="136"/>
        <v>0</v>
      </c>
      <c r="F171" s="202">
        <f>매출!I21*7%</f>
        <v>16.59</v>
      </c>
      <c r="G171" s="202">
        <f>매출!J21*7%</f>
        <v>202.65</v>
      </c>
      <c r="H171" s="202">
        <f>매출!K21*7%</f>
        <v>170.94000000000003</v>
      </c>
      <c r="I171" s="203"/>
      <c r="J171" s="207"/>
      <c r="K171" s="207"/>
      <c r="L171" s="207"/>
      <c r="M171" s="207"/>
    </row>
    <row r="172" spans="2:13">
      <c r="B172" t="s">
        <v>509</v>
      </c>
      <c r="C172" s="202"/>
      <c r="D172" s="202"/>
      <c r="E172" s="202">
        <v>0</v>
      </c>
      <c r="F172" s="202"/>
      <c r="G172" s="202"/>
      <c r="H172" s="202"/>
      <c r="I172" s="203"/>
      <c r="J172" s="207"/>
      <c r="K172" s="207"/>
      <c r="L172" s="207"/>
      <c r="M172" s="207"/>
    </row>
    <row r="173" spans="2:13">
      <c r="B173" t="s">
        <v>92</v>
      </c>
      <c r="C173" s="202"/>
      <c r="D173" s="202"/>
      <c r="E173" s="202"/>
      <c r="F173" s="202">
        <f>F168/12</f>
        <v>4.2889919999999995</v>
      </c>
      <c r="G173" s="202">
        <f t="shared" ref="G173:H173" si="137">G168/12</f>
        <v>53.269280639999984</v>
      </c>
      <c r="H173" s="202">
        <f t="shared" si="137"/>
        <v>55.13370546239998</v>
      </c>
      <c r="I173" s="203"/>
      <c r="J173" s="207"/>
      <c r="K173" s="207"/>
      <c r="L173" s="207"/>
      <c r="M173" s="207"/>
    </row>
    <row r="174" spans="2:13">
      <c r="B174" t="s">
        <v>233</v>
      </c>
      <c r="C174" s="202"/>
      <c r="D174" s="202"/>
      <c r="E174" s="202"/>
      <c r="F174" s="202">
        <f>F168*F98</f>
        <v>0.95310933333333325</v>
      </c>
      <c r="G174" s="202">
        <f t="shared" ref="G174:H174" si="138">G168*G98</f>
        <v>11.837617919999996</v>
      </c>
      <c r="H174" s="202">
        <f t="shared" si="138"/>
        <v>12.251934547199996</v>
      </c>
      <c r="I174" s="203"/>
      <c r="J174" s="207"/>
      <c r="K174" s="207"/>
      <c r="L174" s="207"/>
      <c r="M174" s="207"/>
    </row>
    <row r="175" spans="2:13">
      <c r="B175" t="s">
        <v>507</v>
      </c>
      <c r="C175" s="202">
        <f>C168+C171+C172+C173+C174</f>
        <v>0</v>
      </c>
      <c r="D175" s="202">
        <f t="shared" ref="D175" si="139">D168+D171+D172+D173+D174</f>
        <v>0</v>
      </c>
      <c r="E175" s="202">
        <f t="shared" ref="E175" si="140">E168+E171+E172+E173+E174</f>
        <v>0</v>
      </c>
      <c r="F175" s="202">
        <f t="shared" ref="F175" si="141">F168+F171+F172+F173+F174</f>
        <v>73.300005333333317</v>
      </c>
      <c r="G175" s="202">
        <f t="shared" ref="G175" si="142">G168+G171+G172+G173+G174</f>
        <v>906.9882662399998</v>
      </c>
      <c r="H175" s="202">
        <f t="shared" ref="H175" si="143">H168+H171+H172+H173+H174</f>
        <v>899.93010555839987</v>
      </c>
      <c r="I175" s="203"/>
      <c r="J175" s="207"/>
      <c r="K175" s="207"/>
      <c r="L175" s="207"/>
      <c r="M175" s="207"/>
    </row>
    <row r="178" spans="2:13">
      <c r="C178" t="s">
        <v>276</v>
      </c>
      <c r="D178" t="s">
        <v>242</v>
      </c>
    </row>
    <row r="179" spans="2:13">
      <c r="B179" t="s">
        <v>519</v>
      </c>
      <c r="C179" t="s">
        <v>111</v>
      </c>
      <c r="D179" t="s">
        <v>200</v>
      </c>
      <c r="E179" t="s">
        <v>148</v>
      </c>
      <c r="F179" t="s">
        <v>149</v>
      </c>
      <c r="G179" t="s">
        <v>150</v>
      </c>
      <c r="H179" t="s">
        <v>207</v>
      </c>
    </row>
    <row r="180" spans="2:13">
      <c r="B180" t="s">
        <v>232</v>
      </c>
      <c r="C180" s="202"/>
      <c r="D180" s="202"/>
      <c r="E180" s="202"/>
      <c r="F180" s="202"/>
      <c r="G180" s="202">
        <f t="shared" ref="G180" si="144">G181+G184</f>
        <v>439.73568383999992</v>
      </c>
      <c r="H180" s="202">
        <f t="shared" ref="H180" si="145">H181+H184</f>
        <v>849.9744655487998</v>
      </c>
      <c r="I180" s="203"/>
      <c r="J180" s="207"/>
      <c r="K180" s="207"/>
      <c r="L180" s="207"/>
      <c r="M180" s="207"/>
    </row>
    <row r="181" spans="2:13">
      <c r="B181" t="s">
        <v>504</v>
      </c>
      <c r="C181" s="202"/>
      <c r="D181" s="202"/>
      <c r="E181" s="202"/>
      <c r="F181" s="202"/>
      <c r="G181" s="202">
        <f>G182*G183/2</f>
        <v>319.61568383999992</v>
      </c>
      <c r="H181" s="202">
        <f>H182*H183</f>
        <v>661.60446554879979</v>
      </c>
      <c r="I181" s="203"/>
      <c r="J181" s="207"/>
      <c r="K181" s="207"/>
      <c r="L181" s="207"/>
      <c r="M181" s="207"/>
    </row>
    <row r="182" spans="2:13">
      <c r="B182" t="s">
        <v>505</v>
      </c>
      <c r="C182" s="202"/>
      <c r="D182" s="202"/>
      <c r="E182" s="202"/>
      <c r="F182" s="202"/>
      <c r="G182" s="202">
        <f>G90</f>
        <v>16</v>
      </c>
      <c r="H182" s="202">
        <f>H90</f>
        <v>16</v>
      </c>
      <c r="I182" s="203"/>
      <c r="J182" s="207"/>
      <c r="K182" s="207"/>
      <c r="L182" s="207"/>
      <c r="M182" s="207"/>
    </row>
    <row r="183" spans="2:13">
      <c r="B183" t="s">
        <v>506</v>
      </c>
      <c r="C183" s="202" t="e">
        <f>C181/C182</f>
        <v>#DIV/0!</v>
      </c>
      <c r="D183" s="202" t="e">
        <f t="shared" ref="D183" si="146">D181/D182</f>
        <v>#DIV/0!</v>
      </c>
      <c r="E183" s="202" t="e">
        <f t="shared" ref="E183" si="147">E181/E182</f>
        <v>#DIV/0!</v>
      </c>
      <c r="F183" s="202" t="e">
        <f t="shared" ref="F183" si="148">F181/F182</f>
        <v>#DIV/0!</v>
      </c>
      <c r="G183" s="202">
        <f>G91</f>
        <v>39.95196047999999</v>
      </c>
      <c r="H183" s="202">
        <f>H91</f>
        <v>41.350279096799987</v>
      </c>
      <c r="I183" s="203"/>
      <c r="J183" s="207"/>
      <c r="K183" s="207"/>
      <c r="L183" s="207"/>
      <c r="M183" s="207"/>
    </row>
    <row r="184" spans="2:13">
      <c r="B184" t="s">
        <v>508</v>
      </c>
      <c r="C184" s="202">
        <f>C180-C181</f>
        <v>0</v>
      </c>
      <c r="D184" s="202">
        <f t="shared" ref="D184:F184" si="149">D180-D181</f>
        <v>0</v>
      </c>
      <c r="E184" s="202">
        <f t="shared" si="149"/>
        <v>0</v>
      </c>
      <c r="F184" s="202">
        <f t="shared" si="149"/>
        <v>0</v>
      </c>
      <c r="G184" s="202">
        <f>매출!J22*7%</f>
        <v>120.12</v>
      </c>
      <c r="H184" s="202">
        <f>매출!K22*7%</f>
        <v>188.37</v>
      </c>
      <c r="I184" s="203"/>
      <c r="J184" s="207"/>
      <c r="K184" s="207"/>
      <c r="L184" s="207"/>
      <c r="M184" s="207"/>
    </row>
    <row r="185" spans="2:13">
      <c r="B185" t="s">
        <v>509</v>
      </c>
      <c r="C185" s="202"/>
      <c r="D185" s="202"/>
      <c r="E185" s="202">
        <v>0</v>
      </c>
      <c r="F185" s="202"/>
      <c r="G185" s="202"/>
      <c r="H185" s="202"/>
      <c r="I185" s="203"/>
      <c r="J185" s="207"/>
      <c r="K185" s="207"/>
      <c r="L185" s="207"/>
      <c r="M185" s="207"/>
    </row>
    <row r="186" spans="2:13">
      <c r="B186" t="s">
        <v>92</v>
      </c>
      <c r="C186" s="202"/>
      <c r="D186" s="202"/>
      <c r="E186" s="202"/>
      <c r="F186" s="202"/>
      <c r="G186" s="202">
        <f>G181/12</f>
        <v>26.634640319999992</v>
      </c>
      <c r="H186" s="202">
        <f>H181/12</f>
        <v>55.13370546239998</v>
      </c>
      <c r="I186" s="203"/>
      <c r="J186" s="207"/>
      <c r="K186" s="207"/>
      <c r="L186" s="207"/>
      <c r="M186" s="207"/>
    </row>
    <row r="187" spans="2:13">
      <c r="B187" t="s">
        <v>233</v>
      </c>
      <c r="C187" s="202"/>
      <c r="D187" s="202"/>
      <c r="E187" s="202"/>
      <c r="F187" s="202"/>
      <c r="G187" s="202">
        <f>G181*G98</f>
        <v>5.918808959999998</v>
      </c>
      <c r="H187" s="202">
        <f>H181*H98</f>
        <v>12.251934547199996</v>
      </c>
      <c r="I187" s="203"/>
      <c r="J187" s="207"/>
      <c r="K187" s="207"/>
      <c r="L187" s="207"/>
      <c r="M187" s="207"/>
    </row>
    <row r="188" spans="2:13">
      <c r="B188" t="s">
        <v>507</v>
      </c>
      <c r="C188" s="202">
        <f>C181+C184+C185+C186+C187</f>
        <v>0</v>
      </c>
      <c r="D188" s="202">
        <f t="shared" ref="D188" si="150">D181+D184+D185+D186+D187</f>
        <v>0</v>
      </c>
      <c r="E188" s="202">
        <f t="shared" ref="E188" si="151">E181+E184+E185+E186+E187</f>
        <v>0</v>
      </c>
      <c r="F188" s="202">
        <f t="shared" ref="F188" si="152">F181+F184+F185+F186+F187</f>
        <v>0</v>
      </c>
      <c r="G188" s="202">
        <f t="shared" ref="G188" si="153">G181+G184+G185+G186+G187</f>
        <v>472.28913311999992</v>
      </c>
      <c r="H188" s="202">
        <f t="shared" ref="H188" si="154">H181+H184+H185+H186+H187</f>
        <v>917.36010555839982</v>
      </c>
      <c r="I188" s="203"/>
      <c r="J188" s="207"/>
      <c r="K188" s="207"/>
      <c r="L188" s="207"/>
      <c r="M188" s="207"/>
    </row>
    <row r="191" spans="2:13">
      <c r="C191" t="s">
        <v>276</v>
      </c>
      <c r="D191" t="s">
        <v>242</v>
      </c>
    </row>
    <row r="192" spans="2:13">
      <c r="B192" t="s">
        <v>520</v>
      </c>
      <c r="C192" t="s">
        <v>111</v>
      </c>
      <c r="D192" t="s">
        <v>200</v>
      </c>
      <c r="E192" t="s">
        <v>148</v>
      </c>
      <c r="F192" t="s">
        <v>149</v>
      </c>
      <c r="G192" t="s">
        <v>150</v>
      </c>
      <c r="H192" t="s">
        <v>207</v>
      </c>
    </row>
    <row r="193" spans="2:13">
      <c r="B193" t="s">
        <v>232</v>
      </c>
      <c r="C193" s="202"/>
      <c r="D193" s="202"/>
      <c r="E193" s="202"/>
      <c r="F193" s="202"/>
      <c r="G193" s="202">
        <f t="shared" ref="G193" si="155">G194+G197</f>
        <v>656.45136767999986</v>
      </c>
      <c r="H193" s="202">
        <f t="shared" ref="H193" si="156">H194+H197</f>
        <v>871.25446554879977</v>
      </c>
      <c r="I193" s="203"/>
      <c r="J193" s="207"/>
      <c r="K193" s="207"/>
      <c r="L193" s="207"/>
      <c r="M193" s="207"/>
    </row>
    <row r="194" spans="2:13">
      <c r="B194" t="s">
        <v>504</v>
      </c>
      <c r="C194" s="202"/>
      <c r="D194" s="202"/>
      <c r="E194" s="202"/>
      <c r="F194" s="202"/>
      <c r="G194" s="202">
        <f>G195*G196</f>
        <v>639.23136767999983</v>
      </c>
      <c r="H194" s="202">
        <f>H195*H196</f>
        <v>661.60446554879979</v>
      </c>
      <c r="I194" s="203"/>
      <c r="J194" s="207"/>
      <c r="K194" s="207"/>
      <c r="L194" s="207"/>
      <c r="M194" s="207"/>
    </row>
    <row r="195" spans="2:13">
      <c r="B195" t="s">
        <v>505</v>
      </c>
      <c r="C195" s="202"/>
      <c r="D195" s="202"/>
      <c r="E195" s="202"/>
      <c r="F195" s="202"/>
      <c r="G195" s="202">
        <f>G90</f>
        <v>16</v>
      </c>
      <c r="H195" s="202">
        <f>H90</f>
        <v>16</v>
      </c>
      <c r="I195" s="203"/>
      <c r="J195" s="207"/>
      <c r="K195" s="207"/>
      <c r="L195" s="207"/>
      <c r="M195" s="207"/>
    </row>
    <row r="196" spans="2:13">
      <c r="B196" t="s">
        <v>506</v>
      </c>
      <c r="C196" s="202" t="e">
        <f>C194/C195</f>
        <v>#DIV/0!</v>
      </c>
      <c r="D196" s="202" t="e">
        <f t="shared" ref="D196" si="157">D194/D195</f>
        <v>#DIV/0!</v>
      </c>
      <c r="E196" s="202" t="e">
        <f t="shared" ref="E196" si="158">E194/E195</f>
        <v>#DIV/0!</v>
      </c>
      <c r="F196" s="202" t="e">
        <f t="shared" ref="F196" si="159">F194/F195</f>
        <v>#DIV/0!</v>
      </c>
      <c r="G196" s="202">
        <f>G91</f>
        <v>39.95196047999999</v>
      </c>
      <c r="H196" s="202">
        <f>H91</f>
        <v>41.350279096799987</v>
      </c>
      <c r="I196" s="203"/>
      <c r="J196" s="207"/>
      <c r="K196" s="207"/>
      <c r="L196" s="207"/>
      <c r="M196" s="207"/>
    </row>
    <row r="197" spans="2:13">
      <c r="B197" t="s">
        <v>508</v>
      </c>
      <c r="C197" s="202">
        <f>C193-C194</f>
        <v>0</v>
      </c>
      <c r="D197" s="202">
        <f t="shared" ref="D197:F197" si="160">D193-D194</f>
        <v>0</v>
      </c>
      <c r="E197" s="202">
        <f t="shared" si="160"/>
        <v>0</v>
      </c>
      <c r="F197" s="202">
        <f t="shared" si="160"/>
        <v>0</v>
      </c>
      <c r="G197" s="202">
        <f>매출!J23*7%</f>
        <v>17.220000000000002</v>
      </c>
      <c r="H197" s="202">
        <f>매출!K23*7%</f>
        <v>209.65000000000003</v>
      </c>
      <c r="I197" s="203"/>
      <c r="J197" s="207"/>
      <c r="K197" s="207"/>
      <c r="L197" s="207"/>
      <c r="M197" s="207"/>
    </row>
    <row r="198" spans="2:13">
      <c r="B198" t="s">
        <v>509</v>
      </c>
      <c r="C198" s="202"/>
      <c r="D198" s="202"/>
      <c r="E198" s="202">
        <v>0</v>
      </c>
      <c r="F198" s="202"/>
      <c r="G198" s="202"/>
      <c r="H198" s="202"/>
      <c r="I198" s="203"/>
      <c r="J198" s="207"/>
      <c r="K198" s="207"/>
      <c r="L198" s="207"/>
      <c r="M198" s="207"/>
    </row>
    <row r="199" spans="2:13">
      <c r="B199" t="s">
        <v>92</v>
      </c>
      <c r="C199" s="202"/>
      <c r="D199" s="202"/>
      <c r="E199" s="202"/>
      <c r="F199" s="202"/>
      <c r="G199" s="202">
        <f>G194/12</f>
        <v>53.269280639999984</v>
      </c>
      <c r="H199" s="202">
        <f>H194/12</f>
        <v>55.13370546239998</v>
      </c>
      <c r="I199" s="203"/>
      <c r="J199" s="207"/>
      <c r="K199" s="207"/>
      <c r="L199" s="207"/>
      <c r="M199" s="207"/>
    </row>
    <row r="200" spans="2:13">
      <c r="B200" t="s">
        <v>233</v>
      </c>
      <c r="C200" s="202"/>
      <c r="D200" s="202"/>
      <c r="E200" s="202"/>
      <c r="F200" s="202"/>
      <c r="G200" s="202">
        <f>G194*G98</f>
        <v>11.837617919999996</v>
      </c>
      <c r="H200" s="202">
        <f>H194*H98</f>
        <v>12.251934547199996</v>
      </c>
      <c r="I200" s="203"/>
      <c r="J200" s="207"/>
      <c r="K200" s="207"/>
      <c r="L200" s="207"/>
      <c r="M200" s="207"/>
    </row>
    <row r="201" spans="2:13">
      <c r="B201" t="s">
        <v>507</v>
      </c>
      <c r="C201" s="202">
        <f>C194+C197+C198+C199+C200</f>
        <v>0</v>
      </c>
      <c r="D201" s="202">
        <f t="shared" ref="D201" si="161">D194+D197+D198+D199+D200</f>
        <v>0</v>
      </c>
      <c r="E201" s="202">
        <f t="shared" ref="E201" si="162">E194+E197+E198+E199+E200</f>
        <v>0</v>
      </c>
      <c r="F201" s="202">
        <f t="shared" ref="F201" si="163">F194+F197+F198+F199+F200</f>
        <v>0</v>
      </c>
      <c r="G201" s="202">
        <f t="shared" ref="G201" si="164">G194+G197+G198+G199+G200</f>
        <v>721.55826623999985</v>
      </c>
      <c r="H201" s="202">
        <f t="shared" ref="H201" si="165">H194+H197+H198+H199+H200</f>
        <v>938.6401055583998</v>
      </c>
      <c r="I201" s="203"/>
      <c r="J201" s="207"/>
      <c r="K201" s="207"/>
      <c r="L201" s="207"/>
      <c r="M201" s="207"/>
    </row>
  </sheetData>
  <phoneticPr fontId="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P250"/>
  <sheetViews>
    <sheetView workbookViewId="0">
      <selection activeCell="Q30" sqref="Q30"/>
    </sheetView>
  </sheetViews>
  <sheetFormatPr defaultRowHeight="13.5"/>
  <cols>
    <col min="3" max="3" width="12.85546875" customWidth="1"/>
    <col min="4" max="4" width="13.28515625" bestFit="1" customWidth="1"/>
    <col min="16" max="16" width="15" bestFit="1" customWidth="1"/>
  </cols>
  <sheetData>
    <row r="3" spans="3:16">
      <c r="C3" t="s">
        <v>521</v>
      </c>
    </row>
    <row r="4" spans="3:16">
      <c r="C4" t="s">
        <v>522</v>
      </c>
    </row>
    <row r="5" spans="3:16">
      <c r="C5" t="s">
        <v>523</v>
      </c>
    </row>
    <row r="6" spans="3:16">
      <c r="C6" t="s">
        <v>524</v>
      </c>
    </row>
    <row r="7" spans="3:16">
      <c r="C7" t="s">
        <v>525</v>
      </c>
    </row>
    <row r="8" spans="3:16">
      <c r="C8" t="s">
        <v>526</v>
      </c>
    </row>
    <row r="13" spans="3:16">
      <c r="D13" t="s">
        <v>276</v>
      </c>
      <c r="E13" t="s">
        <v>242</v>
      </c>
    </row>
    <row r="14" spans="3:16">
      <c r="C14" t="s">
        <v>240</v>
      </c>
      <c r="D14" t="s">
        <v>111</v>
      </c>
      <c r="E14" t="s">
        <v>200</v>
      </c>
      <c r="F14" t="s">
        <v>148</v>
      </c>
      <c r="G14" t="s">
        <v>149</v>
      </c>
      <c r="H14" t="s">
        <v>150</v>
      </c>
      <c r="I14" t="s">
        <v>207</v>
      </c>
    </row>
    <row r="15" spans="3:16">
      <c r="C15" t="s">
        <v>503</v>
      </c>
      <c r="D15" s="202">
        <f>D35</f>
        <v>0</v>
      </c>
      <c r="E15" s="202">
        <f t="shared" ref="E15:I15" si="0">E35</f>
        <v>19.68</v>
      </c>
      <c r="F15" s="202">
        <f t="shared" si="0"/>
        <v>19.68</v>
      </c>
      <c r="G15" s="202">
        <f t="shared" si="0"/>
        <v>19.68</v>
      </c>
      <c r="H15" s="202">
        <f t="shared" si="0"/>
        <v>19.68</v>
      </c>
      <c r="I15" s="202">
        <f t="shared" si="0"/>
        <v>19.68</v>
      </c>
    </row>
    <row r="16" spans="3:16">
      <c r="C16" t="s">
        <v>264</v>
      </c>
      <c r="D16" s="202">
        <f>D44</f>
        <v>1313</v>
      </c>
      <c r="E16" s="202">
        <f t="shared" ref="E16:I16" si="1">E44</f>
        <v>1083.6865450938503</v>
      </c>
      <c r="F16" s="202">
        <f t="shared" si="1"/>
        <v>988.91298794445299</v>
      </c>
      <c r="G16" s="202">
        <f t="shared" si="1"/>
        <v>1022.7275583702121</v>
      </c>
      <c r="H16" s="202">
        <f t="shared" si="1"/>
        <v>1057.8113047459181</v>
      </c>
      <c r="I16" s="202">
        <f t="shared" si="1"/>
        <v>1092.8298077216543</v>
      </c>
      <c r="P16" s="202">
        <v>7500000000</v>
      </c>
    </row>
    <row r="17" spans="3:16">
      <c r="C17" t="s">
        <v>417</v>
      </c>
      <c r="D17" s="202">
        <v>454</v>
      </c>
      <c r="E17" s="202">
        <v>0</v>
      </c>
      <c r="F17" s="202">
        <v>0</v>
      </c>
      <c r="G17" s="202">
        <v>0</v>
      </c>
      <c r="H17" s="202">
        <v>0</v>
      </c>
      <c r="I17" s="202">
        <v>0</v>
      </c>
      <c r="P17" s="202">
        <v>19200</v>
      </c>
    </row>
    <row r="18" spans="3:16">
      <c r="C18" t="s">
        <v>265</v>
      </c>
      <c r="D18" s="202">
        <f>D61</f>
        <v>310</v>
      </c>
      <c r="E18" s="202">
        <f t="shared" ref="E18:I18" si="2">E61</f>
        <v>470.48758620689659</v>
      </c>
      <c r="F18" s="202">
        <f t="shared" si="2"/>
        <v>473.31241379310342</v>
      </c>
      <c r="G18" s="202">
        <f t="shared" si="2"/>
        <v>488.30206896551726</v>
      </c>
      <c r="H18" s="202">
        <f t="shared" si="2"/>
        <v>503.91379310344826</v>
      </c>
      <c r="I18" s="202">
        <f t="shared" si="2"/>
        <v>519.35448275862075</v>
      </c>
      <c r="P18" s="202">
        <f>P16/P17</f>
        <v>390625</v>
      </c>
    </row>
    <row r="19" spans="3:16">
      <c r="C19" t="s">
        <v>266</v>
      </c>
      <c r="D19" s="202">
        <f>D78</f>
        <v>421</v>
      </c>
      <c r="E19" s="202">
        <f t="shared" ref="E19:I19" si="3">E78</f>
        <v>450.3184475639967</v>
      </c>
      <c r="F19" s="202">
        <f t="shared" si="3"/>
        <v>459.57654004954583</v>
      </c>
      <c r="G19" s="202">
        <f t="shared" si="3"/>
        <v>476.30411230388108</v>
      </c>
      <c r="H19" s="202">
        <f t="shared" si="3"/>
        <v>493.69185796862104</v>
      </c>
      <c r="I19" s="202">
        <f t="shared" si="3"/>
        <v>511.05236168455826</v>
      </c>
    </row>
    <row r="20" spans="3:16">
      <c r="C20" t="s">
        <v>267</v>
      </c>
      <c r="D20" s="202">
        <f>D96</f>
        <v>37</v>
      </c>
      <c r="E20" s="202">
        <f t="shared" ref="E20:I20" si="4">E96</f>
        <v>362.79841453344346</v>
      </c>
      <c r="F20" s="202">
        <f t="shared" si="4"/>
        <v>374.30417010734931</v>
      </c>
      <c r="G20" s="202">
        <f t="shared" si="4"/>
        <v>349.43484723369119</v>
      </c>
      <c r="H20" s="202">
        <f t="shared" si="4"/>
        <v>362.45000825763833</v>
      </c>
      <c r="I20" s="202">
        <f t="shared" si="4"/>
        <v>375.07654830718417</v>
      </c>
    </row>
    <row r="21" spans="3:16">
      <c r="C21" t="s">
        <v>268</v>
      </c>
      <c r="D21" s="202">
        <f>D115</f>
        <v>0</v>
      </c>
      <c r="E21" s="202">
        <f t="shared" ref="E21:I21" si="5">E115</f>
        <v>162.67604872006606</v>
      </c>
      <c r="F21" s="202">
        <f t="shared" si="5"/>
        <v>351.31601981833199</v>
      </c>
      <c r="G21" s="202">
        <f t="shared" si="5"/>
        <v>373.06467382328657</v>
      </c>
      <c r="H21" s="202">
        <f t="shared" si="5"/>
        <v>363.62552436003307</v>
      </c>
      <c r="I21" s="202">
        <f t="shared" si="5"/>
        <v>376.40775392237822</v>
      </c>
    </row>
    <row r="22" spans="3:16">
      <c r="C22" t="s">
        <v>269</v>
      </c>
      <c r="D22" s="202">
        <f>D132</f>
        <v>0</v>
      </c>
      <c r="E22" s="202">
        <f t="shared" ref="E22:I22" si="6">E132</f>
        <v>173.24574731626757</v>
      </c>
      <c r="F22" s="202">
        <f t="shared" si="6"/>
        <v>1452.5510322047896</v>
      </c>
      <c r="G22" s="202">
        <f t="shared" si="6"/>
        <v>1535.4552270850536</v>
      </c>
      <c r="H22" s="202">
        <f t="shared" si="6"/>
        <v>1176.1812881915773</v>
      </c>
      <c r="I22" s="202">
        <f t="shared" si="6"/>
        <v>1100.5336746490505</v>
      </c>
    </row>
    <row r="23" spans="3:16">
      <c r="C23" t="s">
        <v>270</v>
      </c>
      <c r="D23" s="202">
        <f>D150</f>
        <v>0</v>
      </c>
      <c r="E23" s="202">
        <f t="shared" ref="E23:I23" si="7">E150</f>
        <v>0</v>
      </c>
      <c r="F23" s="202">
        <f t="shared" si="7"/>
        <v>206.589083402147</v>
      </c>
      <c r="G23" s="202">
        <f t="shared" si="7"/>
        <v>350.03067712634186</v>
      </c>
      <c r="H23" s="202">
        <f t="shared" si="7"/>
        <v>377.41311312964496</v>
      </c>
      <c r="I23" s="202">
        <f t="shared" si="7"/>
        <v>373.51965317919081</v>
      </c>
    </row>
    <row r="24" spans="3:16">
      <c r="C24" t="s">
        <v>271</v>
      </c>
      <c r="D24" s="202">
        <f>D168</f>
        <v>0</v>
      </c>
      <c r="E24" s="202">
        <f t="shared" ref="E24:I24" si="8">E168</f>
        <v>0</v>
      </c>
      <c r="F24" s="202">
        <f t="shared" si="8"/>
        <v>29.53720891824938</v>
      </c>
      <c r="G24" s="202">
        <f t="shared" si="8"/>
        <v>374.28080924855493</v>
      </c>
      <c r="H24" s="202">
        <f t="shared" si="8"/>
        <v>397.22311312964501</v>
      </c>
      <c r="I24" s="202">
        <f t="shared" si="8"/>
        <v>373.51965317919081</v>
      </c>
    </row>
    <row r="25" spans="3:16">
      <c r="C25" t="s">
        <v>272</v>
      </c>
      <c r="D25" s="202">
        <f>D187</f>
        <v>0</v>
      </c>
      <c r="E25" s="202">
        <f t="shared" ref="E25:I25" si="9">E187</f>
        <v>0</v>
      </c>
      <c r="F25" s="202">
        <f t="shared" si="9"/>
        <v>0</v>
      </c>
      <c r="G25" s="202">
        <f t="shared" si="9"/>
        <v>261.92890173410404</v>
      </c>
      <c r="H25" s="202">
        <f t="shared" si="9"/>
        <v>436.08980181668045</v>
      </c>
      <c r="I25" s="202">
        <f t="shared" si="9"/>
        <v>464.72379025598684</v>
      </c>
    </row>
    <row r="26" spans="3:16">
      <c r="C26" t="s">
        <v>273</v>
      </c>
      <c r="D26" s="202">
        <f>D205</f>
        <v>0</v>
      </c>
      <c r="E26" s="202">
        <f t="shared" ref="E26:I26" si="10">E205</f>
        <v>0</v>
      </c>
      <c r="F26" s="202">
        <f t="shared" si="10"/>
        <v>0</v>
      </c>
      <c r="G26" s="202">
        <f t="shared" si="10"/>
        <v>30.308414533443436</v>
      </c>
      <c r="H26" s="202">
        <f t="shared" si="10"/>
        <v>383.02113955408754</v>
      </c>
      <c r="I26" s="202">
        <f t="shared" si="10"/>
        <v>411.90379025598679</v>
      </c>
    </row>
    <row r="27" spans="3:16">
      <c r="C27" t="s">
        <v>274</v>
      </c>
      <c r="D27" s="202">
        <f>D222</f>
        <v>0</v>
      </c>
      <c r="E27" s="202">
        <f t="shared" ref="E27:I27" si="11">E222</f>
        <v>0</v>
      </c>
      <c r="F27" s="202">
        <f t="shared" si="11"/>
        <v>0</v>
      </c>
      <c r="G27" s="202">
        <f t="shared" si="11"/>
        <v>0</v>
      </c>
      <c r="H27" s="202">
        <f t="shared" si="11"/>
        <v>218.0432039636664</v>
      </c>
      <c r="I27" s="202">
        <f t="shared" si="11"/>
        <v>365.54047894302226</v>
      </c>
    </row>
    <row r="28" spans="3:16">
      <c r="C28" t="s">
        <v>275</v>
      </c>
      <c r="D28" s="202">
        <f>D240</f>
        <v>0</v>
      </c>
      <c r="E28" s="202">
        <f t="shared" ref="E28:I28" si="12">E240</f>
        <v>0</v>
      </c>
      <c r="F28" s="202">
        <f t="shared" si="12"/>
        <v>0</v>
      </c>
      <c r="G28" s="202">
        <f t="shared" si="12"/>
        <v>0</v>
      </c>
      <c r="H28" s="202">
        <f t="shared" si="12"/>
        <v>31.079620148637492</v>
      </c>
      <c r="I28" s="202">
        <f t="shared" si="12"/>
        <v>391.59009083402151</v>
      </c>
    </row>
    <row r="29" spans="3:16">
      <c r="D29" s="202">
        <f>SUM(D15:D28)</f>
        <v>2535</v>
      </c>
      <c r="E29" s="202">
        <f t="shared" ref="E29:I29" si="13">SUM(E15:E28)</f>
        <v>2722.8927894345206</v>
      </c>
      <c r="F29" s="202">
        <f t="shared" si="13"/>
        <v>4355.7794562379686</v>
      </c>
      <c r="G29" s="202">
        <f t="shared" si="13"/>
        <v>5281.5172904240862</v>
      </c>
      <c r="H29" s="202">
        <f t="shared" si="13"/>
        <v>5820.2237683695985</v>
      </c>
      <c r="I29" s="202">
        <f t="shared" si="13"/>
        <v>6375.7320856908445</v>
      </c>
    </row>
    <row r="30" spans="3:16">
      <c r="D30" s="204">
        <f>변동비!D29/매출!D9</f>
        <v>0.19371847776249426</v>
      </c>
      <c r="E30" s="204">
        <f>E29/매출!G9</f>
        <v>0.18948453649509539</v>
      </c>
      <c r="F30" s="204">
        <f>F29/매출!H9</f>
        <v>0.16527963330947745</v>
      </c>
      <c r="G30" s="204">
        <f>G29/매출!I9</f>
        <v>0.18113441561232205</v>
      </c>
      <c r="H30" s="204">
        <f>H29/매출!J9</f>
        <v>0.17501274261395233</v>
      </c>
      <c r="I30" s="204">
        <f>I29/매출!K9</f>
        <v>0.17107333402266883</v>
      </c>
    </row>
    <row r="32" spans="3:16">
      <c r="D32" t="s">
        <v>276</v>
      </c>
      <c r="E32" t="s">
        <v>242</v>
      </c>
    </row>
    <row r="33" spans="3:14">
      <c r="C33" t="s">
        <v>503</v>
      </c>
      <c r="D33" t="s">
        <v>111</v>
      </c>
      <c r="E33" t="s">
        <v>200</v>
      </c>
      <c r="F33" t="s">
        <v>148</v>
      </c>
      <c r="G33" t="s">
        <v>149</v>
      </c>
      <c r="H33" t="s">
        <v>150</v>
      </c>
      <c r="I33" t="s">
        <v>207</v>
      </c>
    </row>
    <row r="34" spans="3:14">
      <c r="C34" t="s">
        <v>527</v>
      </c>
      <c r="D34" s="202">
        <v>0</v>
      </c>
      <c r="E34" s="202">
        <f>(0.88+0.76)*12</f>
        <v>19.68</v>
      </c>
      <c r="F34" s="202">
        <f t="shared" ref="F34:I34" si="14">(0.88+0.76)*12</f>
        <v>19.68</v>
      </c>
      <c r="G34" s="202">
        <f t="shared" si="14"/>
        <v>19.68</v>
      </c>
      <c r="H34" s="202">
        <f t="shared" si="14"/>
        <v>19.68</v>
      </c>
      <c r="I34" s="202">
        <f t="shared" si="14"/>
        <v>19.68</v>
      </c>
      <c r="J34" s="203" t="s">
        <v>825</v>
      </c>
      <c r="K34" s="207"/>
      <c r="L34" s="207"/>
      <c r="M34" s="207"/>
      <c r="N34" s="207"/>
    </row>
    <row r="35" spans="3:14">
      <c r="C35" t="s">
        <v>528</v>
      </c>
      <c r="D35" s="202">
        <f>SUM(D34)</f>
        <v>0</v>
      </c>
      <c r="E35" s="202">
        <f t="shared" ref="E35:I35" si="15">SUM(E34)</f>
        <v>19.68</v>
      </c>
      <c r="F35" s="202">
        <f t="shared" si="15"/>
        <v>19.68</v>
      </c>
      <c r="G35" s="202">
        <f t="shared" si="15"/>
        <v>19.68</v>
      </c>
      <c r="H35" s="202">
        <f t="shared" si="15"/>
        <v>19.68</v>
      </c>
      <c r="I35" s="202">
        <f t="shared" si="15"/>
        <v>19.68</v>
      </c>
      <c r="J35" s="203"/>
      <c r="K35" s="207"/>
      <c r="L35" s="207"/>
      <c r="M35" s="207"/>
      <c r="N35" s="207"/>
    </row>
    <row r="36" spans="3:14">
      <c r="D36" s="202"/>
      <c r="E36" s="202"/>
      <c r="F36" s="202"/>
      <c r="G36" s="202"/>
      <c r="H36" s="202"/>
      <c r="I36" s="202"/>
      <c r="J36" s="203"/>
      <c r="K36" s="207"/>
      <c r="L36" s="207"/>
      <c r="M36" s="207"/>
      <c r="N36" s="207"/>
    </row>
    <row r="37" spans="3:14">
      <c r="D37" s="202"/>
      <c r="E37" s="202"/>
      <c r="F37" s="202"/>
      <c r="G37" s="202"/>
      <c r="H37" s="202"/>
      <c r="I37" s="202"/>
      <c r="J37" s="203"/>
      <c r="K37" s="207"/>
      <c r="L37" s="207"/>
      <c r="M37" s="207"/>
      <c r="N37" s="207"/>
    </row>
    <row r="38" spans="3:14">
      <c r="D38" s="202"/>
      <c r="E38" s="202"/>
      <c r="F38" s="202"/>
      <c r="G38" s="202"/>
      <c r="H38" s="202"/>
      <c r="I38" s="202"/>
      <c r="J38" s="203"/>
      <c r="K38" s="207"/>
      <c r="L38" s="207"/>
      <c r="M38" s="207"/>
      <c r="N38" s="207"/>
    </row>
    <row r="39" spans="3:14">
      <c r="D39" t="s">
        <v>276</v>
      </c>
      <c r="E39" t="s">
        <v>242</v>
      </c>
    </row>
    <row r="40" spans="3:14">
      <c r="C40" t="s">
        <v>264</v>
      </c>
      <c r="D40" t="s">
        <v>111</v>
      </c>
      <c r="E40" t="s">
        <v>200</v>
      </c>
      <c r="F40" t="s">
        <v>148</v>
      </c>
      <c r="G40" t="s">
        <v>149</v>
      </c>
      <c r="H40" t="s">
        <v>150</v>
      </c>
      <c r="I40" t="s">
        <v>207</v>
      </c>
    </row>
    <row r="41" spans="3:14">
      <c r="C41" t="s">
        <v>529</v>
      </c>
      <c r="D41" s="202">
        <v>531</v>
      </c>
      <c r="E41" s="202">
        <f>D48</f>
        <v>458.71000000000004</v>
      </c>
      <c r="F41" s="202">
        <f>E48</f>
        <v>345.87</v>
      </c>
      <c r="G41" s="202">
        <f>F48</f>
        <v>356.93</v>
      </c>
      <c r="H41" s="202">
        <f>G48</f>
        <v>370.86</v>
      </c>
      <c r="I41" s="202">
        <f>H48</f>
        <v>383.81000000000006</v>
      </c>
      <c r="J41" s="203"/>
      <c r="K41" s="207"/>
      <c r="L41" s="207"/>
      <c r="M41" s="207"/>
      <c r="N41" s="207"/>
    </row>
    <row r="42" spans="3:14">
      <c r="C42" t="s">
        <v>527</v>
      </c>
      <c r="D42" s="202">
        <f>ROUND('분할사업부문 손익(2023년 실적)'!G38/10^6,)</f>
        <v>688</v>
      </c>
      <c r="E42" s="202">
        <f>E52</f>
        <v>554.1</v>
      </c>
      <c r="F42" s="202">
        <f t="shared" ref="F42:I42" si="16">F52</f>
        <v>569.90000000000009</v>
      </c>
      <c r="G42" s="202">
        <f t="shared" si="16"/>
        <v>589.80000000000007</v>
      </c>
      <c r="H42" s="202">
        <f t="shared" si="16"/>
        <v>608.30000000000007</v>
      </c>
      <c r="I42" s="202">
        <f t="shared" si="16"/>
        <v>627.6</v>
      </c>
      <c r="J42" s="203"/>
      <c r="K42" s="207"/>
      <c r="L42" s="207"/>
      <c r="M42" s="207"/>
      <c r="N42" s="207"/>
    </row>
    <row r="43" spans="3:14">
      <c r="C43" t="s">
        <v>234</v>
      </c>
      <c r="D43" s="202">
        <f>ROUND('분할사업부문 손익(2023년 실적)'!G48/10^6,)</f>
        <v>94</v>
      </c>
      <c r="E43" s="202">
        <f>매출!G29*E53</f>
        <v>70.876545093850154</v>
      </c>
      <c r="F43" s="202">
        <f>매출!H29*F53</f>
        <v>73.142987944452926</v>
      </c>
      <c r="G43" s="202">
        <f>매출!I29*G53</f>
        <v>75.997558370212118</v>
      </c>
      <c r="H43" s="202">
        <f>매출!J29*H53</f>
        <v>78.651304745917898</v>
      </c>
      <c r="I43" s="202">
        <f>매출!K29*I53</f>
        <v>81.419807721654209</v>
      </c>
      <c r="J43" s="203"/>
      <c r="K43" s="207"/>
      <c r="L43" s="207"/>
      <c r="M43" s="207"/>
      <c r="N43" s="207"/>
    </row>
    <row r="44" spans="3:14">
      <c r="C44" t="s">
        <v>528</v>
      </c>
      <c r="D44" s="202">
        <f>SUM(D41:D43)</f>
        <v>1313</v>
      </c>
      <c r="E44" s="202">
        <f t="shared" ref="E44:I44" si="17">SUM(E41:E43)</f>
        <v>1083.6865450938503</v>
      </c>
      <c r="F44" s="202">
        <f t="shared" si="17"/>
        <v>988.91298794445299</v>
      </c>
      <c r="G44" s="202">
        <f t="shared" si="17"/>
        <v>1022.7275583702121</v>
      </c>
      <c r="H44" s="202">
        <f t="shared" si="17"/>
        <v>1057.8113047459181</v>
      </c>
      <c r="I44" s="202">
        <f t="shared" si="17"/>
        <v>1092.8298077216543</v>
      </c>
      <c r="J44" s="203"/>
      <c r="K44" s="207"/>
      <c r="L44" s="207"/>
      <c r="M44" s="207"/>
      <c r="N44" s="207"/>
    </row>
    <row r="45" spans="3:14">
      <c r="D45" s="202"/>
      <c r="E45" s="202"/>
      <c r="F45" s="202"/>
      <c r="G45" s="202"/>
      <c r="H45" s="202"/>
      <c r="I45" s="202"/>
      <c r="J45" s="203"/>
      <c r="K45" s="207"/>
      <c r="L45" s="207"/>
      <c r="M45" s="207"/>
      <c r="N45" s="207"/>
    </row>
    <row r="46" spans="3:14">
      <c r="C46" t="s">
        <v>828</v>
      </c>
      <c r="D46" s="202">
        <f>매출!D11*7%</f>
        <v>458.71000000000004</v>
      </c>
      <c r="E46" s="202">
        <f>매출!G11*7%</f>
        <v>345.87</v>
      </c>
      <c r="F46" s="202">
        <f>매출!H11*7%</f>
        <v>356.93</v>
      </c>
      <c r="G46" s="202">
        <f>매출!I11*7%</f>
        <v>370.86</v>
      </c>
      <c r="H46" s="202">
        <f>매출!J11*7%</f>
        <v>383.81000000000006</v>
      </c>
      <c r="I46" s="202">
        <f>매출!K11*7%</f>
        <v>397.32000000000005</v>
      </c>
      <c r="J46" s="203"/>
      <c r="K46" s="207"/>
      <c r="L46" s="207"/>
      <c r="M46" s="207"/>
      <c r="N46" s="207"/>
    </row>
    <row r="47" spans="3:14">
      <c r="C47" t="s">
        <v>829</v>
      </c>
      <c r="D47" s="202">
        <f>200000*1349.5/10^6</f>
        <v>269.89999999999998</v>
      </c>
      <c r="E47" s="202">
        <f t="shared" ref="E47:I47" si="18">200000*1349.5/10^6</f>
        <v>269.89999999999998</v>
      </c>
      <c r="F47" s="202">
        <f t="shared" si="18"/>
        <v>269.89999999999998</v>
      </c>
      <c r="G47" s="202">
        <f t="shared" si="18"/>
        <v>269.89999999999998</v>
      </c>
      <c r="H47" s="202">
        <f t="shared" si="18"/>
        <v>269.89999999999998</v>
      </c>
      <c r="I47" s="202">
        <f t="shared" si="18"/>
        <v>269.89999999999998</v>
      </c>
      <c r="J47" s="203"/>
      <c r="K47" s="207"/>
      <c r="L47" s="207"/>
      <c r="M47" s="207"/>
      <c r="N47" s="207"/>
    </row>
    <row r="48" spans="3:14">
      <c r="C48" t="s">
        <v>830</v>
      </c>
      <c r="D48" s="202">
        <f t="shared" ref="D48:I48" si="19">MAX(D46,D47)</f>
        <v>458.71000000000004</v>
      </c>
      <c r="E48" s="202">
        <f t="shared" si="19"/>
        <v>345.87</v>
      </c>
      <c r="F48" s="202">
        <f t="shared" si="19"/>
        <v>356.93</v>
      </c>
      <c r="G48" s="202">
        <f t="shared" si="19"/>
        <v>370.86</v>
      </c>
      <c r="H48" s="202">
        <f t="shared" si="19"/>
        <v>383.81000000000006</v>
      </c>
      <c r="I48" s="202">
        <f t="shared" si="19"/>
        <v>397.32000000000005</v>
      </c>
      <c r="J48" s="203"/>
      <c r="K48" s="207"/>
      <c r="L48" s="207"/>
      <c r="M48" s="207"/>
      <c r="N48" s="207"/>
    </row>
    <row r="49" spans="3:14">
      <c r="D49" s="202"/>
      <c r="E49" s="202"/>
      <c r="F49" s="202"/>
      <c r="G49" s="202"/>
      <c r="H49" s="202"/>
      <c r="I49" s="202"/>
      <c r="J49" s="203"/>
      <c r="K49" s="207"/>
      <c r="L49" s="207"/>
      <c r="M49" s="207"/>
      <c r="N49" s="207"/>
    </row>
    <row r="50" spans="3:14">
      <c r="C50" t="s">
        <v>826</v>
      </c>
      <c r="E50" s="202">
        <f>매출!G11*10%</f>
        <v>494.1</v>
      </c>
      <c r="F50" s="202">
        <f>매출!H11*10%</f>
        <v>509.90000000000003</v>
      </c>
      <c r="G50" s="202">
        <f>매출!I11*10%</f>
        <v>529.80000000000007</v>
      </c>
      <c r="H50" s="202">
        <f>매출!J11*10%</f>
        <v>548.30000000000007</v>
      </c>
      <c r="I50" s="202">
        <f>매출!K11*10%</f>
        <v>567.6</v>
      </c>
      <c r="J50" s="203"/>
      <c r="K50" s="207"/>
      <c r="L50" s="207"/>
      <c r="M50" s="207"/>
      <c r="N50" s="207"/>
    </row>
    <row r="51" spans="3:14">
      <c r="C51" t="s">
        <v>827</v>
      </c>
      <c r="D51" s="202"/>
      <c r="E51" s="202">
        <f t="shared" ref="E51:I51" si="20">5*12</f>
        <v>60</v>
      </c>
      <c r="F51" s="202">
        <f t="shared" si="20"/>
        <v>60</v>
      </c>
      <c r="G51" s="202">
        <f t="shared" si="20"/>
        <v>60</v>
      </c>
      <c r="H51" s="202">
        <f t="shared" si="20"/>
        <v>60</v>
      </c>
      <c r="I51" s="202">
        <f t="shared" si="20"/>
        <v>60</v>
      </c>
      <c r="J51" s="203"/>
      <c r="K51" s="207"/>
      <c r="L51" s="207"/>
      <c r="M51" s="207"/>
      <c r="N51" s="207"/>
    </row>
    <row r="52" spans="3:14">
      <c r="D52" s="202"/>
      <c r="E52" s="202">
        <f>SUM(E50:E51)</f>
        <v>554.1</v>
      </c>
      <c r="F52" s="202">
        <f t="shared" ref="F52:I52" si="21">SUM(F50:F51)</f>
        <v>569.90000000000009</v>
      </c>
      <c r="G52" s="202">
        <f t="shared" si="21"/>
        <v>589.80000000000007</v>
      </c>
      <c r="H52" s="202">
        <f t="shared" si="21"/>
        <v>608.30000000000007</v>
      </c>
      <c r="I52" s="202">
        <f t="shared" si="21"/>
        <v>627.6</v>
      </c>
      <c r="J52" s="203"/>
      <c r="K52" s="207"/>
      <c r="L52" s="207"/>
      <c r="M52" s="207"/>
      <c r="N52" s="207"/>
    </row>
    <row r="53" spans="3:14">
      <c r="D53" s="207">
        <f>D43/매출!D29</f>
        <v>1.4344575003815047E-2</v>
      </c>
      <c r="E53" s="207">
        <v>1.4344575003815047E-2</v>
      </c>
      <c r="F53" s="207">
        <v>1.4344575003815047E-2</v>
      </c>
      <c r="G53" s="207">
        <v>1.4344575003815047E-2</v>
      </c>
      <c r="H53" s="207">
        <v>1.4344575003815047E-2</v>
      </c>
      <c r="I53" s="207">
        <v>1.4344575003815047E-2</v>
      </c>
      <c r="J53" s="203"/>
      <c r="K53" s="207"/>
      <c r="L53" s="207"/>
      <c r="M53" s="207"/>
      <c r="N53" s="207"/>
    </row>
    <row r="54" spans="3:14">
      <c r="D54" s="202"/>
      <c r="E54" s="202"/>
      <c r="F54" s="202"/>
      <c r="G54" s="202"/>
      <c r="H54" s="202"/>
      <c r="I54" s="202"/>
      <c r="J54" s="203"/>
      <c r="K54" s="207"/>
      <c r="L54" s="207"/>
      <c r="M54" s="207"/>
      <c r="N54" s="207"/>
    </row>
    <row r="55" spans="3:14">
      <c r="D55" s="202"/>
      <c r="E55" s="202"/>
      <c r="F55" s="202"/>
      <c r="G55" s="202"/>
      <c r="H55" s="202"/>
      <c r="I55" s="202"/>
      <c r="J55" s="203"/>
      <c r="K55" s="207"/>
      <c r="L55" s="207"/>
      <c r="M55" s="207"/>
      <c r="N55" s="207"/>
    </row>
    <row r="56" spans="3:14">
      <c r="D56" t="s">
        <v>276</v>
      </c>
      <c r="E56" t="s">
        <v>242</v>
      </c>
    </row>
    <row r="57" spans="3:14">
      <c r="C57" t="s">
        <v>510</v>
      </c>
      <c r="D57" t="s">
        <v>111</v>
      </c>
      <c r="E57" t="s">
        <v>200</v>
      </c>
      <c r="F57" t="s">
        <v>148</v>
      </c>
      <c r="G57" t="s">
        <v>149</v>
      </c>
      <c r="H57" t="s">
        <v>150</v>
      </c>
      <c r="I57" t="s">
        <v>207</v>
      </c>
    </row>
    <row r="58" spans="3:14">
      <c r="C58" t="s">
        <v>529</v>
      </c>
      <c r="D58" s="202">
        <v>251</v>
      </c>
      <c r="E58" s="202">
        <f>D65</f>
        <v>174.58</v>
      </c>
      <c r="F58" s="202">
        <f t="shared" ref="F58:I58" si="22">E65</f>
        <v>169.82000000000002</v>
      </c>
      <c r="G58" s="202">
        <f t="shared" si="22"/>
        <v>175.28000000000003</v>
      </c>
      <c r="H58" s="202">
        <f t="shared" si="22"/>
        <v>182.14000000000001</v>
      </c>
      <c r="I58" s="202">
        <f t="shared" si="22"/>
        <v>188.44000000000003</v>
      </c>
      <c r="J58" s="203"/>
      <c r="K58" s="207"/>
      <c r="L58" s="207"/>
      <c r="M58" s="207"/>
      <c r="N58" s="207"/>
    </row>
    <row r="59" spans="3:14">
      <c r="C59" t="s">
        <v>527</v>
      </c>
      <c r="D59" s="202">
        <v>16</v>
      </c>
      <c r="E59" s="202">
        <f>E69</f>
        <v>254.08</v>
      </c>
      <c r="F59" s="202">
        <f>F69</f>
        <v>260.32</v>
      </c>
      <c r="G59" s="202">
        <f t="shared" ref="G59:I59" si="23">G69</f>
        <v>268.15999999999997</v>
      </c>
      <c r="H59" s="202">
        <f t="shared" si="23"/>
        <v>275.36</v>
      </c>
      <c r="I59" s="202">
        <f t="shared" si="23"/>
        <v>282.88</v>
      </c>
      <c r="J59" s="203"/>
      <c r="K59" s="207"/>
      <c r="L59" s="207"/>
      <c r="M59" s="207"/>
      <c r="N59" s="207"/>
    </row>
    <row r="60" spans="3:14">
      <c r="C60" t="s">
        <v>234</v>
      </c>
      <c r="D60" s="202">
        <v>43</v>
      </c>
      <c r="E60" s="202">
        <f>매출!G13*E70</f>
        <v>41.827586206896548</v>
      </c>
      <c r="F60" s="202">
        <f>매출!H13*F70</f>
        <v>43.172413793103445</v>
      </c>
      <c r="G60" s="202">
        <f>매출!I13*G70</f>
        <v>44.862068965517238</v>
      </c>
      <c r="H60" s="202">
        <f>매출!J13*H70</f>
        <v>46.413793103448278</v>
      </c>
      <c r="I60" s="202">
        <f>매출!K13*I70</f>
        <v>48.03448275862069</v>
      </c>
      <c r="J60" s="203"/>
      <c r="K60" s="207"/>
      <c r="L60" s="207"/>
      <c r="M60" s="207"/>
      <c r="N60" s="207"/>
    </row>
    <row r="61" spans="3:14">
      <c r="C61" t="s">
        <v>528</v>
      </c>
      <c r="D61" s="202">
        <f>SUM(D58:D60)</f>
        <v>310</v>
      </c>
      <c r="E61" s="202">
        <f t="shared" ref="E61" si="24">SUM(E58:E60)</f>
        <v>470.48758620689659</v>
      </c>
      <c r="F61" s="202">
        <f t="shared" ref="F61" si="25">SUM(F58:F60)</f>
        <v>473.31241379310342</v>
      </c>
      <c r="G61" s="202">
        <f t="shared" ref="G61" si="26">SUM(G58:G60)</f>
        <v>488.30206896551726</v>
      </c>
      <c r="H61" s="202">
        <f t="shared" ref="H61" si="27">SUM(H58:H60)</f>
        <v>503.91379310344826</v>
      </c>
      <c r="I61" s="202">
        <f t="shared" ref="I61" si="28">SUM(I58:I60)</f>
        <v>519.35448275862075</v>
      </c>
      <c r="J61" s="203"/>
      <c r="K61" s="207"/>
      <c r="L61" s="207"/>
      <c r="M61" s="207"/>
      <c r="N61" s="207"/>
    </row>
    <row r="63" spans="3:14">
      <c r="C63" t="s">
        <v>828</v>
      </c>
      <c r="D63" s="202">
        <f>매출!D13*7%</f>
        <v>174.58</v>
      </c>
      <c r="E63" s="202">
        <f>매출!G13*7%</f>
        <v>169.82000000000002</v>
      </c>
      <c r="F63" s="202">
        <f>매출!H13*7%</f>
        <v>175.28000000000003</v>
      </c>
      <c r="G63" s="202">
        <f>매출!I13*7%</f>
        <v>182.14000000000001</v>
      </c>
      <c r="H63" s="202">
        <f>매출!J13*7%</f>
        <v>188.44000000000003</v>
      </c>
      <c r="I63" s="202">
        <f>매출!K13*7%</f>
        <v>195.02</v>
      </c>
    </row>
    <row r="64" spans="3:14">
      <c r="C64" t="s">
        <v>829</v>
      </c>
      <c r="D64" s="202">
        <f>100000*1349.5/10^6</f>
        <v>134.94999999999999</v>
      </c>
      <c r="E64" s="202">
        <f t="shared" ref="E64:I64" si="29">100000*1349.5/10^6</f>
        <v>134.94999999999999</v>
      </c>
      <c r="F64" s="202">
        <f t="shared" si="29"/>
        <v>134.94999999999999</v>
      </c>
      <c r="G64" s="202">
        <f t="shared" si="29"/>
        <v>134.94999999999999</v>
      </c>
      <c r="H64" s="202">
        <f t="shared" si="29"/>
        <v>134.94999999999999</v>
      </c>
      <c r="I64" s="202">
        <f t="shared" si="29"/>
        <v>134.94999999999999</v>
      </c>
    </row>
    <row r="65" spans="3:14">
      <c r="C65" t="s">
        <v>830</v>
      </c>
      <c r="D65" s="202">
        <f t="shared" ref="D65:I65" si="30">MAX(D63,D64)</f>
        <v>174.58</v>
      </c>
      <c r="E65" s="202">
        <f t="shared" si="30"/>
        <v>169.82000000000002</v>
      </c>
      <c r="F65" s="202">
        <f t="shared" si="30"/>
        <v>175.28000000000003</v>
      </c>
      <c r="G65" s="202">
        <f t="shared" si="30"/>
        <v>182.14000000000001</v>
      </c>
      <c r="H65" s="202">
        <f t="shared" si="30"/>
        <v>188.44000000000003</v>
      </c>
      <c r="I65" s="202">
        <f t="shared" si="30"/>
        <v>195.02</v>
      </c>
    </row>
    <row r="66" spans="3:14">
      <c r="D66" s="202"/>
      <c r="E66" s="202"/>
      <c r="F66" s="202"/>
      <c r="G66" s="202"/>
      <c r="H66" s="202"/>
      <c r="I66" s="202"/>
    </row>
    <row r="67" spans="3:14">
      <c r="C67" t="s">
        <v>826</v>
      </c>
      <c r="E67" s="202">
        <f>매출!G13*8%</f>
        <v>194.08</v>
      </c>
      <c r="F67" s="202">
        <f>매출!H13*8%</f>
        <v>200.32</v>
      </c>
      <c r="G67" s="202">
        <f>매출!I13*8%</f>
        <v>208.16</v>
      </c>
      <c r="H67" s="202">
        <f>매출!J13*8%</f>
        <v>215.36</v>
      </c>
      <c r="I67" s="202">
        <f>매출!K13*8%</f>
        <v>222.88</v>
      </c>
    </row>
    <row r="68" spans="3:14">
      <c r="C68" t="s">
        <v>827</v>
      </c>
      <c r="D68" s="202"/>
      <c r="E68" s="202">
        <f t="shared" ref="E68:I68" si="31">5*12</f>
        <v>60</v>
      </c>
      <c r="F68" s="202">
        <f t="shared" si="31"/>
        <v>60</v>
      </c>
      <c r="G68" s="202">
        <f t="shared" si="31"/>
        <v>60</v>
      </c>
      <c r="H68" s="202">
        <f t="shared" si="31"/>
        <v>60</v>
      </c>
      <c r="I68" s="202">
        <f t="shared" si="31"/>
        <v>60</v>
      </c>
    </row>
    <row r="69" spans="3:14">
      <c r="D69" s="202"/>
      <c r="E69" s="202">
        <f>SUM(E67:E68)</f>
        <v>254.08</v>
      </c>
      <c r="F69" s="202">
        <f t="shared" ref="F69" si="32">SUM(F67:F68)</f>
        <v>260.32</v>
      </c>
      <c r="G69" s="202">
        <f t="shared" ref="G69" si="33">SUM(G67:G68)</f>
        <v>268.15999999999997</v>
      </c>
      <c r="H69" s="202">
        <f t="shared" ref="H69" si="34">SUM(H67:H68)</f>
        <v>275.36</v>
      </c>
      <c r="I69" s="202">
        <f t="shared" ref="I69" si="35">SUM(I67:I68)</f>
        <v>282.88</v>
      </c>
    </row>
    <row r="70" spans="3:14">
      <c r="D70" s="207">
        <f>D60/매출!D13</f>
        <v>1.7241379310344827E-2</v>
      </c>
      <c r="E70" s="207">
        <v>1.7241379310344827E-2</v>
      </c>
      <c r="F70" s="207">
        <v>1.7241379310344827E-2</v>
      </c>
      <c r="G70" s="207">
        <v>1.7241379310344827E-2</v>
      </c>
      <c r="H70" s="207">
        <v>1.7241379310344827E-2</v>
      </c>
      <c r="I70" s="207">
        <v>1.7241379310344827E-2</v>
      </c>
    </row>
    <row r="73" spans="3:14">
      <c r="D73" t="s">
        <v>276</v>
      </c>
      <c r="E73" t="s">
        <v>242</v>
      </c>
    </row>
    <row r="74" spans="3:14">
      <c r="C74" t="s">
        <v>511</v>
      </c>
      <c r="D74" t="s">
        <v>111</v>
      </c>
      <c r="E74" t="s">
        <v>200</v>
      </c>
      <c r="F74" t="s">
        <v>148</v>
      </c>
      <c r="G74" t="s">
        <v>149</v>
      </c>
      <c r="H74" t="s">
        <v>150</v>
      </c>
      <c r="I74" t="s">
        <v>207</v>
      </c>
    </row>
    <row r="75" spans="3:14">
      <c r="C75" t="s">
        <v>529</v>
      </c>
      <c r="D75" s="202">
        <v>188</v>
      </c>
      <c r="E75" s="202">
        <f>D83</f>
        <v>169.54000000000002</v>
      </c>
      <c r="F75" s="202">
        <f t="shared" ref="F75:I75" si="36">E83</f>
        <v>169.89000000000001</v>
      </c>
      <c r="G75" s="202">
        <f t="shared" si="36"/>
        <v>175.28000000000003</v>
      </c>
      <c r="H75" s="202">
        <f t="shared" si="36"/>
        <v>182.14000000000001</v>
      </c>
      <c r="I75" s="202">
        <f t="shared" si="36"/>
        <v>188.51000000000002</v>
      </c>
      <c r="J75" s="203"/>
      <c r="K75" s="207"/>
      <c r="L75" s="207"/>
      <c r="M75" s="207"/>
      <c r="N75" s="207"/>
    </row>
    <row r="76" spans="3:14">
      <c r="C76" t="s">
        <v>527</v>
      </c>
      <c r="D76" s="202">
        <v>195</v>
      </c>
      <c r="E76" s="202">
        <f>E87</f>
        <v>242.70000000000002</v>
      </c>
      <c r="F76" s="202">
        <f t="shared" ref="F76:I76" si="37">F87</f>
        <v>250.4</v>
      </c>
      <c r="G76" s="202">
        <f t="shared" si="37"/>
        <v>260.2</v>
      </c>
      <c r="H76" s="202">
        <f t="shared" si="37"/>
        <v>269.3</v>
      </c>
      <c r="I76" s="202">
        <f t="shared" si="37"/>
        <v>278.8</v>
      </c>
      <c r="J76" s="203"/>
      <c r="K76" s="207"/>
      <c r="L76" s="207"/>
      <c r="M76" s="207"/>
      <c r="N76" s="207"/>
    </row>
    <row r="77" spans="3:14">
      <c r="C77" t="s">
        <v>234</v>
      </c>
      <c r="D77" s="202">
        <v>38</v>
      </c>
      <c r="E77" s="202">
        <f>매출!G14*E88</f>
        <v>38.078447563996697</v>
      </c>
      <c r="F77" s="202">
        <f>매출!H14*F88</f>
        <v>39.286540049545827</v>
      </c>
      <c r="G77" s="202">
        <f>매출!I14*G88</f>
        <v>40.824112303881087</v>
      </c>
      <c r="H77" s="202">
        <f>매출!J14*H88</f>
        <v>42.251857968620975</v>
      </c>
      <c r="I77" s="202">
        <f>매출!K14*I88</f>
        <v>43.742361684558219</v>
      </c>
      <c r="J77" s="203"/>
      <c r="K77" s="207"/>
      <c r="L77" s="207"/>
      <c r="M77" s="207"/>
      <c r="N77" s="207"/>
    </row>
    <row r="78" spans="3:14">
      <c r="C78" t="s">
        <v>528</v>
      </c>
      <c r="D78" s="202">
        <f>SUM(D75:D77)</f>
        <v>421</v>
      </c>
      <c r="E78" s="202">
        <f t="shared" ref="E78:I78" si="38">SUM(E75:E77)</f>
        <v>450.3184475639967</v>
      </c>
      <c r="F78" s="202">
        <f t="shared" si="38"/>
        <v>459.57654004954583</v>
      </c>
      <c r="G78" s="202">
        <f t="shared" si="38"/>
        <v>476.30411230388108</v>
      </c>
      <c r="H78" s="202">
        <f t="shared" si="38"/>
        <v>493.69185796862104</v>
      </c>
      <c r="I78" s="202">
        <f t="shared" si="38"/>
        <v>511.05236168455826</v>
      </c>
      <c r="J78" s="203"/>
      <c r="K78" s="207"/>
      <c r="L78" s="207"/>
      <c r="M78" s="207"/>
      <c r="N78" s="207"/>
    </row>
    <row r="81" spans="3:14">
      <c r="C81" t="s">
        <v>828</v>
      </c>
      <c r="D81" s="202">
        <f>매출!D14*7%</f>
        <v>169.54000000000002</v>
      </c>
      <c r="E81" s="202">
        <f>매출!G14*7%</f>
        <v>169.89000000000001</v>
      </c>
      <c r="F81" s="202">
        <f>매출!H14*7%</f>
        <v>175.28000000000003</v>
      </c>
      <c r="G81" s="202">
        <f>매출!I14*7%</f>
        <v>182.14000000000001</v>
      </c>
      <c r="H81" s="202">
        <f>매출!J14*7%</f>
        <v>188.51000000000002</v>
      </c>
      <c r="I81" s="202">
        <f>매출!K14*7%</f>
        <v>195.16000000000003</v>
      </c>
    </row>
    <row r="82" spans="3:14">
      <c r="C82" t="s">
        <v>829</v>
      </c>
      <c r="D82" s="202">
        <f>100000*1349.5/10^6</f>
        <v>134.94999999999999</v>
      </c>
      <c r="E82" s="202">
        <f t="shared" ref="E82:I82" si="39">100000*1349.5/10^6</f>
        <v>134.94999999999999</v>
      </c>
      <c r="F82" s="202">
        <f t="shared" si="39"/>
        <v>134.94999999999999</v>
      </c>
      <c r="G82" s="202">
        <f t="shared" si="39"/>
        <v>134.94999999999999</v>
      </c>
      <c r="H82" s="202">
        <f t="shared" si="39"/>
        <v>134.94999999999999</v>
      </c>
      <c r="I82" s="202">
        <f t="shared" si="39"/>
        <v>134.94999999999999</v>
      </c>
    </row>
    <row r="83" spans="3:14">
      <c r="C83" t="s">
        <v>830</v>
      </c>
      <c r="D83" s="202">
        <f t="shared" ref="D83:I83" si="40">MAX(D81,D82)</f>
        <v>169.54000000000002</v>
      </c>
      <c r="E83" s="202">
        <f t="shared" si="40"/>
        <v>169.89000000000001</v>
      </c>
      <c r="F83" s="202">
        <f t="shared" si="40"/>
        <v>175.28000000000003</v>
      </c>
      <c r="G83" s="202">
        <f t="shared" si="40"/>
        <v>182.14000000000001</v>
      </c>
      <c r="H83" s="202">
        <f t="shared" si="40"/>
        <v>188.51000000000002</v>
      </c>
      <c r="I83" s="202">
        <f t="shared" si="40"/>
        <v>195.16000000000003</v>
      </c>
    </row>
    <row r="85" spans="3:14">
      <c r="C85" t="s">
        <v>826</v>
      </c>
      <c r="E85" s="202">
        <f>매출!G14*10%</f>
        <v>242.70000000000002</v>
      </c>
      <c r="F85" s="202">
        <f>매출!H14*10%</f>
        <v>250.4</v>
      </c>
      <c r="G85" s="202">
        <f>매출!I14*10%</f>
        <v>260.2</v>
      </c>
      <c r="H85" s="202">
        <f>매출!J14*10%</f>
        <v>269.3</v>
      </c>
      <c r="I85" s="202">
        <f>매출!K14*10%</f>
        <v>278.8</v>
      </c>
    </row>
    <row r="86" spans="3:14">
      <c r="C86" t="s">
        <v>827</v>
      </c>
      <c r="D86" s="202"/>
      <c r="E86" s="202"/>
      <c r="F86" s="202"/>
      <c r="G86" s="202"/>
      <c r="H86" s="202"/>
      <c r="I86" s="202"/>
    </row>
    <row r="87" spans="3:14">
      <c r="D87" s="202"/>
      <c r="E87" s="202">
        <f>SUM(E85:E86)</f>
        <v>242.70000000000002</v>
      </c>
      <c r="F87" s="202">
        <f t="shared" ref="F87" si="41">SUM(F85:F86)</f>
        <v>250.4</v>
      </c>
      <c r="G87" s="202">
        <f t="shared" ref="G87" si="42">SUM(G85:G86)</f>
        <v>260.2</v>
      </c>
      <c r="H87" s="202">
        <f t="shared" ref="H87" si="43">SUM(H85:H86)</f>
        <v>269.3</v>
      </c>
      <c r="I87" s="202">
        <f t="shared" ref="I87" si="44">SUM(I85:I86)</f>
        <v>278.8</v>
      </c>
    </row>
    <row r="88" spans="3:14">
      <c r="D88" s="203">
        <f>D77/매출!D14</f>
        <v>1.5689512799339389E-2</v>
      </c>
      <c r="E88" s="203">
        <v>1.5689512799339389E-2</v>
      </c>
      <c r="F88" s="203">
        <v>1.5689512799339389E-2</v>
      </c>
      <c r="G88" s="203">
        <v>1.5689512799339389E-2</v>
      </c>
      <c r="H88" s="203">
        <v>1.5689512799339389E-2</v>
      </c>
      <c r="I88" s="203">
        <v>1.5689512799339389E-2</v>
      </c>
    </row>
    <row r="89" spans="3:14">
      <c r="D89" s="202"/>
      <c r="E89" s="202"/>
      <c r="F89" s="202"/>
      <c r="G89" s="202"/>
      <c r="H89" s="202"/>
      <c r="I89" s="202"/>
    </row>
    <row r="91" spans="3:14">
      <c r="D91" t="s">
        <v>276</v>
      </c>
      <c r="E91" t="s">
        <v>242</v>
      </c>
    </row>
    <row r="92" spans="3:14">
      <c r="C92" t="s">
        <v>512</v>
      </c>
      <c r="D92" t="s">
        <v>111</v>
      </c>
      <c r="E92" t="s">
        <v>200</v>
      </c>
      <c r="F92" t="s">
        <v>148</v>
      </c>
      <c r="G92" t="s">
        <v>149</v>
      </c>
      <c r="H92" t="s">
        <v>150</v>
      </c>
      <c r="I92" t="s">
        <v>207</v>
      </c>
    </row>
    <row r="93" spans="3:14">
      <c r="C93" t="s">
        <v>529</v>
      </c>
      <c r="D93" s="202">
        <v>15</v>
      </c>
      <c r="E93" s="202">
        <f>D101</f>
        <v>134.94999999999999</v>
      </c>
      <c r="F93" s="202">
        <f t="shared" ref="F93:I93" si="45">E101</f>
        <v>186.13000000000002</v>
      </c>
      <c r="G93" s="202">
        <f t="shared" si="45"/>
        <v>153.72000000000003</v>
      </c>
      <c r="H93" s="202">
        <f t="shared" si="45"/>
        <v>159.88000000000002</v>
      </c>
      <c r="I93" s="202">
        <f t="shared" si="45"/>
        <v>165.48000000000002</v>
      </c>
      <c r="J93" s="203"/>
      <c r="K93" s="207"/>
      <c r="L93" s="207"/>
      <c r="M93" s="207"/>
      <c r="N93" s="207"/>
    </row>
    <row r="94" spans="3:14">
      <c r="C94" t="s">
        <v>527</v>
      </c>
      <c r="D94" s="202">
        <v>19</v>
      </c>
      <c r="E94" s="202">
        <f>E105</f>
        <v>186.13000000000002</v>
      </c>
      <c r="F94" s="202">
        <f t="shared" ref="F94:I94" si="46">F105</f>
        <v>153.72000000000003</v>
      </c>
      <c r="G94" s="202">
        <f t="shared" si="46"/>
        <v>159.88000000000002</v>
      </c>
      <c r="H94" s="202">
        <f t="shared" si="46"/>
        <v>165.48000000000002</v>
      </c>
      <c r="I94" s="202">
        <f t="shared" si="46"/>
        <v>171.22000000000003</v>
      </c>
      <c r="J94" s="203"/>
      <c r="K94" s="207"/>
      <c r="L94" s="207"/>
      <c r="M94" s="207"/>
      <c r="N94" s="207"/>
    </row>
    <row r="95" spans="3:14">
      <c r="C95" t="s">
        <v>234</v>
      </c>
      <c r="D95" s="202">
        <v>3</v>
      </c>
      <c r="E95" s="202">
        <f>매출!G15*E106</f>
        <v>41.718414533443436</v>
      </c>
      <c r="F95" s="202">
        <f>매출!H15*F106</f>
        <v>34.454170107349299</v>
      </c>
      <c r="G95" s="202">
        <f>매출!I15*G106</f>
        <v>35.834847233691164</v>
      </c>
      <c r="H95" s="202">
        <f>매출!J15*H106</f>
        <v>37.090008257638317</v>
      </c>
      <c r="I95" s="202">
        <f>매출!K15*I106</f>
        <v>38.376548307184144</v>
      </c>
      <c r="J95" s="203"/>
      <c r="K95" s="207"/>
      <c r="L95" s="207"/>
      <c r="M95" s="207"/>
      <c r="N95" s="207"/>
    </row>
    <row r="96" spans="3:14">
      <c r="C96" t="s">
        <v>528</v>
      </c>
      <c r="D96" s="202">
        <f>SUM(D93:D95)</f>
        <v>37</v>
      </c>
      <c r="E96" s="202">
        <f t="shared" ref="E96:I96" si="47">SUM(E93:E95)</f>
        <v>362.79841453344346</v>
      </c>
      <c r="F96" s="202">
        <f t="shared" si="47"/>
        <v>374.30417010734931</v>
      </c>
      <c r="G96" s="202">
        <f t="shared" si="47"/>
        <v>349.43484723369119</v>
      </c>
      <c r="H96" s="202">
        <f t="shared" si="47"/>
        <v>362.45000825763833</v>
      </c>
      <c r="I96" s="202">
        <f t="shared" si="47"/>
        <v>375.07654830718417</v>
      </c>
      <c r="J96" s="203"/>
      <c r="K96" s="207"/>
      <c r="L96" s="207"/>
      <c r="M96" s="207"/>
      <c r="N96" s="207"/>
    </row>
    <row r="99" spans="3:14">
      <c r="C99" t="s">
        <v>828</v>
      </c>
      <c r="D99" s="202">
        <f>매출!D15*7%</f>
        <v>19.32</v>
      </c>
      <c r="E99" s="202">
        <f>매출!G15*7%</f>
        <v>186.13000000000002</v>
      </c>
      <c r="F99" s="202">
        <f>매출!H15*7%</f>
        <v>153.72000000000003</v>
      </c>
      <c r="G99" s="202">
        <f>매출!I15*7%</f>
        <v>159.88000000000002</v>
      </c>
      <c r="H99" s="202">
        <f>매출!J15*7%</f>
        <v>165.48000000000002</v>
      </c>
      <c r="I99" s="202">
        <f>매출!K15*7%</f>
        <v>171.22000000000003</v>
      </c>
    </row>
    <row r="100" spans="3:14">
      <c r="C100" t="s">
        <v>829</v>
      </c>
      <c r="D100" s="202">
        <f>100000*1349.5/10^6</f>
        <v>134.94999999999999</v>
      </c>
      <c r="E100" s="202">
        <f t="shared" ref="E100:I100" si="48">100000*1349.5/10^6</f>
        <v>134.94999999999999</v>
      </c>
      <c r="F100" s="202">
        <f t="shared" si="48"/>
        <v>134.94999999999999</v>
      </c>
      <c r="G100" s="202">
        <f t="shared" si="48"/>
        <v>134.94999999999999</v>
      </c>
      <c r="H100" s="202">
        <f t="shared" si="48"/>
        <v>134.94999999999999</v>
      </c>
      <c r="I100" s="202">
        <f t="shared" si="48"/>
        <v>134.94999999999999</v>
      </c>
    </row>
    <row r="101" spans="3:14">
      <c r="C101" t="s">
        <v>830</v>
      </c>
      <c r="D101" s="202">
        <f t="shared" ref="D101:I101" si="49">MAX(D99,D100)</f>
        <v>134.94999999999999</v>
      </c>
      <c r="E101" s="202">
        <f t="shared" si="49"/>
        <v>186.13000000000002</v>
      </c>
      <c r="F101" s="202">
        <f t="shared" si="49"/>
        <v>153.72000000000003</v>
      </c>
      <c r="G101" s="202">
        <f t="shared" si="49"/>
        <v>159.88000000000002</v>
      </c>
      <c r="H101" s="202">
        <f t="shared" si="49"/>
        <v>165.48000000000002</v>
      </c>
      <c r="I101" s="202">
        <f t="shared" si="49"/>
        <v>171.22000000000003</v>
      </c>
    </row>
    <row r="103" spans="3:14">
      <c r="C103" t="s">
        <v>826</v>
      </c>
      <c r="E103" s="202">
        <f>매출!G15*7%</f>
        <v>186.13000000000002</v>
      </c>
      <c r="F103" s="202">
        <f>매출!H15*7%</f>
        <v>153.72000000000003</v>
      </c>
      <c r="G103" s="202">
        <f>매출!I15*7%</f>
        <v>159.88000000000002</v>
      </c>
      <c r="H103" s="202">
        <f>매출!J15*7%</f>
        <v>165.48000000000002</v>
      </c>
      <c r="I103" s="202">
        <f>매출!K15*7%</f>
        <v>171.22000000000003</v>
      </c>
    </row>
    <row r="104" spans="3:14">
      <c r="D104" s="202"/>
      <c r="E104" s="202"/>
      <c r="F104" s="202"/>
      <c r="G104" s="202"/>
      <c r="H104" s="202"/>
      <c r="I104" s="202"/>
    </row>
    <row r="105" spans="3:14">
      <c r="D105" s="202"/>
      <c r="E105" s="202">
        <f>SUM(E103:E104)</f>
        <v>186.13000000000002</v>
      </c>
      <c r="F105" s="202">
        <f t="shared" ref="F105" si="50">SUM(F103:F104)</f>
        <v>153.72000000000003</v>
      </c>
      <c r="G105" s="202">
        <f t="shared" ref="G105" si="51">SUM(G103:G104)</f>
        <v>159.88000000000002</v>
      </c>
      <c r="H105" s="202">
        <f t="shared" ref="H105" si="52">SUM(H103:H104)</f>
        <v>165.48000000000002</v>
      </c>
      <c r="I105" s="202">
        <f t="shared" ref="I105" si="53">SUM(I103:I104)</f>
        <v>171.22000000000003</v>
      </c>
    </row>
    <row r="106" spans="3:14">
      <c r="D106" s="203">
        <v>1.5689512799339389E-2</v>
      </c>
      <c r="E106" s="203">
        <v>1.5689512799339389E-2</v>
      </c>
      <c r="F106" s="203">
        <v>1.5689512799339389E-2</v>
      </c>
      <c r="G106" s="203">
        <v>1.5689512799339389E-2</v>
      </c>
      <c r="H106" s="203">
        <v>1.5689512799339389E-2</v>
      </c>
      <c r="I106" s="203">
        <v>1.5689512799339389E-2</v>
      </c>
    </row>
    <row r="110" spans="3:14">
      <c r="D110" t="s">
        <v>276</v>
      </c>
      <c r="E110" t="s">
        <v>242</v>
      </c>
    </row>
    <row r="111" spans="3:14">
      <c r="C111" t="s">
        <v>513</v>
      </c>
      <c r="D111" t="s">
        <v>111</v>
      </c>
      <c r="E111" t="s">
        <v>200</v>
      </c>
      <c r="F111" t="s">
        <v>148</v>
      </c>
      <c r="G111" t="s">
        <v>149</v>
      </c>
      <c r="H111" t="s">
        <v>150</v>
      </c>
      <c r="I111" t="s">
        <v>207</v>
      </c>
    </row>
    <row r="112" spans="3:14">
      <c r="C112" t="s">
        <v>529</v>
      </c>
      <c r="D112" s="202"/>
      <c r="E112" s="202">
        <f>D120/2</f>
        <v>67.474999999999994</v>
      </c>
      <c r="F112" s="202">
        <f t="shared" ref="F112:I112" si="54">E120</f>
        <v>134.94999999999999</v>
      </c>
      <c r="G112" s="202">
        <f t="shared" si="54"/>
        <v>176.75000000000003</v>
      </c>
      <c r="H112" s="202">
        <f t="shared" si="54"/>
        <v>160.37</v>
      </c>
      <c r="I112" s="202">
        <f t="shared" si="54"/>
        <v>166.04000000000002</v>
      </c>
      <c r="J112" s="203"/>
      <c r="K112" s="207"/>
      <c r="L112" s="207"/>
      <c r="M112" s="207"/>
      <c r="N112" s="207"/>
    </row>
    <row r="113" spans="3:14">
      <c r="C113" t="s">
        <v>527</v>
      </c>
      <c r="D113" s="202"/>
      <c r="E113" s="202">
        <f>E124</f>
        <v>77.77000000000001</v>
      </c>
      <c r="F113" s="202">
        <f t="shared" ref="F113:I113" si="55">F124</f>
        <v>176.75000000000003</v>
      </c>
      <c r="G113" s="202">
        <f t="shared" si="55"/>
        <v>160.37</v>
      </c>
      <c r="H113" s="202">
        <f t="shared" si="55"/>
        <v>166.04000000000002</v>
      </c>
      <c r="I113" s="202">
        <f t="shared" si="55"/>
        <v>171.85000000000002</v>
      </c>
      <c r="J113" s="203"/>
      <c r="K113" s="207"/>
      <c r="L113" s="207"/>
      <c r="M113" s="207"/>
      <c r="N113" s="207"/>
    </row>
    <row r="114" spans="3:14">
      <c r="C114" t="s">
        <v>234</v>
      </c>
      <c r="D114" s="202"/>
      <c r="E114" s="202">
        <f>매출!G16*변동비!E125</f>
        <v>17.431048720066062</v>
      </c>
      <c r="F114" s="202">
        <f>매출!H16*변동비!F125</f>
        <v>39.616019818331957</v>
      </c>
      <c r="G114" s="202">
        <f>매출!I16*변동비!G125</f>
        <v>35.944673823286543</v>
      </c>
      <c r="H114" s="202">
        <f>매출!J16*변동비!H125</f>
        <v>37.215524360033029</v>
      </c>
      <c r="I114" s="202">
        <f>매출!K16*변동비!I125</f>
        <v>38.517753922378198</v>
      </c>
      <c r="J114" s="203"/>
      <c r="K114" s="207"/>
      <c r="L114" s="207"/>
      <c r="M114" s="207"/>
      <c r="N114" s="207"/>
    </row>
    <row r="115" spans="3:14">
      <c r="C115" t="s">
        <v>528</v>
      </c>
      <c r="D115" s="202">
        <f>SUM(D112:D114)</f>
        <v>0</v>
      </c>
      <c r="E115" s="202">
        <f t="shared" ref="E115:I115" si="56">SUM(E112:E114)</f>
        <v>162.67604872006606</v>
      </c>
      <c r="F115" s="202">
        <f t="shared" si="56"/>
        <v>351.31601981833199</v>
      </c>
      <c r="G115" s="202">
        <f t="shared" si="56"/>
        <v>373.06467382328657</v>
      </c>
      <c r="H115" s="202">
        <f t="shared" si="56"/>
        <v>363.62552436003307</v>
      </c>
      <c r="I115" s="202">
        <f t="shared" si="56"/>
        <v>376.40775392237822</v>
      </c>
      <c r="J115" s="203"/>
      <c r="K115" s="207"/>
      <c r="L115" s="207"/>
      <c r="M115" s="207"/>
      <c r="N115" s="207"/>
    </row>
    <row r="118" spans="3:14">
      <c r="C118" t="s">
        <v>828</v>
      </c>
      <c r="D118" s="202">
        <f>매출!D16*7%</f>
        <v>0</v>
      </c>
      <c r="E118" s="202">
        <f>매출!G16*7%</f>
        <v>77.77000000000001</v>
      </c>
      <c r="F118" s="202">
        <f>매출!H16*7%</f>
        <v>176.75000000000003</v>
      </c>
      <c r="G118" s="202">
        <f>매출!I16*7%</f>
        <v>160.37</v>
      </c>
      <c r="H118" s="202">
        <f>매출!J16*7%</f>
        <v>166.04000000000002</v>
      </c>
      <c r="I118" s="202">
        <f>매출!K16*7%</f>
        <v>171.85000000000002</v>
      </c>
    </row>
    <row r="119" spans="3:14">
      <c r="C119" t="s">
        <v>829</v>
      </c>
      <c r="D119" s="202">
        <f>100000*1349.5/10^6</f>
        <v>134.94999999999999</v>
      </c>
      <c r="E119" s="202">
        <f t="shared" ref="E119:I119" si="57">100000*1349.5/10^6</f>
        <v>134.94999999999999</v>
      </c>
      <c r="F119" s="202">
        <f t="shared" si="57"/>
        <v>134.94999999999999</v>
      </c>
      <c r="G119" s="202">
        <f t="shared" si="57"/>
        <v>134.94999999999999</v>
      </c>
      <c r="H119" s="202">
        <f t="shared" si="57"/>
        <v>134.94999999999999</v>
      </c>
      <c r="I119" s="202">
        <f t="shared" si="57"/>
        <v>134.94999999999999</v>
      </c>
    </row>
    <row r="120" spans="3:14">
      <c r="C120" t="s">
        <v>830</v>
      </c>
      <c r="D120" s="202">
        <f t="shared" ref="D120:I120" si="58">MAX(D118,D119)</f>
        <v>134.94999999999999</v>
      </c>
      <c r="E120" s="202">
        <f t="shared" si="58"/>
        <v>134.94999999999999</v>
      </c>
      <c r="F120" s="202">
        <f t="shared" si="58"/>
        <v>176.75000000000003</v>
      </c>
      <c r="G120" s="202">
        <f t="shared" si="58"/>
        <v>160.37</v>
      </c>
      <c r="H120" s="202">
        <f t="shared" si="58"/>
        <v>166.04000000000002</v>
      </c>
      <c r="I120" s="202">
        <f t="shared" si="58"/>
        <v>171.85000000000002</v>
      </c>
    </row>
    <row r="122" spans="3:14">
      <c r="C122" t="s">
        <v>826</v>
      </c>
      <c r="E122" s="202">
        <f>매출!G16*7%</f>
        <v>77.77000000000001</v>
      </c>
      <c r="F122" s="202">
        <f>매출!H16*7%</f>
        <v>176.75000000000003</v>
      </c>
      <c r="G122" s="202">
        <f>매출!I16*7%</f>
        <v>160.37</v>
      </c>
      <c r="H122" s="202">
        <f>매출!J16*7%</f>
        <v>166.04000000000002</v>
      </c>
      <c r="I122" s="202">
        <f>매출!K16*7%</f>
        <v>171.85000000000002</v>
      </c>
    </row>
    <row r="123" spans="3:14">
      <c r="D123" s="202"/>
      <c r="E123" s="202"/>
      <c r="F123" s="202"/>
      <c r="G123" s="202"/>
      <c r="H123" s="202"/>
      <c r="I123" s="202"/>
    </row>
    <row r="124" spans="3:14">
      <c r="D124" s="202"/>
      <c r="E124" s="202">
        <f>SUM(E122:E123)</f>
        <v>77.77000000000001</v>
      </c>
      <c r="F124" s="202">
        <f t="shared" ref="F124" si="59">SUM(F122:F123)</f>
        <v>176.75000000000003</v>
      </c>
      <c r="G124" s="202">
        <f t="shared" ref="G124" si="60">SUM(G122:G123)</f>
        <v>160.37</v>
      </c>
      <c r="H124" s="202">
        <f t="shared" ref="H124" si="61">SUM(H122:H123)</f>
        <v>166.04000000000002</v>
      </c>
      <c r="I124" s="202">
        <f t="shared" ref="I124" si="62">SUM(I122:I123)</f>
        <v>171.85000000000002</v>
      </c>
    </row>
    <row r="125" spans="3:14">
      <c r="D125" s="203">
        <v>1.5689512799339389E-2</v>
      </c>
      <c r="E125" s="203">
        <v>1.5689512799339389E-2</v>
      </c>
      <c r="F125" s="203">
        <v>1.5689512799339389E-2</v>
      </c>
      <c r="G125" s="203">
        <v>1.5689512799339389E-2</v>
      </c>
      <c r="H125" s="203">
        <v>1.5689512799339389E-2</v>
      </c>
      <c r="I125" s="203">
        <v>1.5689512799339389E-2</v>
      </c>
    </row>
    <row r="127" spans="3:14">
      <c r="D127" t="s">
        <v>276</v>
      </c>
      <c r="E127" t="s">
        <v>242</v>
      </c>
    </row>
    <row r="128" spans="3:14">
      <c r="C128" t="s">
        <v>514</v>
      </c>
      <c r="D128" t="s">
        <v>111</v>
      </c>
      <c r="E128" t="s">
        <v>200</v>
      </c>
      <c r="F128" t="s">
        <v>148</v>
      </c>
      <c r="G128" t="s">
        <v>149</v>
      </c>
      <c r="H128" t="s">
        <v>150</v>
      </c>
      <c r="I128" t="s">
        <v>207</v>
      </c>
    </row>
    <row r="129" spans="3:14">
      <c r="C129" t="s">
        <v>529</v>
      </c>
      <c r="D129" s="202"/>
      <c r="E129" s="202">
        <v>20</v>
      </c>
      <c r="F129" s="202">
        <f t="shared" ref="F129:I129" si="63">E137</f>
        <v>269.89999999999998</v>
      </c>
      <c r="G129" s="202">
        <f t="shared" si="63"/>
        <v>679.28000000000009</v>
      </c>
      <c r="H129" s="202">
        <f t="shared" si="63"/>
        <v>481.74000000000007</v>
      </c>
      <c r="I129" s="202">
        <f t="shared" si="63"/>
        <v>383.88000000000005</v>
      </c>
      <c r="J129" s="203"/>
      <c r="K129" s="207"/>
      <c r="L129" s="207"/>
      <c r="M129" s="207"/>
      <c r="N129" s="207"/>
    </row>
    <row r="130" spans="3:14">
      <c r="C130" t="s">
        <v>527</v>
      </c>
      <c r="D130" s="202"/>
      <c r="E130" s="202">
        <f>E141</f>
        <v>140.60000000000002</v>
      </c>
      <c r="F130" s="202">
        <f t="shared" ref="F130:I130" si="64">F141</f>
        <v>1030.4000000000001</v>
      </c>
      <c r="G130" s="202">
        <f t="shared" si="64"/>
        <v>748.2</v>
      </c>
      <c r="H130" s="202">
        <f t="shared" si="64"/>
        <v>608.4</v>
      </c>
      <c r="I130" s="202">
        <f t="shared" si="64"/>
        <v>627.6</v>
      </c>
      <c r="J130" s="203"/>
      <c r="K130" s="207"/>
      <c r="L130" s="207"/>
      <c r="M130" s="207"/>
      <c r="N130" s="207"/>
    </row>
    <row r="131" spans="3:14">
      <c r="C131" t="s">
        <v>234</v>
      </c>
      <c r="D131" s="202"/>
      <c r="E131" s="202">
        <f>매출!G17*E142</f>
        <v>12.645747316267547</v>
      </c>
      <c r="F131" s="202">
        <f>매출!H17*F142</f>
        <v>152.25103220478942</v>
      </c>
      <c r="G131" s="202">
        <f>매출!I17*G142</f>
        <v>107.97522708505367</v>
      </c>
      <c r="H131" s="202">
        <f>매출!J17*H142</f>
        <v>86.041288191577209</v>
      </c>
      <c r="I131" s="202">
        <f>매출!K17*I142</f>
        <v>89.053674649050379</v>
      </c>
      <c r="J131" s="203"/>
      <c r="K131" s="207"/>
      <c r="L131" s="207"/>
      <c r="M131" s="207"/>
      <c r="N131" s="207"/>
    </row>
    <row r="132" spans="3:14">
      <c r="C132" t="s">
        <v>528</v>
      </c>
      <c r="D132" s="202">
        <f>SUM(D129:D131)</f>
        <v>0</v>
      </c>
      <c r="E132" s="202">
        <f t="shared" ref="E132:I132" si="65">SUM(E129:E131)</f>
        <v>173.24574731626757</v>
      </c>
      <c r="F132" s="202">
        <f t="shared" si="65"/>
        <v>1452.5510322047896</v>
      </c>
      <c r="G132" s="202">
        <f t="shared" si="65"/>
        <v>1535.4552270850536</v>
      </c>
      <c r="H132" s="202">
        <f t="shared" si="65"/>
        <v>1176.1812881915773</v>
      </c>
      <c r="I132" s="202">
        <f t="shared" si="65"/>
        <v>1100.5336746490505</v>
      </c>
      <c r="J132" s="203"/>
      <c r="K132" s="207"/>
      <c r="L132" s="207"/>
      <c r="M132" s="207"/>
      <c r="N132" s="207"/>
    </row>
    <row r="135" spans="3:14">
      <c r="C135" t="s">
        <v>828</v>
      </c>
      <c r="D135" s="202">
        <f>매출!D17*7%</f>
        <v>0</v>
      </c>
      <c r="E135" s="202">
        <f>매출!G17*7%</f>
        <v>56.420000000000009</v>
      </c>
      <c r="F135" s="202">
        <f>매출!H17*7%</f>
        <v>679.28000000000009</v>
      </c>
      <c r="G135" s="202">
        <f>매출!I17*7%</f>
        <v>481.74000000000007</v>
      </c>
      <c r="H135" s="202">
        <f>매출!J17*7%</f>
        <v>383.88000000000005</v>
      </c>
      <c r="I135" s="202">
        <f>매출!K17*7%</f>
        <v>397.32000000000005</v>
      </c>
    </row>
    <row r="136" spans="3:14">
      <c r="C136" t="s">
        <v>829</v>
      </c>
      <c r="D136" s="202">
        <f>200000*1349.5/10^6</f>
        <v>269.89999999999998</v>
      </c>
      <c r="E136" s="202">
        <f t="shared" ref="E136:I136" si="66">200000*1349.5/10^6</f>
        <v>269.89999999999998</v>
      </c>
      <c r="F136" s="202">
        <f t="shared" si="66"/>
        <v>269.89999999999998</v>
      </c>
      <c r="G136" s="202">
        <f t="shared" si="66"/>
        <v>269.89999999999998</v>
      </c>
      <c r="H136" s="202">
        <f t="shared" si="66"/>
        <v>269.89999999999998</v>
      </c>
      <c r="I136" s="202">
        <f t="shared" si="66"/>
        <v>269.89999999999998</v>
      </c>
    </row>
    <row r="137" spans="3:14">
      <c r="C137" t="s">
        <v>830</v>
      </c>
      <c r="D137" s="202">
        <f t="shared" ref="D137:I137" si="67">MAX(D135,D136)</f>
        <v>269.89999999999998</v>
      </c>
      <c r="E137" s="202">
        <f t="shared" si="67"/>
        <v>269.89999999999998</v>
      </c>
      <c r="F137" s="202">
        <f t="shared" si="67"/>
        <v>679.28000000000009</v>
      </c>
      <c r="G137" s="202">
        <f t="shared" si="67"/>
        <v>481.74000000000007</v>
      </c>
      <c r="H137" s="202">
        <f t="shared" si="67"/>
        <v>383.88000000000005</v>
      </c>
      <c r="I137" s="202">
        <f t="shared" si="67"/>
        <v>397.32000000000005</v>
      </c>
    </row>
    <row r="139" spans="3:14">
      <c r="C139" t="s">
        <v>826</v>
      </c>
      <c r="E139" s="202">
        <f>매출!G17*10%</f>
        <v>80.600000000000009</v>
      </c>
      <c r="F139" s="202">
        <f>매출!H17*10%</f>
        <v>970.40000000000009</v>
      </c>
      <c r="G139" s="202">
        <f>매출!I17*10%</f>
        <v>688.2</v>
      </c>
      <c r="H139" s="202">
        <f>매출!J17*10%</f>
        <v>548.4</v>
      </c>
      <c r="I139" s="202">
        <f>매출!K17*10%</f>
        <v>567.6</v>
      </c>
    </row>
    <row r="140" spans="3:14">
      <c r="D140" s="202"/>
      <c r="E140" s="202">
        <v>60</v>
      </c>
      <c r="F140" s="202">
        <v>60</v>
      </c>
      <c r="G140" s="202">
        <v>60</v>
      </c>
      <c r="H140" s="202">
        <v>60</v>
      </c>
      <c r="I140" s="202">
        <v>60</v>
      </c>
    </row>
    <row r="141" spans="3:14">
      <c r="D141" s="202"/>
      <c r="E141" s="202">
        <f>SUM(E139:E140)</f>
        <v>140.60000000000002</v>
      </c>
      <c r="F141" s="202">
        <f t="shared" ref="F141" si="68">SUM(F139:F140)</f>
        <v>1030.4000000000001</v>
      </c>
      <c r="G141" s="202">
        <f t="shared" ref="G141" si="69">SUM(G139:G140)</f>
        <v>748.2</v>
      </c>
      <c r="H141" s="202">
        <f t="shared" ref="H141" si="70">SUM(H139:H140)</f>
        <v>608.4</v>
      </c>
      <c r="I141" s="202">
        <f t="shared" ref="I141" si="71">SUM(I139:I140)</f>
        <v>627.6</v>
      </c>
    </row>
    <row r="142" spans="3:14">
      <c r="D142" s="203">
        <v>1.5689512799339389E-2</v>
      </c>
      <c r="E142" s="203">
        <v>1.5689512799339389E-2</v>
      </c>
      <c r="F142" s="203">
        <v>1.5689512799339389E-2</v>
      </c>
      <c r="G142" s="203">
        <v>1.5689512799339389E-2</v>
      </c>
      <c r="H142" s="203">
        <v>1.5689512799339389E-2</v>
      </c>
      <c r="I142" s="203">
        <v>1.5689512799339389E-2</v>
      </c>
    </row>
    <row r="145" spans="3:14">
      <c r="D145" t="s">
        <v>276</v>
      </c>
      <c r="E145" t="s">
        <v>242</v>
      </c>
    </row>
    <row r="146" spans="3:14">
      <c r="C146" t="s">
        <v>515</v>
      </c>
      <c r="D146" t="s">
        <v>111</v>
      </c>
      <c r="E146" t="s">
        <v>200</v>
      </c>
      <c r="F146" t="s">
        <v>148</v>
      </c>
      <c r="G146" t="s">
        <v>149</v>
      </c>
      <c r="H146" t="s">
        <v>150</v>
      </c>
      <c r="I146" t="s">
        <v>207</v>
      </c>
    </row>
    <row r="147" spans="3:14">
      <c r="C147" t="s">
        <v>529</v>
      </c>
      <c r="D147" s="202"/>
      <c r="E147" s="202"/>
      <c r="F147" s="202">
        <v>70</v>
      </c>
      <c r="G147" s="202">
        <f t="shared" ref="G147:I147" si="72">F154</f>
        <v>134.94999999999999</v>
      </c>
      <c r="H147" s="202">
        <f t="shared" si="72"/>
        <v>175.70000000000002</v>
      </c>
      <c r="I147" s="202">
        <f t="shared" si="72"/>
        <v>164.78000000000003</v>
      </c>
      <c r="J147" s="203"/>
      <c r="K147" s="207"/>
      <c r="L147" s="207"/>
      <c r="M147" s="207"/>
      <c r="N147" s="207"/>
    </row>
    <row r="148" spans="3:14">
      <c r="C148" t="s">
        <v>527</v>
      </c>
      <c r="D148" s="202"/>
      <c r="E148" s="202"/>
      <c r="F148" s="202">
        <f>F158</f>
        <v>111.58000000000001</v>
      </c>
      <c r="G148" s="202">
        <f t="shared" ref="G148:I148" si="73">G158</f>
        <v>175.70000000000002</v>
      </c>
      <c r="H148" s="202">
        <f t="shared" si="73"/>
        <v>164.78000000000003</v>
      </c>
      <c r="I148" s="202">
        <f t="shared" si="73"/>
        <v>170.52</v>
      </c>
      <c r="J148" s="203"/>
      <c r="K148" s="207"/>
      <c r="L148" s="207"/>
      <c r="M148" s="207"/>
      <c r="N148" s="207"/>
    </row>
    <row r="149" spans="3:14">
      <c r="C149" t="s">
        <v>234</v>
      </c>
      <c r="D149" s="202"/>
      <c r="E149" s="202">
        <f>매출!G18*변동비!E159</f>
        <v>0</v>
      </c>
      <c r="F149" s="202">
        <f>매출!H18*변동비!F159</f>
        <v>25.009083402146985</v>
      </c>
      <c r="G149" s="202">
        <f>매출!I18*변동비!G159</f>
        <v>39.380677126341865</v>
      </c>
      <c r="H149" s="202">
        <f>매출!J18*변동비!H159</f>
        <v>36.933113129644923</v>
      </c>
      <c r="I149" s="202">
        <f>매출!K18*변동비!I159</f>
        <v>38.21965317919075</v>
      </c>
      <c r="J149" s="203"/>
      <c r="K149" s="207"/>
      <c r="L149" s="207"/>
      <c r="M149" s="207"/>
      <c r="N149" s="207"/>
    </row>
    <row r="150" spans="3:14">
      <c r="C150" t="s">
        <v>528</v>
      </c>
      <c r="D150" s="202">
        <f>SUM(D147:D149)</f>
        <v>0</v>
      </c>
      <c r="E150" s="202">
        <f t="shared" ref="E150:I150" si="74">SUM(E147:E149)</f>
        <v>0</v>
      </c>
      <c r="F150" s="202">
        <f t="shared" si="74"/>
        <v>206.589083402147</v>
      </c>
      <c r="G150" s="202">
        <f t="shared" si="74"/>
        <v>350.03067712634186</v>
      </c>
      <c r="H150" s="202">
        <f t="shared" si="74"/>
        <v>377.41311312964496</v>
      </c>
      <c r="I150" s="202">
        <f t="shared" si="74"/>
        <v>373.51965317919081</v>
      </c>
      <c r="J150" s="203"/>
      <c r="K150" s="207"/>
      <c r="L150" s="207"/>
      <c r="M150" s="207"/>
      <c r="N150" s="207"/>
    </row>
    <row r="152" spans="3:14">
      <c r="C152" t="s">
        <v>828</v>
      </c>
      <c r="D152" s="202">
        <f>매출!D18*7%</f>
        <v>0</v>
      </c>
      <c r="E152" s="202">
        <f>매출!G18*7%</f>
        <v>0</v>
      </c>
      <c r="F152" s="202">
        <f>매출!H18*7%</f>
        <v>111.58000000000001</v>
      </c>
      <c r="G152" s="202">
        <f>매출!I18*7%</f>
        <v>175.70000000000002</v>
      </c>
      <c r="H152" s="202">
        <f>매출!J18*7%</f>
        <v>164.78000000000003</v>
      </c>
      <c r="I152" s="202">
        <f>매출!K18*7%</f>
        <v>170.52</v>
      </c>
    </row>
    <row r="153" spans="3:14">
      <c r="C153" t="s">
        <v>829</v>
      </c>
      <c r="D153" s="202">
        <f>100000*1349.5/10^6</f>
        <v>134.94999999999999</v>
      </c>
      <c r="E153" s="202">
        <f t="shared" ref="E153:I153" si="75">100000*1349.5/10^6</f>
        <v>134.94999999999999</v>
      </c>
      <c r="F153" s="202">
        <f t="shared" si="75"/>
        <v>134.94999999999999</v>
      </c>
      <c r="G153" s="202">
        <f t="shared" si="75"/>
        <v>134.94999999999999</v>
      </c>
      <c r="H153" s="202">
        <f t="shared" si="75"/>
        <v>134.94999999999999</v>
      </c>
      <c r="I153" s="202">
        <f t="shared" si="75"/>
        <v>134.94999999999999</v>
      </c>
    </row>
    <row r="154" spans="3:14">
      <c r="C154" t="s">
        <v>830</v>
      </c>
      <c r="D154" s="202">
        <f t="shared" ref="D154:I154" si="76">MAX(D152,D153)</f>
        <v>134.94999999999999</v>
      </c>
      <c r="E154" s="202">
        <f t="shared" si="76"/>
        <v>134.94999999999999</v>
      </c>
      <c r="F154" s="202">
        <f t="shared" si="76"/>
        <v>134.94999999999999</v>
      </c>
      <c r="G154" s="202">
        <f t="shared" si="76"/>
        <v>175.70000000000002</v>
      </c>
      <c r="H154" s="202">
        <f t="shared" si="76"/>
        <v>164.78000000000003</v>
      </c>
      <c r="I154" s="202">
        <f t="shared" si="76"/>
        <v>170.52</v>
      </c>
    </row>
    <row r="156" spans="3:14">
      <c r="C156" t="s">
        <v>826</v>
      </c>
      <c r="E156" s="202">
        <f>매출!G18*10%</f>
        <v>0</v>
      </c>
      <c r="F156" s="202">
        <f>매출!H18*7%</f>
        <v>111.58000000000001</v>
      </c>
      <c r="G156" s="202">
        <f>매출!I18*7%</f>
        <v>175.70000000000002</v>
      </c>
      <c r="H156" s="202">
        <f>매출!J18*7%</f>
        <v>164.78000000000003</v>
      </c>
      <c r="I156" s="202">
        <f>매출!K18*7%</f>
        <v>170.52</v>
      </c>
    </row>
    <row r="157" spans="3:14">
      <c r="D157" s="202"/>
      <c r="E157" s="202"/>
      <c r="F157" s="202"/>
      <c r="G157" s="202"/>
      <c r="H157" s="202"/>
      <c r="I157" s="202"/>
    </row>
    <row r="158" spans="3:14">
      <c r="D158" s="202"/>
      <c r="E158" s="202">
        <f>SUM(E156:E157)</f>
        <v>0</v>
      </c>
      <c r="F158" s="202">
        <f t="shared" ref="F158" si="77">SUM(F156:F157)</f>
        <v>111.58000000000001</v>
      </c>
      <c r="G158" s="202">
        <f t="shared" ref="G158" si="78">SUM(G156:G157)</f>
        <v>175.70000000000002</v>
      </c>
      <c r="H158" s="202">
        <f t="shared" ref="H158" si="79">SUM(H156:H157)</f>
        <v>164.78000000000003</v>
      </c>
      <c r="I158" s="202">
        <f t="shared" ref="I158" si="80">SUM(I156:I157)</f>
        <v>170.52</v>
      </c>
    </row>
    <row r="159" spans="3:14">
      <c r="D159" s="203">
        <v>1.5689512799339389E-2</v>
      </c>
      <c r="E159" s="203">
        <v>1.5689512799339389E-2</v>
      </c>
      <c r="F159" s="203">
        <v>1.5689512799339389E-2</v>
      </c>
      <c r="G159" s="203">
        <v>1.5689512799339389E-2</v>
      </c>
      <c r="H159" s="203">
        <v>1.5689512799339389E-2</v>
      </c>
      <c r="I159" s="203">
        <v>1.5689512799339389E-2</v>
      </c>
    </row>
    <row r="163" spans="3:14">
      <c r="D163" t="s">
        <v>276</v>
      </c>
      <c r="E163" t="s">
        <v>242</v>
      </c>
    </row>
    <row r="164" spans="3:14">
      <c r="C164" t="s">
        <v>516</v>
      </c>
      <c r="D164" t="s">
        <v>111</v>
      </c>
      <c r="E164" t="s">
        <v>200</v>
      </c>
      <c r="F164" t="s">
        <v>148</v>
      </c>
      <c r="G164" t="s">
        <v>149</v>
      </c>
      <c r="H164" t="s">
        <v>150</v>
      </c>
      <c r="I164" t="s">
        <v>207</v>
      </c>
    </row>
    <row r="165" spans="3:14">
      <c r="C165" t="s">
        <v>529</v>
      </c>
      <c r="D165" s="202"/>
      <c r="E165" s="202"/>
      <c r="F165" s="202">
        <v>10</v>
      </c>
      <c r="G165" s="202">
        <f t="shared" ref="G165:I165" si="81">F173</f>
        <v>134.94999999999999</v>
      </c>
      <c r="H165" s="202">
        <f t="shared" si="81"/>
        <v>195.51000000000002</v>
      </c>
      <c r="I165" s="202">
        <f t="shared" si="81"/>
        <v>164.78000000000003</v>
      </c>
      <c r="J165" s="203"/>
      <c r="K165" s="207"/>
      <c r="L165" s="207"/>
      <c r="M165" s="207"/>
      <c r="N165" s="207"/>
    </row>
    <row r="166" spans="3:14">
      <c r="C166" t="s">
        <v>527</v>
      </c>
      <c r="D166" s="202"/>
      <c r="E166" s="202"/>
      <c r="F166" s="202">
        <f>F177</f>
        <v>15.96</v>
      </c>
      <c r="G166" s="202">
        <f t="shared" ref="G166:I166" si="82">G177</f>
        <v>195.51000000000002</v>
      </c>
      <c r="H166" s="202">
        <f t="shared" si="82"/>
        <v>164.78000000000003</v>
      </c>
      <c r="I166" s="202">
        <f t="shared" si="82"/>
        <v>170.52</v>
      </c>
      <c r="J166" s="203"/>
      <c r="K166" s="207"/>
      <c r="L166" s="207"/>
      <c r="M166" s="207"/>
      <c r="N166" s="207"/>
    </row>
    <row r="167" spans="3:14">
      <c r="C167" t="s">
        <v>234</v>
      </c>
      <c r="D167" s="202"/>
      <c r="E167" s="202"/>
      <c r="F167" s="202">
        <f>매출!H19*변동비!F178</f>
        <v>3.5772089182493807</v>
      </c>
      <c r="G167" s="202">
        <f>매출!I19*변동비!G178</f>
        <v>43.820809248554916</v>
      </c>
      <c r="H167" s="202">
        <f>매출!J19*변동비!H178</f>
        <v>36.933113129644923</v>
      </c>
      <c r="I167" s="202">
        <f>매출!K19*변동비!I178</f>
        <v>38.21965317919075</v>
      </c>
      <c r="J167" s="203"/>
      <c r="K167" s="207"/>
      <c r="L167" s="207"/>
      <c r="M167" s="207"/>
      <c r="N167" s="207"/>
    </row>
    <row r="168" spans="3:14">
      <c r="C168" t="s">
        <v>528</v>
      </c>
      <c r="D168" s="202">
        <f>SUM(D165:D167)</f>
        <v>0</v>
      </c>
      <c r="E168" s="202">
        <f t="shared" ref="E168:I168" si="83">SUM(E165:E167)</f>
        <v>0</v>
      </c>
      <c r="F168" s="202">
        <f t="shared" si="83"/>
        <v>29.53720891824938</v>
      </c>
      <c r="G168" s="202">
        <f t="shared" si="83"/>
        <v>374.28080924855493</v>
      </c>
      <c r="H168" s="202">
        <f t="shared" si="83"/>
        <v>397.22311312964501</v>
      </c>
      <c r="I168" s="202">
        <f t="shared" si="83"/>
        <v>373.51965317919081</v>
      </c>
      <c r="J168" s="203"/>
      <c r="K168" s="207"/>
      <c r="L168" s="207"/>
      <c r="M168" s="207"/>
      <c r="N168" s="207"/>
    </row>
    <row r="171" spans="3:14">
      <c r="C171" t="s">
        <v>828</v>
      </c>
      <c r="D171" s="202">
        <f>매출!D19*7%</f>
        <v>0</v>
      </c>
      <c r="E171" s="202">
        <f>매출!G19*7%</f>
        <v>0</v>
      </c>
      <c r="F171" s="202">
        <f>매출!H19*7%</f>
        <v>15.96</v>
      </c>
      <c r="G171" s="202">
        <f>매출!I19*7%</f>
        <v>195.51000000000002</v>
      </c>
      <c r="H171" s="202">
        <f>매출!J19*7%</f>
        <v>164.78000000000003</v>
      </c>
      <c r="I171" s="202">
        <f>매출!K19*7%</f>
        <v>170.52</v>
      </c>
    </row>
    <row r="172" spans="3:14">
      <c r="C172" t="s">
        <v>829</v>
      </c>
      <c r="D172" s="202">
        <f>100000*1349.5/10^6</f>
        <v>134.94999999999999</v>
      </c>
      <c r="E172" s="202">
        <f t="shared" ref="E172:I172" si="84">100000*1349.5/10^6</f>
        <v>134.94999999999999</v>
      </c>
      <c r="F172" s="202">
        <f t="shared" si="84"/>
        <v>134.94999999999999</v>
      </c>
      <c r="G172" s="202">
        <f t="shared" si="84"/>
        <v>134.94999999999999</v>
      </c>
      <c r="H172" s="202">
        <f t="shared" si="84"/>
        <v>134.94999999999999</v>
      </c>
      <c r="I172" s="202">
        <f t="shared" si="84"/>
        <v>134.94999999999999</v>
      </c>
    </row>
    <row r="173" spans="3:14">
      <c r="C173" t="s">
        <v>830</v>
      </c>
      <c r="D173" s="202">
        <f t="shared" ref="D173:I173" si="85">MAX(D171,D172)</f>
        <v>134.94999999999999</v>
      </c>
      <c r="E173" s="202">
        <f t="shared" si="85"/>
        <v>134.94999999999999</v>
      </c>
      <c r="F173" s="202">
        <f t="shared" si="85"/>
        <v>134.94999999999999</v>
      </c>
      <c r="G173" s="202">
        <f t="shared" si="85"/>
        <v>195.51000000000002</v>
      </c>
      <c r="H173" s="202">
        <f t="shared" si="85"/>
        <v>164.78000000000003</v>
      </c>
      <c r="I173" s="202">
        <f t="shared" si="85"/>
        <v>170.52</v>
      </c>
    </row>
    <row r="175" spans="3:14">
      <c r="C175" t="s">
        <v>826</v>
      </c>
      <c r="E175" s="202">
        <f>매출!G19*10%</f>
        <v>0</v>
      </c>
      <c r="F175" s="202">
        <f>매출!H19*7%</f>
        <v>15.96</v>
      </c>
      <c r="G175" s="202">
        <f>매출!I19*7%</f>
        <v>195.51000000000002</v>
      </c>
      <c r="H175" s="202">
        <f>매출!J19*7%</f>
        <v>164.78000000000003</v>
      </c>
      <c r="I175" s="202">
        <f>매출!K19*7%</f>
        <v>170.52</v>
      </c>
    </row>
    <row r="176" spans="3:14">
      <c r="D176" s="202"/>
      <c r="E176" s="202"/>
      <c r="F176" s="202"/>
      <c r="G176" s="202"/>
      <c r="H176" s="202"/>
      <c r="I176" s="202"/>
    </row>
    <row r="177" spans="3:14">
      <c r="D177" s="202"/>
      <c r="E177" s="202">
        <f>SUM(E175:E176)</f>
        <v>0</v>
      </c>
      <c r="F177" s="202">
        <f t="shared" ref="F177" si="86">SUM(F175:F176)</f>
        <v>15.96</v>
      </c>
      <c r="G177" s="202">
        <f t="shared" ref="G177" si="87">SUM(G175:G176)</f>
        <v>195.51000000000002</v>
      </c>
      <c r="H177" s="202">
        <f t="shared" ref="H177" si="88">SUM(H175:H176)</f>
        <v>164.78000000000003</v>
      </c>
      <c r="I177" s="202">
        <f t="shared" ref="I177" si="89">SUM(I175:I176)</f>
        <v>170.52</v>
      </c>
    </row>
    <row r="178" spans="3:14">
      <c r="D178" s="203">
        <v>1.5689512799339389E-2</v>
      </c>
      <c r="E178" s="203">
        <v>1.5689512799339389E-2</v>
      </c>
      <c r="F178" s="203">
        <v>1.5689512799339389E-2</v>
      </c>
      <c r="G178" s="203">
        <v>1.5689512799339389E-2</v>
      </c>
      <c r="H178" s="203">
        <v>1.5689512799339389E-2</v>
      </c>
      <c r="I178" s="203">
        <v>1.5689512799339389E-2</v>
      </c>
    </row>
    <row r="182" spans="3:14">
      <c r="D182" t="s">
        <v>276</v>
      </c>
      <c r="E182" t="s">
        <v>242</v>
      </c>
    </row>
    <row r="183" spans="3:14">
      <c r="C183" t="s">
        <v>517</v>
      </c>
      <c r="D183" t="s">
        <v>111</v>
      </c>
      <c r="E183" t="s">
        <v>200</v>
      </c>
      <c r="F183" t="s">
        <v>148</v>
      </c>
      <c r="G183" t="s">
        <v>149</v>
      </c>
      <c r="H183" t="s">
        <v>150</v>
      </c>
      <c r="I183" t="s">
        <v>207</v>
      </c>
    </row>
    <row r="184" spans="3:14">
      <c r="C184" t="s">
        <v>529</v>
      </c>
      <c r="D184" s="202"/>
      <c r="E184" s="202"/>
      <c r="F184" s="202"/>
      <c r="G184" s="202">
        <v>70</v>
      </c>
      <c r="H184" s="202">
        <f t="shared" ref="H184:I184" si="90">G192</f>
        <v>134.94999999999999</v>
      </c>
      <c r="I184" s="202">
        <f t="shared" si="90"/>
        <v>182.21</v>
      </c>
      <c r="J184" s="203"/>
      <c r="K184" s="207"/>
      <c r="L184" s="207"/>
      <c r="M184" s="207"/>
      <c r="N184" s="207"/>
    </row>
    <row r="185" spans="3:14">
      <c r="C185" t="s">
        <v>527</v>
      </c>
      <c r="D185" s="202"/>
      <c r="E185" s="202"/>
      <c r="F185" s="202"/>
      <c r="G185" s="202">
        <f>G196</f>
        <v>165.9</v>
      </c>
      <c r="H185" s="202">
        <f t="shared" ref="H185:I185" si="91">H196</f>
        <v>260.3</v>
      </c>
      <c r="I185" s="202">
        <f t="shared" si="91"/>
        <v>244.20000000000002</v>
      </c>
      <c r="J185" s="203"/>
      <c r="K185" s="207"/>
      <c r="L185" s="207"/>
      <c r="M185" s="207"/>
      <c r="N185" s="207"/>
    </row>
    <row r="186" spans="3:14">
      <c r="C186" t="s">
        <v>234</v>
      </c>
      <c r="D186" s="202"/>
      <c r="E186" s="202"/>
      <c r="F186" s="202"/>
      <c r="G186" s="202">
        <f>매출!I20*변동비!G197</f>
        <v>26.028901734104046</v>
      </c>
      <c r="H186" s="202">
        <f>매출!J20*변동비!H197</f>
        <v>40.839801816680428</v>
      </c>
      <c r="I186" s="202">
        <f>매출!K20*변동비!I197</f>
        <v>38.313790255986788</v>
      </c>
      <c r="J186" s="203"/>
      <c r="K186" s="207"/>
      <c r="L186" s="207"/>
      <c r="M186" s="207"/>
      <c r="N186" s="207"/>
    </row>
    <row r="187" spans="3:14">
      <c r="C187" t="s">
        <v>528</v>
      </c>
      <c r="D187" s="202">
        <f>SUM(D184:D186)</f>
        <v>0</v>
      </c>
      <c r="E187" s="202">
        <f t="shared" ref="E187:I187" si="92">SUM(E184:E186)</f>
        <v>0</v>
      </c>
      <c r="F187" s="202">
        <f t="shared" si="92"/>
        <v>0</v>
      </c>
      <c r="G187" s="202">
        <f t="shared" si="92"/>
        <v>261.92890173410404</v>
      </c>
      <c r="H187" s="202">
        <f t="shared" si="92"/>
        <v>436.08980181668045</v>
      </c>
      <c r="I187" s="202">
        <f t="shared" si="92"/>
        <v>464.72379025598684</v>
      </c>
      <c r="J187" s="203"/>
      <c r="K187" s="207"/>
      <c r="L187" s="207"/>
      <c r="M187" s="207"/>
      <c r="N187" s="207"/>
    </row>
    <row r="188" spans="3:14">
      <c r="D188" s="202"/>
      <c r="E188" s="202"/>
      <c r="F188" s="202"/>
      <c r="G188" s="202"/>
      <c r="H188" s="202"/>
      <c r="I188" s="202"/>
      <c r="J188" s="203"/>
      <c r="K188" s="207"/>
      <c r="L188" s="207"/>
      <c r="M188" s="207"/>
      <c r="N188" s="207"/>
    </row>
    <row r="189" spans="3:14">
      <c r="D189" s="202"/>
      <c r="E189" s="202"/>
      <c r="F189" s="202"/>
      <c r="G189" s="202"/>
      <c r="H189" s="202"/>
      <c r="I189" s="202"/>
      <c r="J189" s="203"/>
      <c r="K189" s="207"/>
      <c r="L189" s="207"/>
      <c r="M189" s="207"/>
      <c r="N189" s="207"/>
    </row>
    <row r="190" spans="3:14">
      <c r="C190" t="s">
        <v>828</v>
      </c>
      <c r="D190" s="202">
        <f>매출!D20*7%</f>
        <v>0</v>
      </c>
      <c r="E190" s="202">
        <f>매출!G20*7%</f>
        <v>0</v>
      </c>
      <c r="F190" s="202">
        <f>매출!H20*7%</f>
        <v>0</v>
      </c>
      <c r="G190" s="202">
        <f>매출!I20*7%</f>
        <v>116.13000000000001</v>
      </c>
      <c r="H190" s="202">
        <f>매출!J20*7%</f>
        <v>182.21</v>
      </c>
      <c r="I190" s="202">
        <f>매출!K20*7%</f>
        <v>170.94000000000003</v>
      </c>
      <c r="J190" s="203"/>
      <c r="K190" s="207"/>
      <c r="L190" s="207"/>
      <c r="M190" s="207"/>
      <c r="N190" s="207"/>
    </row>
    <row r="191" spans="3:14">
      <c r="C191" t="s">
        <v>829</v>
      </c>
      <c r="D191" s="202">
        <f>100000*1349.5/10^6</f>
        <v>134.94999999999999</v>
      </c>
      <c r="E191" s="202">
        <f t="shared" ref="E191:I191" si="93">100000*1349.5/10^6</f>
        <v>134.94999999999999</v>
      </c>
      <c r="F191" s="202">
        <f t="shared" si="93"/>
        <v>134.94999999999999</v>
      </c>
      <c r="G191" s="202">
        <f t="shared" si="93"/>
        <v>134.94999999999999</v>
      </c>
      <c r="H191" s="202">
        <f t="shared" si="93"/>
        <v>134.94999999999999</v>
      </c>
      <c r="I191" s="202">
        <f t="shared" si="93"/>
        <v>134.94999999999999</v>
      </c>
      <c r="J191" s="203"/>
      <c r="K191" s="207"/>
      <c r="L191" s="207"/>
      <c r="M191" s="207"/>
      <c r="N191" s="207"/>
    </row>
    <row r="192" spans="3:14">
      <c r="C192" t="s">
        <v>830</v>
      </c>
      <c r="D192" s="202">
        <f t="shared" ref="D192:I192" si="94">MAX(D190,D191)</f>
        <v>134.94999999999999</v>
      </c>
      <c r="E192" s="202">
        <f t="shared" si="94"/>
        <v>134.94999999999999</v>
      </c>
      <c r="F192" s="202">
        <f t="shared" si="94"/>
        <v>134.94999999999999</v>
      </c>
      <c r="G192" s="202">
        <f t="shared" si="94"/>
        <v>134.94999999999999</v>
      </c>
      <c r="H192" s="202">
        <f t="shared" si="94"/>
        <v>182.21</v>
      </c>
      <c r="I192" s="202">
        <f t="shared" si="94"/>
        <v>170.94000000000003</v>
      </c>
      <c r="J192" s="203"/>
      <c r="K192" s="207"/>
      <c r="L192" s="207"/>
      <c r="M192" s="207"/>
      <c r="N192" s="207"/>
    </row>
    <row r="193" spans="3:14">
      <c r="J193" s="203"/>
      <c r="K193" s="207"/>
      <c r="L193" s="207"/>
      <c r="M193" s="207"/>
      <c r="N193" s="207"/>
    </row>
    <row r="194" spans="3:14">
      <c r="C194" t="s">
        <v>826</v>
      </c>
      <c r="E194" s="202">
        <f>매출!G38*10%</f>
        <v>0</v>
      </c>
      <c r="F194" s="202">
        <f>매출!H38*10%</f>
        <v>0</v>
      </c>
      <c r="G194" s="202">
        <f>매출!I20*10%</f>
        <v>165.9</v>
      </c>
      <c r="H194" s="202">
        <f>매출!J20*10%</f>
        <v>260.3</v>
      </c>
      <c r="I194" s="202">
        <f>매출!K20*10%</f>
        <v>244.20000000000002</v>
      </c>
      <c r="J194" s="203"/>
      <c r="K194" s="207"/>
      <c r="L194" s="207"/>
      <c r="M194" s="207"/>
      <c r="N194" s="207"/>
    </row>
    <row r="195" spans="3:14">
      <c r="D195" s="202"/>
      <c r="E195" s="202"/>
      <c r="F195" s="202"/>
      <c r="G195" s="202"/>
      <c r="H195" s="202"/>
      <c r="I195" s="202"/>
      <c r="J195" s="203"/>
      <c r="K195" s="207"/>
      <c r="L195" s="207"/>
      <c r="M195" s="207"/>
      <c r="N195" s="207"/>
    </row>
    <row r="196" spans="3:14">
      <c r="D196" s="202"/>
      <c r="E196" s="202">
        <f>SUM(E194:E195)</f>
        <v>0</v>
      </c>
      <c r="F196" s="202">
        <f t="shared" ref="F196" si="95">SUM(F194:F195)</f>
        <v>0</v>
      </c>
      <c r="G196" s="202">
        <f t="shared" ref="G196" si="96">SUM(G194:G195)</f>
        <v>165.9</v>
      </c>
      <c r="H196" s="202">
        <f t="shared" ref="H196" si="97">SUM(H194:H195)</f>
        <v>260.3</v>
      </c>
      <c r="I196" s="202">
        <f t="shared" ref="I196" si="98">SUM(I194:I195)</f>
        <v>244.20000000000002</v>
      </c>
      <c r="J196" s="203"/>
      <c r="K196" s="207"/>
      <c r="L196" s="207"/>
      <c r="M196" s="207"/>
      <c r="N196" s="207"/>
    </row>
    <row r="197" spans="3:14">
      <c r="D197" s="203">
        <v>1.5689512799339389E-2</v>
      </c>
      <c r="E197" s="203">
        <v>1.5689512799339389E-2</v>
      </c>
      <c r="F197" s="203">
        <v>1.5689512799339389E-2</v>
      </c>
      <c r="G197" s="203">
        <v>1.5689512799339389E-2</v>
      </c>
      <c r="H197" s="203">
        <v>1.5689512799339389E-2</v>
      </c>
      <c r="I197" s="203">
        <v>1.5689512799339389E-2</v>
      </c>
      <c r="J197" s="203"/>
      <c r="K197" s="207"/>
      <c r="L197" s="207"/>
      <c r="M197" s="207"/>
      <c r="N197" s="207"/>
    </row>
    <row r="198" spans="3:14">
      <c r="D198" s="202"/>
      <c r="E198" s="202"/>
      <c r="F198" s="202"/>
      <c r="G198" s="202"/>
      <c r="H198" s="202"/>
      <c r="I198" s="202"/>
      <c r="J198" s="203"/>
      <c r="K198" s="207"/>
      <c r="L198" s="207"/>
      <c r="M198" s="207"/>
      <c r="N198" s="207"/>
    </row>
    <row r="200" spans="3:14">
      <c r="D200" t="s">
        <v>276</v>
      </c>
      <c r="E200" t="s">
        <v>242</v>
      </c>
    </row>
    <row r="201" spans="3:14">
      <c r="C201" t="s">
        <v>518</v>
      </c>
      <c r="D201" t="s">
        <v>111</v>
      </c>
      <c r="E201" t="s">
        <v>200</v>
      </c>
      <c r="F201" t="s">
        <v>148</v>
      </c>
      <c r="G201" t="s">
        <v>149</v>
      </c>
      <c r="H201" t="s">
        <v>150</v>
      </c>
      <c r="I201" t="s">
        <v>207</v>
      </c>
    </row>
    <row r="202" spans="3:14">
      <c r="C202" t="s">
        <v>529</v>
      </c>
      <c r="D202" s="202"/>
      <c r="E202" s="202"/>
      <c r="F202" s="202"/>
      <c r="G202" s="202">
        <v>10</v>
      </c>
      <c r="H202" s="202">
        <f t="shared" ref="H202:I202" si="99">G210</f>
        <v>134.94999999999999</v>
      </c>
      <c r="I202" s="202">
        <f t="shared" si="99"/>
        <v>202.65</v>
      </c>
      <c r="J202" s="203"/>
      <c r="K202" s="207"/>
      <c r="L202" s="207"/>
      <c r="M202" s="207"/>
      <c r="N202" s="207"/>
    </row>
    <row r="203" spans="3:14">
      <c r="C203" t="s">
        <v>527</v>
      </c>
      <c r="D203" s="202"/>
      <c r="E203" s="202"/>
      <c r="F203" s="202"/>
      <c r="G203" s="202">
        <f>G214</f>
        <v>16.59</v>
      </c>
      <c r="H203" s="202">
        <f t="shared" ref="H203:I203" si="100">H214</f>
        <v>202.65</v>
      </c>
      <c r="I203" s="202">
        <f t="shared" si="100"/>
        <v>170.94000000000003</v>
      </c>
      <c r="J203" s="203"/>
      <c r="K203" s="207"/>
      <c r="L203" s="207"/>
      <c r="M203" s="207"/>
      <c r="N203" s="207"/>
    </row>
    <row r="204" spans="3:14">
      <c r="C204" t="s">
        <v>234</v>
      </c>
      <c r="D204" s="202"/>
      <c r="E204" s="202"/>
      <c r="F204" s="202"/>
      <c r="G204" s="202">
        <f>매출!I21*변동비!G215</f>
        <v>3.7184145334434353</v>
      </c>
      <c r="H204" s="202">
        <f>매출!J21*변동비!H215</f>
        <v>45.421139554087532</v>
      </c>
      <c r="I204" s="202">
        <f>매출!K21*변동비!I215</f>
        <v>38.313790255986788</v>
      </c>
      <c r="J204" s="203"/>
      <c r="K204" s="207"/>
      <c r="L204" s="207"/>
      <c r="M204" s="207"/>
      <c r="N204" s="207"/>
    </row>
    <row r="205" spans="3:14">
      <c r="C205" t="s">
        <v>528</v>
      </c>
      <c r="D205" s="202">
        <f>SUM(D202:D204)</f>
        <v>0</v>
      </c>
      <c r="E205" s="202">
        <f t="shared" ref="E205:I205" si="101">SUM(E202:E204)</f>
        <v>0</v>
      </c>
      <c r="F205" s="202">
        <f t="shared" si="101"/>
        <v>0</v>
      </c>
      <c r="G205" s="202">
        <f t="shared" si="101"/>
        <v>30.308414533443436</v>
      </c>
      <c r="H205" s="202">
        <f t="shared" si="101"/>
        <v>383.02113955408754</v>
      </c>
      <c r="I205" s="202">
        <f t="shared" si="101"/>
        <v>411.90379025598679</v>
      </c>
      <c r="J205" s="203"/>
      <c r="K205" s="207"/>
      <c r="L205" s="207"/>
      <c r="M205" s="207"/>
      <c r="N205" s="207"/>
    </row>
    <row r="208" spans="3:14">
      <c r="C208" t="s">
        <v>828</v>
      </c>
      <c r="D208" s="202"/>
      <c r="E208" s="202"/>
      <c r="F208" s="202">
        <f>매출!H21*7%</f>
        <v>0</v>
      </c>
      <c r="G208" s="202">
        <f>매출!I21*7%</f>
        <v>16.59</v>
      </c>
      <c r="H208" s="202">
        <f>매출!J21*7%</f>
        <v>202.65</v>
      </c>
      <c r="I208" s="202">
        <f>매출!K21*7%</f>
        <v>170.94000000000003</v>
      </c>
    </row>
    <row r="209" spans="3:14">
      <c r="C209" t="s">
        <v>829</v>
      </c>
      <c r="D209" s="202">
        <f>100000*1349.5/10^6</f>
        <v>134.94999999999999</v>
      </c>
      <c r="E209" s="202">
        <f t="shared" ref="E209:I209" si="102">100000*1349.5/10^6</f>
        <v>134.94999999999999</v>
      </c>
      <c r="F209" s="202">
        <f t="shared" si="102"/>
        <v>134.94999999999999</v>
      </c>
      <c r="G209" s="202">
        <f t="shared" si="102"/>
        <v>134.94999999999999</v>
      </c>
      <c r="H209" s="202">
        <f t="shared" si="102"/>
        <v>134.94999999999999</v>
      </c>
      <c r="I209" s="202">
        <f t="shared" si="102"/>
        <v>134.94999999999999</v>
      </c>
    </row>
    <row r="210" spans="3:14">
      <c r="C210" t="s">
        <v>830</v>
      </c>
      <c r="D210" s="202">
        <f t="shared" ref="D210:I210" si="103">MAX(D208,D209)</f>
        <v>134.94999999999999</v>
      </c>
      <c r="E210" s="202">
        <f t="shared" si="103"/>
        <v>134.94999999999999</v>
      </c>
      <c r="F210" s="202">
        <f t="shared" si="103"/>
        <v>134.94999999999999</v>
      </c>
      <c r="G210" s="202">
        <f t="shared" si="103"/>
        <v>134.94999999999999</v>
      </c>
      <c r="H210" s="202">
        <f t="shared" si="103"/>
        <v>202.65</v>
      </c>
      <c r="I210" s="202">
        <f t="shared" si="103"/>
        <v>170.94000000000003</v>
      </c>
    </row>
    <row r="212" spans="3:14">
      <c r="C212" t="s">
        <v>826</v>
      </c>
      <c r="E212" s="202"/>
      <c r="F212" s="202"/>
      <c r="G212" s="202">
        <f>매출!I21*7%</f>
        <v>16.59</v>
      </c>
      <c r="H212" s="202">
        <f>매출!J21*7%</f>
        <v>202.65</v>
      </c>
      <c r="I212" s="202">
        <f>매출!K21*7%</f>
        <v>170.94000000000003</v>
      </c>
    </row>
    <row r="213" spans="3:14">
      <c r="D213" s="202"/>
      <c r="E213" s="202"/>
      <c r="F213" s="202"/>
      <c r="G213" s="202"/>
      <c r="H213" s="202"/>
      <c r="I213" s="202"/>
    </row>
    <row r="214" spans="3:14">
      <c r="D214" s="202"/>
      <c r="E214" s="202">
        <f>SUM(E212:E213)</f>
        <v>0</v>
      </c>
      <c r="F214" s="202">
        <f t="shared" ref="F214" si="104">SUM(F212:F213)</f>
        <v>0</v>
      </c>
      <c r="G214" s="202">
        <f t="shared" ref="G214" si="105">SUM(G212:G213)</f>
        <v>16.59</v>
      </c>
      <c r="H214" s="202">
        <f t="shared" ref="H214" si="106">SUM(H212:H213)</f>
        <v>202.65</v>
      </c>
      <c r="I214" s="202">
        <f t="shared" ref="I214" si="107">SUM(I212:I213)</f>
        <v>170.94000000000003</v>
      </c>
    </row>
    <row r="215" spans="3:14">
      <c r="D215" s="203">
        <v>1.5689512799339389E-2</v>
      </c>
      <c r="E215" s="203">
        <v>1.5689512799339389E-2</v>
      </c>
      <c r="F215" s="203">
        <v>1.5689512799339389E-2</v>
      </c>
      <c r="G215" s="203">
        <v>1.5689512799339389E-2</v>
      </c>
      <c r="H215" s="203">
        <v>1.5689512799339389E-2</v>
      </c>
      <c r="I215" s="203">
        <v>1.5689512799339389E-2</v>
      </c>
    </row>
    <row r="217" spans="3:14">
      <c r="D217" t="s">
        <v>276</v>
      </c>
      <c r="E217" t="s">
        <v>242</v>
      </c>
    </row>
    <row r="218" spans="3:14">
      <c r="C218" t="s">
        <v>519</v>
      </c>
      <c r="D218" t="s">
        <v>111</v>
      </c>
      <c r="E218" t="s">
        <v>200</v>
      </c>
      <c r="F218" t="s">
        <v>148</v>
      </c>
      <c r="G218" t="s">
        <v>149</v>
      </c>
      <c r="H218" t="s">
        <v>150</v>
      </c>
      <c r="I218" t="s">
        <v>207</v>
      </c>
    </row>
    <row r="219" spans="3:14">
      <c r="C219" t="s">
        <v>529</v>
      </c>
      <c r="D219" s="202"/>
      <c r="E219" s="202"/>
      <c r="F219" s="202"/>
      <c r="G219" s="202"/>
      <c r="H219" s="202">
        <v>71</v>
      </c>
      <c r="I219" s="202">
        <f>H227</f>
        <v>134.94999999999999</v>
      </c>
      <c r="J219" s="203"/>
      <c r="K219" s="207"/>
      <c r="L219" s="207"/>
      <c r="M219" s="207"/>
      <c r="N219" s="207"/>
    </row>
    <row r="220" spans="3:14">
      <c r="C220" t="s">
        <v>527</v>
      </c>
      <c r="D220" s="202"/>
      <c r="E220" s="202"/>
      <c r="F220" s="202"/>
      <c r="G220" s="202"/>
      <c r="H220" s="202">
        <f>H231</f>
        <v>120.12</v>
      </c>
      <c r="I220" s="202">
        <f>I231</f>
        <v>188.37</v>
      </c>
      <c r="J220" s="203"/>
      <c r="K220" s="207"/>
      <c r="L220" s="207"/>
      <c r="M220" s="207"/>
      <c r="N220" s="207"/>
    </row>
    <row r="221" spans="3:14">
      <c r="C221" t="s">
        <v>234</v>
      </c>
      <c r="D221" s="202"/>
      <c r="E221" s="202"/>
      <c r="F221" s="202"/>
      <c r="G221" s="202"/>
      <c r="H221" s="202">
        <f>매출!J22*변동비!H232</f>
        <v>26.923203963666392</v>
      </c>
      <c r="I221" s="202">
        <f>매출!K22*변동비!I232</f>
        <v>42.220478943022293</v>
      </c>
      <c r="J221" s="203"/>
      <c r="K221" s="207"/>
      <c r="L221" s="207"/>
      <c r="M221" s="207"/>
      <c r="N221" s="207"/>
    </row>
    <row r="222" spans="3:14">
      <c r="C222" t="s">
        <v>528</v>
      </c>
      <c r="D222" s="202">
        <f>SUM(D219:D221)</f>
        <v>0</v>
      </c>
      <c r="E222" s="202">
        <f t="shared" ref="E222:I222" si="108">SUM(E219:E221)</f>
        <v>0</v>
      </c>
      <c r="F222" s="202">
        <f t="shared" si="108"/>
        <v>0</v>
      </c>
      <c r="G222" s="202">
        <f t="shared" si="108"/>
        <v>0</v>
      </c>
      <c r="H222" s="202">
        <f t="shared" si="108"/>
        <v>218.0432039636664</v>
      </c>
      <c r="I222" s="202">
        <f t="shared" si="108"/>
        <v>365.54047894302226</v>
      </c>
      <c r="J222" s="203"/>
      <c r="K222" s="207"/>
      <c r="L222" s="207"/>
      <c r="M222" s="207"/>
      <c r="N222" s="207"/>
    </row>
    <row r="225" spans="3:14">
      <c r="C225" t="s">
        <v>828</v>
      </c>
      <c r="D225" s="202"/>
      <c r="E225" s="202"/>
      <c r="F225" s="202"/>
      <c r="G225" s="202">
        <f>매출!I22*7%</f>
        <v>0</v>
      </c>
      <c r="H225" s="202">
        <f>매출!J22*7%</f>
        <v>120.12</v>
      </c>
      <c r="I225" s="202">
        <f>매출!K22*7%</f>
        <v>188.37</v>
      </c>
    </row>
    <row r="226" spans="3:14">
      <c r="C226" t="s">
        <v>829</v>
      </c>
      <c r="D226" s="202">
        <f>100000*1349.5/10^6</f>
        <v>134.94999999999999</v>
      </c>
      <c r="E226" s="202">
        <f t="shared" ref="E226:I226" si="109">100000*1349.5/10^6</f>
        <v>134.94999999999999</v>
      </c>
      <c r="F226" s="202">
        <f t="shared" si="109"/>
        <v>134.94999999999999</v>
      </c>
      <c r="G226" s="202">
        <f t="shared" si="109"/>
        <v>134.94999999999999</v>
      </c>
      <c r="H226" s="202">
        <f t="shared" si="109"/>
        <v>134.94999999999999</v>
      </c>
      <c r="I226" s="202">
        <f t="shared" si="109"/>
        <v>134.94999999999999</v>
      </c>
    </row>
    <row r="227" spans="3:14">
      <c r="C227" t="s">
        <v>830</v>
      </c>
      <c r="D227" s="202">
        <f t="shared" ref="D227:I227" si="110">MAX(D225,D226)</f>
        <v>134.94999999999999</v>
      </c>
      <c r="E227" s="202">
        <f t="shared" si="110"/>
        <v>134.94999999999999</v>
      </c>
      <c r="F227" s="202">
        <f t="shared" si="110"/>
        <v>134.94999999999999</v>
      </c>
      <c r="G227" s="202">
        <f t="shared" si="110"/>
        <v>134.94999999999999</v>
      </c>
      <c r="H227" s="202">
        <f t="shared" si="110"/>
        <v>134.94999999999999</v>
      </c>
      <c r="I227" s="202">
        <f t="shared" si="110"/>
        <v>188.37</v>
      </c>
    </row>
    <row r="229" spans="3:14">
      <c r="C229" t="s">
        <v>826</v>
      </c>
      <c r="E229" s="202"/>
      <c r="F229" s="202"/>
      <c r="G229" s="202">
        <f>매출!I22*10%</f>
        <v>0</v>
      </c>
      <c r="H229" s="202">
        <f>매출!J22*7%</f>
        <v>120.12</v>
      </c>
      <c r="I229" s="202">
        <f>매출!K22*7%</f>
        <v>188.37</v>
      </c>
    </row>
    <row r="230" spans="3:14">
      <c r="D230" s="202"/>
      <c r="E230" s="202"/>
      <c r="F230" s="202"/>
      <c r="G230" s="202"/>
      <c r="H230" s="202"/>
      <c r="I230" s="202"/>
    </row>
    <row r="231" spans="3:14">
      <c r="D231" s="202"/>
      <c r="E231" s="202">
        <f>SUM(E229:E230)</f>
        <v>0</v>
      </c>
      <c r="F231" s="202">
        <f t="shared" ref="F231" si="111">SUM(F229:F230)</f>
        <v>0</v>
      </c>
      <c r="G231" s="202">
        <f t="shared" ref="G231" si="112">SUM(G229:G230)</f>
        <v>0</v>
      </c>
      <c r="H231" s="202">
        <f t="shared" ref="H231" si="113">SUM(H229:H230)</f>
        <v>120.12</v>
      </c>
      <c r="I231" s="202">
        <f t="shared" ref="I231" si="114">SUM(I229:I230)</f>
        <v>188.37</v>
      </c>
    </row>
    <row r="232" spans="3:14">
      <c r="D232" s="203">
        <v>1.5689512799339389E-2</v>
      </c>
      <c r="E232" s="203">
        <v>1.5689512799339389E-2</v>
      </c>
      <c r="F232" s="203">
        <v>1.5689512799339389E-2</v>
      </c>
      <c r="G232" s="203">
        <v>1.5689512799339389E-2</v>
      </c>
      <c r="H232" s="203">
        <v>1.5689512799339389E-2</v>
      </c>
      <c r="I232" s="203">
        <v>1.5689512799339389E-2</v>
      </c>
    </row>
    <row r="235" spans="3:14">
      <c r="D235" t="s">
        <v>276</v>
      </c>
      <c r="E235" t="s">
        <v>242</v>
      </c>
    </row>
    <row r="236" spans="3:14">
      <c r="C236" t="s">
        <v>520</v>
      </c>
      <c r="D236" t="s">
        <v>111</v>
      </c>
      <c r="E236" t="s">
        <v>200</v>
      </c>
      <c r="F236" t="s">
        <v>148</v>
      </c>
      <c r="G236" t="s">
        <v>149</v>
      </c>
      <c r="H236" t="s">
        <v>150</v>
      </c>
      <c r="I236" t="s">
        <v>207</v>
      </c>
    </row>
    <row r="237" spans="3:14">
      <c r="C237" t="s">
        <v>529</v>
      </c>
      <c r="D237" s="202"/>
      <c r="E237" s="202"/>
      <c r="F237" s="202"/>
      <c r="G237" s="202"/>
      <c r="H237" s="202">
        <v>10</v>
      </c>
      <c r="I237" s="202">
        <f>H245</f>
        <v>134.94999999999999</v>
      </c>
      <c r="J237" s="203"/>
      <c r="K237" s="207"/>
      <c r="L237" s="207"/>
      <c r="M237" s="207"/>
      <c r="N237" s="207"/>
    </row>
    <row r="238" spans="3:14">
      <c r="C238" t="s">
        <v>527</v>
      </c>
      <c r="D238" s="202"/>
      <c r="E238" s="202"/>
      <c r="F238" s="202"/>
      <c r="G238" s="202"/>
      <c r="H238" s="202">
        <f>H249</f>
        <v>17.220000000000002</v>
      </c>
      <c r="I238" s="202">
        <f>I249</f>
        <v>209.65000000000003</v>
      </c>
      <c r="J238" s="203"/>
      <c r="K238" s="207"/>
      <c r="L238" s="207"/>
      <c r="M238" s="207"/>
      <c r="N238" s="207"/>
    </row>
    <row r="239" spans="3:14">
      <c r="C239" t="s">
        <v>234</v>
      </c>
      <c r="D239" s="202"/>
      <c r="E239" s="202"/>
      <c r="F239" s="202"/>
      <c r="G239" s="202"/>
      <c r="H239" s="202">
        <f>매출!J23*변동비!H250</f>
        <v>3.8596201486374895</v>
      </c>
      <c r="I239" s="202">
        <f>매출!K23*변동비!I250</f>
        <v>46.990090834021473</v>
      </c>
      <c r="J239" s="203"/>
      <c r="K239" s="207"/>
      <c r="L239" s="207"/>
      <c r="M239" s="207"/>
      <c r="N239" s="207"/>
    </row>
    <row r="240" spans="3:14">
      <c r="C240" t="s">
        <v>528</v>
      </c>
      <c r="D240" s="202">
        <f>SUM(D237:D239)</f>
        <v>0</v>
      </c>
      <c r="E240" s="202">
        <f t="shared" ref="E240:I240" si="115">SUM(E237:E239)</f>
        <v>0</v>
      </c>
      <c r="F240" s="202">
        <f t="shared" si="115"/>
        <v>0</v>
      </c>
      <c r="G240" s="202">
        <f t="shared" si="115"/>
        <v>0</v>
      </c>
      <c r="H240" s="202">
        <f t="shared" si="115"/>
        <v>31.079620148637492</v>
      </c>
      <c r="I240" s="202">
        <f t="shared" si="115"/>
        <v>391.59009083402151</v>
      </c>
      <c r="J240" s="203"/>
      <c r="K240" s="207"/>
      <c r="L240" s="207"/>
      <c r="M240" s="207"/>
      <c r="N240" s="207"/>
    </row>
    <row r="243" spans="3:9">
      <c r="C243" t="s">
        <v>828</v>
      </c>
      <c r="D243" s="202"/>
      <c r="E243" s="202"/>
      <c r="F243" s="202"/>
      <c r="G243" s="202">
        <f>매출!I23*7%</f>
        <v>0</v>
      </c>
      <c r="H243" s="202">
        <f>매출!J23*7%</f>
        <v>17.220000000000002</v>
      </c>
      <c r="I243" s="202">
        <f>매출!K23*7%</f>
        <v>209.65000000000003</v>
      </c>
    </row>
    <row r="244" spans="3:9">
      <c r="C244" t="s">
        <v>829</v>
      </c>
      <c r="D244" s="202">
        <f>100000*1349.5/10^6</f>
        <v>134.94999999999999</v>
      </c>
      <c r="E244" s="202">
        <f t="shared" ref="E244:I244" si="116">100000*1349.5/10^6</f>
        <v>134.94999999999999</v>
      </c>
      <c r="F244" s="202">
        <f t="shared" si="116"/>
        <v>134.94999999999999</v>
      </c>
      <c r="G244" s="202">
        <f t="shared" si="116"/>
        <v>134.94999999999999</v>
      </c>
      <c r="H244" s="202">
        <f t="shared" si="116"/>
        <v>134.94999999999999</v>
      </c>
      <c r="I244" s="202">
        <f t="shared" si="116"/>
        <v>134.94999999999999</v>
      </c>
    </row>
    <row r="245" spans="3:9">
      <c r="C245" t="s">
        <v>830</v>
      </c>
      <c r="D245" s="202">
        <f t="shared" ref="D245:I245" si="117">MAX(D243,D244)</f>
        <v>134.94999999999999</v>
      </c>
      <c r="E245" s="202">
        <f t="shared" si="117"/>
        <v>134.94999999999999</v>
      </c>
      <c r="F245" s="202">
        <f t="shared" si="117"/>
        <v>134.94999999999999</v>
      </c>
      <c r="G245" s="202">
        <f t="shared" si="117"/>
        <v>134.94999999999999</v>
      </c>
      <c r="H245" s="202">
        <f t="shared" si="117"/>
        <v>134.94999999999999</v>
      </c>
      <c r="I245" s="202">
        <f t="shared" si="117"/>
        <v>209.65000000000003</v>
      </c>
    </row>
    <row r="247" spans="3:9">
      <c r="C247" t="s">
        <v>826</v>
      </c>
      <c r="E247" s="202"/>
      <c r="F247" s="202"/>
      <c r="G247" s="202">
        <f>매출!I40*10%</f>
        <v>0</v>
      </c>
      <c r="H247" s="202">
        <f>매출!J23*7%</f>
        <v>17.220000000000002</v>
      </c>
      <c r="I247" s="202">
        <f>매출!K23*7%</f>
        <v>209.65000000000003</v>
      </c>
    </row>
    <row r="248" spans="3:9">
      <c r="D248" s="202"/>
      <c r="E248" s="202"/>
      <c r="F248" s="202"/>
      <c r="G248" s="202"/>
      <c r="H248" s="202"/>
      <c r="I248" s="202"/>
    </row>
    <row r="249" spans="3:9">
      <c r="D249" s="202"/>
      <c r="E249" s="202">
        <f>SUM(E247:E248)</f>
        <v>0</v>
      </c>
      <c r="F249" s="202">
        <f t="shared" ref="F249" si="118">SUM(F247:F248)</f>
        <v>0</v>
      </c>
      <c r="G249" s="202">
        <f t="shared" ref="G249" si="119">SUM(G247:G248)</f>
        <v>0</v>
      </c>
      <c r="H249" s="202">
        <f t="shared" ref="H249" si="120">SUM(H247:H248)</f>
        <v>17.220000000000002</v>
      </c>
      <c r="I249" s="202">
        <f t="shared" ref="I249" si="121">SUM(I247:I248)</f>
        <v>209.65000000000003</v>
      </c>
    </row>
    <row r="250" spans="3:9">
      <c r="D250" s="203">
        <v>1.5689512799339389E-2</v>
      </c>
      <c r="E250" s="203">
        <v>1.5689512799339389E-2</v>
      </c>
      <c r="F250" s="203">
        <v>1.5689512799339389E-2</v>
      </c>
      <c r="G250" s="203">
        <v>1.5689512799339389E-2</v>
      </c>
      <c r="H250" s="203">
        <v>1.5689512799339389E-2</v>
      </c>
      <c r="I250" s="203">
        <v>1.5689512799339389E-2</v>
      </c>
    </row>
  </sheetData>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N100"/>
  <sheetViews>
    <sheetView workbookViewId="0">
      <selection activeCell="M22" sqref="M22"/>
    </sheetView>
  </sheetViews>
  <sheetFormatPr defaultRowHeight="13.5"/>
  <cols>
    <col min="3" max="3" width="12.85546875" customWidth="1"/>
  </cols>
  <sheetData>
    <row r="3" spans="3:9">
      <c r="C3" t="s">
        <v>530</v>
      </c>
    </row>
    <row r="4" spans="3:9">
      <c r="C4" t="s">
        <v>531</v>
      </c>
    </row>
    <row r="5" spans="3:9">
      <c r="C5" t="s">
        <v>532</v>
      </c>
    </row>
    <row r="6" spans="3:9">
      <c r="C6" t="s">
        <v>438</v>
      </c>
    </row>
    <row r="11" spans="3:9">
      <c r="E11">
        <v>2.6000000000000002E-2</v>
      </c>
      <c r="F11">
        <v>0.02</v>
      </c>
      <c r="G11">
        <v>1.7000000000000001E-2</v>
      </c>
      <c r="H11">
        <v>1.9E-2</v>
      </c>
      <c r="I11">
        <v>1.8000000000000002E-2</v>
      </c>
    </row>
    <row r="13" spans="3:9">
      <c r="D13" t="s">
        <v>276</v>
      </c>
      <c r="E13" t="s">
        <v>242</v>
      </c>
    </row>
    <row r="14" spans="3:9">
      <c r="C14" t="s">
        <v>196</v>
      </c>
      <c r="D14" t="s">
        <v>111</v>
      </c>
      <c r="E14" t="s">
        <v>200</v>
      </c>
      <c r="F14" t="s">
        <v>148</v>
      </c>
      <c r="G14" t="s">
        <v>149</v>
      </c>
      <c r="H14" t="s">
        <v>150</v>
      </c>
      <c r="I14" t="s">
        <v>207</v>
      </c>
    </row>
    <row r="15" spans="3:9">
      <c r="C15" t="s">
        <v>503</v>
      </c>
      <c r="D15" s="202">
        <f>D35</f>
        <v>12</v>
      </c>
      <c r="E15" s="202">
        <f t="shared" ref="E15:I15" si="0">E35</f>
        <v>13</v>
      </c>
      <c r="F15" s="202">
        <f t="shared" si="0"/>
        <v>13</v>
      </c>
      <c r="G15" s="202">
        <f t="shared" si="0"/>
        <v>13</v>
      </c>
      <c r="H15" s="202">
        <f t="shared" si="0"/>
        <v>13</v>
      </c>
      <c r="I15" s="202">
        <f t="shared" si="0"/>
        <v>14</v>
      </c>
    </row>
    <row r="16" spans="3:9">
      <c r="C16" t="s">
        <v>264</v>
      </c>
      <c r="D16" s="202">
        <f>D42</f>
        <v>608</v>
      </c>
      <c r="E16" s="202">
        <f t="shared" ref="E16:I16" si="1">E42</f>
        <v>449</v>
      </c>
      <c r="F16" s="202">
        <f t="shared" si="1"/>
        <v>457.98</v>
      </c>
      <c r="G16" s="202">
        <f t="shared" si="1"/>
        <v>465.76565999999997</v>
      </c>
      <c r="H16" s="202">
        <f t="shared" si="1"/>
        <v>474.61520753999991</v>
      </c>
      <c r="I16" s="202">
        <f t="shared" si="1"/>
        <v>483.1582812757199</v>
      </c>
    </row>
    <row r="17" spans="3:9">
      <c r="C17" t="s">
        <v>417</v>
      </c>
      <c r="D17" s="202">
        <v>289</v>
      </c>
      <c r="E17" s="202">
        <v>0</v>
      </c>
      <c r="F17" s="202">
        <v>0</v>
      </c>
      <c r="G17" s="202">
        <v>0</v>
      </c>
      <c r="H17" s="202">
        <v>0</v>
      </c>
      <c r="I17" s="202">
        <v>0</v>
      </c>
    </row>
    <row r="18" spans="3:9">
      <c r="C18" t="s">
        <v>265</v>
      </c>
      <c r="D18" s="202">
        <f>D47</f>
        <v>287</v>
      </c>
      <c r="E18" s="202">
        <f t="shared" ref="E18:I18" si="2">E47</f>
        <v>255</v>
      </c>
      <c r="F18" s="202">
        <f t="shared" si="2"/>
        <v>260.10000000000002</v>
      </c>
      <c r="G18" s="202">
        <f t="shared" si="2"/>
        <v>264.52170000000001</v>
      </c>
      <c r="H18" s="202">
        <f t="shared" si="2"/>
        <v>269.54761229999997</v>
      </c>
      <c r="I18" s="202">
        <f t="shared" si="2"/>
        <v>274.39946932139998</v>
      </c>
    </row>
    <row r="19" spans="3:9">
      <c r="C19" t="s">
        <v>266</v>
      </c>
      <c r="D19" s="202">
        <f>D52</f>
        <v>261</v>
      </c>
      <c r="E19" s="202">
        <f t="shared" ref="E19:I19" si="3">E52</f>
        <v>316</v>
      </c>
      <c r="F19" s="202">
        <f t="shared" si="3"/>
        <v>322.32</v>
      </c>
      <c r="G19" s="202">
        <f t="shared" si="3"/>
        <v>327.79943999999995</v>
      </c>
      <c r="H19" s="202">
        <f t="shared" si="3"/>
        <v>334.02762935999993</v>
      </c>
      <c r="I19" s="202">
        <f t="shared" si="3"/>
        <v>340.04012668847992</v>
      </c>
    </row>
    <row r="20" spans="3:9">
      <c r="C20" t="s">
        <v>267</v>
      </c>
      <c r="D20" s="202">
        <f>D58</f>
        <v>15</v>
      </c>
      <c r="E20" s="202">
        <f t="shared" ref="E20:I20" si="4">E58</f>
        <v>243</v>
      </c>
      <c r="F20" s="202">
        <f t="shared" si="4"/>
        <v>247.86</v>
      </c>
      <c r="G20" s="202">
        <f t="shared" si="4"/>
        <v>252.07361999999998</v>
      </c>
      <c r="H20" s="202">
        <f t="shared" si="4"/>
        <v>256.86301877999995</v>
      </c>
      <c r="I20" s="202">
        <f t="shared" si="4"/>
        <v>261.48655311803998</v>
      </c>
    </row>
    <row r="21" spans="3:9">
      <c r="C21" t="s">
        <v>268</v>
      </c>
      <c r="D21" s="202">
        <f>D63</f>
        <v>0</v>
      </c>
      <c r="E21" s="202">
        <f t="shared" ref="E21:I21" si="5">E63</f>
        <v>101</v>
      </c>
      <c r="F21" s="202">
        <f t="shared" si="5"/>
        <v>247</v>
      </c>
      <c r="G21" s="202">
        <f t="shared" si="5"/>
        <v>251.19899999999998</v>
      </c>
      <c r="H21" s="202">
        <f t="shared" si="5"/>
        <v>255.97178099999996</v>
      </c>
      <c r="I21" s="202">
        <f t="shared" si="5"/>
        <v>260.57927305799996</v>
      </c>
    </row>
    <row r="22" spans="3:9">
      <c r="C22" t="s">
        <v>269</v>
      </c>
      <c r="D22" s="202">
        <f>D68</f>
        <v>0</v>
      </c>
      <c r="E22" s="202">
        <f t="shared" ref="E22:I22" si="6">E68</f>
        <v>37</v>
      </c>
      <c r="F22" s="202">
        <f t="shared" si="6"/>
        <v>457</v>
      </c>
      <c r="G22" s="202">
        <f t="shared" si="6"/>
        <v>464.76899999999995</v>
      </c>
      <c r="H22" s="202">
        <f t="shared" si="6"/>
        <v>473.59961099999992</v>
      </c>
      <c r="I22" s="202">
        <f t="shared" si="6"/>
        <v>482.12440399799993</v>
      </c>
    </row>
    <row r="23" spans="3:9">
      <c r="C23" t="s">
        <v>270</v>
      </c>
      <c r="D23" s="202">
        <f>D74</f>
        <v>0</v>
      </c>
      <c r="E23" s="202">
        <f t="shared" ref="E23:I23" si="7">E74</f>
        <v>0</v>
      </c>
      <c r="F23" s="202">
        <f t="shared" si="7"/>
        <v>144</v>
      </c>
      <c r="G23" s="202">
        <f t="shared" si="7"/>
        <v>252</v>
      </c>
      <c r="H23" s="202">
        <f t="shared" si="7"/>
        <v>256.78799999999995</v>
      </c>
      <c r="I23" s="202">
        <f t="shared" si="7"/>
        <v>261.41018399999996</v>
      </c>
    </row>
    <row r="24" spans="3:9">
      <c r="C24" t="s">
        <v>271</v>
      </c>
      <c r="D24" s="202">
        <f>D79</f>
        <v>0</v>
      </c>
      <c r="E24" s="202">
        <f t="shared" ref="E24:I24" si="8">E79</f>
        <v>0</v>
      </c>
      <c r="F24" s="202">
        <f t="shared" si="8"/>
        <v>21</v>
      </c>
      <c r="G24" s="202">
        <f t="shared" si="8"/>
        <v>252</v>
      </c>
      <c r="H24" s="202">
        <f t="shared" si="8"/>
        <v>256.78799999999995</v>
      </c>
      <c r="I24" s="202">
        <f t="shared" si="8"/>
        <v>261.41018399999996</v>
      </c>
    </row>
    <row r="25" spans="3:9">
      <c r="C25" t="s">
        <v>272</v>
      </c>
      <c r="D25" s="202">
        <f>D84</f>
        <v>0</v>
      </c>
      <c r="E25" s="202">
        <f t="shared" ref="E25:I25" si="9">E84</f>
        <v>0</v>
      </c>
      <c r="F25" s="202">
        <f t="shared" si="9"/>
        <v>0</v>
      </c>
      <c r="G25" s="202">
        <f t="shared" si="9"/>
        <v>147</v>
      </c>
      <c r="H25" s="202">
        <f t="shared" si="9"/>
        <v>256</v>
      </c>
      <c r="I25" s="202">
        <f t="shared" si="9"/>
        <v>260.608</v>
      </c>
    </row>
    <row r="26" spans="3:9">
      <c r="C26" t="s">
        <v>273</v>
      </c>
      <c r="D26" s="202">
        <f>D89</f>
        <v>0</v>
      </c>
      <c r="E26" s="202">
        <f t="shared" ref="E26:I26" si="10">E89</f>
        <v>0</v>
      </c>
      <c r="F26" s="202">
        <f t="shared" si="10"/>
        <v>0</v>
      </c>
      <c r="G26" s="202">
        <f t="shared" si="10"/>
        <v>21</v>
      </c>
      <c r="H26" s="202">
        <f t="shared" si="10"/>
        <v>256</v>
      </c>
      <c r="I26" s="202">
        <f t="shared" si="10"/>
        <v>260.608</v>
      </c>
    </row>
    <row r="27" spans="3:9">
      <c r="C27" t="s">
        <v>274</v>
      </c>
      <c r="D27" s="202">
        <f>D94</f>
        <v>0</v>
      </c>
      <c r="E27" s="202">
        <f t="shared" ref="E27:I27" si="11">E94</f>
        <v>0</v>
      </c>
      <c r="F27" s="202">
        <f t="shared" si="11"/>
        <v>0</v>
      </c>
      <c r="G27" s="202">
        <f t="shared" si="11"/>
        <v>0</v>
      </c>
      <c r="H27" s="202">
        <f t="shared" si="11"/>
        <v>149</v>
      </c>
      <c r="I27" s="202">
        <f t="shared" si="11"/>
        <v>261</v>
      </c>
    </row>
    <row r="28" spans="3:9">
      <c r="C28" t="s">
        <v>275</v>
      </c>
      <c r="D28" s="202">
        <f>D99</f>
        <v>0</v>
      </c>
      <c r="E28" s="202">
        <f t="shared" ref="E28:I28" si="12">E99</f>
        <v>0</v>
      </c>
      <c r="F28" s="202">
        <f t="shared" si="12"/>
        <v>0</v>
      </c>
      <c r="G28" s="202">
        <f t="shared" si="12"/>
        <v>0</v>
      </c>
      <c r="H28" s="202">
        <f t="shared" si="12"/>
        <v>21</v>
      </c>
      <c r="I28" s="202">
        <f t="shared" si="12"/>
        <v>261</v>
      </c>
    </row>
    <row r="29" spans="3:9">
      <c r="D29" s="202">
        <f>SUM(D15:D28)</f>
        <v>1472</v>
      </c>
      <c r="E29" s="202">
        <f t="shared" ref="E29:I29" si="13">SUM(E15:E28)</f>
        <v>1414</v>
      </c>
      <c r="F29" s="202">
        <f t="shared" si="13"/>
        <v>2170.2600000000002</v>
      </c>
      <c r="G29" s="202">
        <f t="shared" si="13"/>
        <v>2711.12842</v>
      </c>
      <c r="H29" s="202">
        <f t="shared" si="13"/>
        <v>3273.2008599799997</v>
      </c>
      <c r="I29" s="202">
        <f t="shared" si="13"/>
        <v>3681.8244754596394</v>
      </c>
    </row>
    <row r="32" spans="3:9">
      <c r="D32" t="s">
        <v>276</v>
      </c>
      <c r="E32" t="s">
        <v>242</v>
      </c>
    </row>
    <row r="33" spans="3:14">
      <c r="C33" t="s">
        <v>503</v>
      </c>
      <c r="D33" t="s">
        <v>111</v>
      </c>
      <c r="E33" t="s">
        <v>200</v>
      </c>
      <c r="F33" t="s">
        <v>148</v>
      </c>
      <c r="G33" t="s">
        <v>149</v>
      </c>
      <c r="H33" t="s">
        <v>150</v>
      </c>
      <c r="I33" t="s">
        <v>207</v>
      </c>
    </row>
    <row r="34" spans="3:14">
      <c r="C34" t="s">
        <v>196</v>
      </c>
      <c r="D34" s="202">
        <v>12</v>
      </c>
      <c r="E34" s="202">
        <v>13</v>
      </c>
      <c r="F34" s="202">
        <v>13</v>
      </c>
      <c r="G34" s="202">
        <v>13</v>
      </c>
      <c r="H34" s="202">
        <v>13</v>
      </c>
      <c r="I34" s="202">
        <v>14</v>
      </c>
      <c r="J34" s="203">
        <f>E34/D34-1</f>
        <v>8.3333333333333259E-2</v>
      </c>
      <c r="K34" s="207">
        <f>F34/E34-1</f>
        <v>0</v>
      </c>
      <c r="L34" s="207">
        <f t="shared" ref="L34:N34" si="14">G34/F34-1</f>
        <v>0</v>
      </c>
      <c r="M34" s="207">
        <f t="shared" si="14"/>
        <v>0</v>
      </c>
      <c r="N34" s="207">
        <f t="shared" si="14"/>
        <v>7.6923076923076872E-2</v>
      </c>
    </row>
    <row r="35" spans="3:14">
      <c r="C35" t="s">
        <v>534</v>
      </c>
      <c r="D35" s="202">
        <f>SUM(D34)</f>
        <v>12</v>
      </c>
      <c r="E35" s="202">
        <f t="shared" ref="E35:I35" si="15">SUM(E34)</f>
        <v>13</v>
      </c>
      <c r="F35" s="202">
        <f t="shared" si="15"/>
        <v>13</v>
      </c>
      <c r="G35" s="202">
        <f t="shared" si="15"/>
        <v>13</v>
      </c>
      <c r="H35" s="202">
        <f t="shared" si="15"/>
        <v>13</v>
      </c>
      <c r="I35" s="202">
        <f t="shared" si="15"/>
        <v>14</v>
      </c>
      <c r="J35" s="203"/>
      <c r="K35" s="207"/>
      <c r="L35" s="207"/>
      <c r="M35" s="207"/>
      <c r="N35" s="207"/>
    </row>
    <row r="36" spans="3:14">
      <c r="D36" s="202"/>
      <c r="E36" s="202"/>
      <c r="F36" s="202"/>
      <c r="G36" s="202"/>
      <c r="H36" s="202"/>
      <c r="I36" s="202"/>
      <c r="J36" s="203"/>
      <c r="K36" s="207"/>
      <c r="L36" s="207"/>
      <c r="M36" s="207"/>
      <c r="N36" s="207"/>
    </row>
    <row r="37" spans="3:14">
      <c r="D37" s="202"/>
      <c r="E37" s="202"/>
      <c r="F37" s="202"/>
      <c r="G37" s="202"/>
      <c r="H37" s="202"/>
      <c r="I37" s="202"/>
      <c r="J37" s="203"/>
      <c r="K37" s="207"/>
      <c r="L37" s="207"/>
      <c r="M37" s="207"/>
      <c r="N37" s="207"/>
    </row>
    <row r="38" spans="3:14">
      <c r="D38" s="202"/>
      <c r="E38" s="202"/>
      <c r="F38" s="202"/>
      <c r="G38" s="202"/>
      <c r="H38" s="202"/>
      <c r="I38" s="202"/>
      <c r="J38" s="203"/>
      <c r="K38" s="207"/>
      <c r="L38" s="207"/>
      <c r="M38" s="207"/>
      <c r="N38" s="207"/>
    </row>
    <row r="39" spans="3:14">
      <c r="D39" t="s">
        <v>276</v>
      </c>
      <c r="E39" t="s">
        <v>242</v>
      </c>
    </row>
    <row r="40" spans="3:14">
      <c r="C40" t="s">
        <v>264</v>
      </c>
      <c r="D40" t="s">
        <v>111</v>
      </c>
      <c r="E40" t="s">
        <v>200</v>
      </c>
      <c r="F40" t="s">
        <v>148</v>
      </c>
      <c r="G40" t="s">
        <v>149</v>
      </c>
      <c r="H40" t="s">
        <v>150</v>
      </c>
      <c r="I40" t="s">
        <v>207</v>
      </c>
    </row>
    <row r="41" spans="3:14">
      <c r="C41" t="s">
        <v>187</v>
      </c>
      <c r="D41" s="202">
        <v>608</v>
      </c>
      <c r="E41" s="202">
        <v>449</v>
      </c>
      <c r="F41" s="202">
        <f>E41*(1+F11)</f>
        <v>457.98</v>
      </c>
      <c r="G41" s="202">
        <f t="shared" ref="G41:I41" si="16">F41*(1+G11)</f>
        <v>465.76565999999997</v>
      </c>
      <c r="H41" s="202">
        <f t="shared" si="16"/>
        <v>474.61520753999991</v>
      </c>
      <c r="I41" s="202">
        <f t="shared" si="16"/>
        <v>483.1582812757199</v>
      </c>
      <c r="J41" s="203">
        <f>E41/D41-1</f>
        <v>-0.26151315789473684</v>
      </c>
      <c r="K41" s="207">
        <f>F41/E41-1</f>
        <v>2.0000000000000018E-2</v>
      </c>
      <c r="L41" s="207">
        <f t="shared" ref="L41:N42" si="17">G41/F41-1</f>
        <v>1.6999999999999904E-2</v>
      </c>
      <c r="M41" s="207">
        <f t="shared" si="17"/>
        <v>1.8999999999999906E-2</v>
      </c>
      <c r="N41" s="207">
        <f t="shared" si="17"/>
        <v>1.8000000000000016E-2</v>
      </c>
    </row>
    <row r="42" spans="3:14">
      <c r="C42" t="s">
        <v>534</v>
      </c>
      <c r="D42" s="202">
        <f t="shared" ref="D42:I42" si="18">SUM(D41:D41)</f>
        <v>608</v>
      </c>
      <c r="E42" s="202">
        <f t="shared" si="18"/>
        <v>449</v>
      </c>
      <c r="F42" s="202">
        <f t="shared" si="18"/>
        <v>457.98</v>
      </c>
      <c r="G42" s="202">
        <f t="shared" si="18"/>
        <v>465.76565999999997</v>
      </c>
      <c r="H42" s="202">
        <f t="shared" si="18"/>
        <v>474.61520753999991</v>
      </c>
      <c r="I42" s="202">
        <f t="shared" si="18"/>
        <v>483.1582812757199</v>
      </c>
      <c r="J42" s="203">
        <f t="shared" ref="J42:K42" si="19">E42/D42-1</f>
        <v>-0.26151315789473684</v>
      </c>
      <c r="K42" s="207">
        <f t="shared" si="19"/>
        <v>2.0000000000000018E-2</v>
      </c>
      <c r="L42" s="207">
        <f t="shared" si="17"/>
        <v>1.6999999999999904E-2</v>
      </c>
      <c r="M42" s="207">
        <f t="shared" si="17"/>
        <v>1.8999999999999906E-2</v>
      </c>
      <c r="N42" s="207">
        <f t="shared" si="17"/>
        <v>1.8000000000000016E-2</v>
      </c>
    </row>
    <row r="43" spans="3:14">
      <c r="D43" s="202"/>
      <c r="E43" s="202"/>
      <c r="F43" s="202"/>
      <c r="G43" s="202"/>
      <c r="H43" s="202"/>
      <c r="I43" s="202"/>
      <c r="J43" s="203"/>
      <c r="K43" s="207"/>
      <c r="L43" s="207"/>
      <c r="M43" s="207"/>
      <c r="N43" s="207"/>
    </row>
    <row r="44" spans="3:14">
      <c r="D44" t="s">
        <v>276</v>
      </c>
      <c r="E44" t="s">
        <v>242</v>
      </c>
    </row>
    <row r="45" spans="3:14">
      <c r="C45" t="s">
        <v>510</v>
      </c>
      <c r="D45" t="s">
        <v>111</v>
      </c>
      <c r="E45" t="s">
        <v>200</v>
      </c>
      <c r="F45" t="s">
        <v>148</v>
      </c>
      <c r="G45" t="s">
        <v>149</v>
      </c>
      <c r="H45" t="s">
        <v>150</v>
      </c>
      <c r="I45" t="s">
        <v>207</v>
      </c>
    </row>
    <row r="46" spans="3:14">
      <c r="C46" t="s">
        <v>187</v>
      </c>
      <c r="D46" s="202">
        <v>287</v>
      </c>
      <c r="E46" s="202">
        <v>255</v>
      </c>
      <c r="F46" s="202">
        <f>E46*(1+F11)</f>
        <v>260.10000000000002</v>
      </c>
      <c r="G46" s="202">
        <f t="shared" ref="G46:I46" si="20">F46*(1+G11)</f>
        <v>264.52170000000001</v>
      </c>
      <c r="H46" s="202">
        <f t="shared" si="20"/>
        <v>269.54761229999997</v>
      </c>
      <c r="I46" s="202">
        <f t="shared" si="20"/>
        <v>274.39946932139998</v>
      </c>
      <c r="J46" s="203">
        <f>E46/D46-1</f>
        <v>-0.11149825783972123</v>
      </c>
      <c r="K46" s="207">
        <f>F46/E46-1</f>
        <v>2.0000000000000018E-2</v>
      </c>
      <c r="L46" s="207">
        <f t="shared" ref="L46:N47" si="21">G46/F46-1</f>
        <v>1.6999999999999904E-2</v>
      </c>
      <c r="M46" s="207">
        <f t="shared" si="21"/>
        <v>1.8999999999999906E-2</v>
      </c>
      <c r="N46" s="207">
        <f t="shared" si="21"/>
        <v>1.8000000000000016E-2</v>
      </c>
    </row>
    <row r="47" spans="3:14">
      <c r="C47" t="s">
        <v>533</v>
      </c>
      <c r="D47" s="202">
        <f t="shared" ref="D47:I47" si="22">SUM(D46:D46)</f>
        <v>287</v>
      </c>
      <c r="E47" s="202">
        <f t="shared" si="22"/>
        <v>255</v>
      </c>
      <c r="F47" s="202">
        <f t="shared" si="22"/>
        <v>260.10000000000002</v>
      </c>
      <c r="G47" s="202">
        <f t="shared" si="22"/>
        <v>264.52170000000001</v>
      </c>
      <c r="H47" s="202">
        <f t="shared" si="22"/>
        <v>269.54761229999997</v>
      </c>
      <c r="I47" s="202">
        <f t="shared" si="22"/>
        <v>274.39946932139998</v>
      </c>
      <c r="J47" s="203">
        <f t="shared" ref="J47:K47" si="23">E47/D47-1</f>
        <v>-0.11149825783972123</v>
      </c>
      <c r="K47" s="207">
        <f t="shared" si="23"/>
        <v>2.0000000000000018E-2</v>
      </c>
      <c r="L47" s="207">
        <f t="shared" si="21"/>
        <v>1.6999999999999904E-2</v>
      </c>
      <c r="M47" s="207">
        <f t="shared" si="21"/>
        <v>1.8999999999999906E-2</v>
      </c>
      <c r="N47" s="207">
        <f t="shared" si="21"/>
        <v>1.8000000000000016E-2</v>
      </c>
    </row>
    <row r="49" spans="3:14">
      <c r="D49" t="s">
        <v>276</v>
      </c>
      <c r="E49" t="s">
        <v>242</v>
      </c>
    </row>
    <row r="50" spans="3:14">
      <c r="C50" t="s">
        <v>511</v>
      </c>
      <c r="D50" t="s">
        <v>111</v>
      </c>
      <c r="E50" t="s">
        <v>200</v>
      </c>
      <c r="F50" t="s">
        <v>148</v>
      </c>
      <c r="G50" t="s">
        <v>149</v>
      </c>
      <c r="H50" t="s">
        <v>150</v>
      </c>
      <c r="I50" t="s">
        <v>207</v>
      </c>
    </row>
    <row r="51" spans="3:14">
      <c r="C51" t="s">
        <v>187</v>
      </c>
      <c r="D51" s="202">
        <v>261</v>
      </c>
      <c r="E51" s="202">
        <v>316</v>
      </c>
      <c r="F51" s="202">
        <f>E51*(1+F11)</f>
        <v>322.32</v>
      </c>
      <c r="G51" s="202">
        <f t="shared" ref="G51:I51" si="24">F51*(1+G11)</f>
        <v>327.79943999999995</v>
      </c>
      <c r="H51" s="202">
        <f t="shared" si="24"/>
        <v>334.02762935999993</v>
      </c>
      <c r="I51" s="202">
        <f t="shared" si="24"/>
        <v>340.04012668847992</v>
      </c>
      <c r="J51" s="203">
        <f>E51/D51-1</f>
        <v>0.21072796934865901</v>
      </c>
      <c r="K51" s="207">
        <f>F51/E51-1</f>
        <v>2.0000000000000018E-2</v>
      </c>
      <c r="L51" s="207">
        <f t="shared" ref="L51:N52" si="25">G51/F51-1</f>
        <v>1.6999999999999904E-2</v>
      </c>
      <c r="M51" s="207">
        <f t="shared" si="25"/>
        <v>1.8999999999999906E-2</v>
      </c>
      <c r="N51" s="207">
        <f t="shared" si="25"/>
        <v>1.8000000000000016E-2</v>
      </c>
    </row>
    <row r="52" spans="3:14">
      <c r="C52" t="s">
        <v>533</v>
      </c>
      <c r="D52" s="202">
        <f t="shared" ref="D52:I52" si="26">SUM(D51:D51)</f>
        <v>261</v>
      </c>
      <c r="E52" s="202">
        <f t="shared" si="26"/>
        <v>316</v>
      </c>
      <c r="F52" s="202">
        <f t="shared" si="26"/>
        <v>322.32</v>
      </c>
      <c r="G52" s="202">
        <f t="shared" si="26"/>
        <v>327.79943999999995</v>
      </c>
      <c r="H52" s="202">
        <f t="shared" si="26"/>
        <v>334.02762935999993</v>
      </c>
      <c r="I52" s="202">
        <f t="shared" si="26"/>
        <v>340.04012668847992</v>
      </c>
      <c r="J52" s="203">
        <f t="shared" ref="J52:K52" si="27">E52/D52-1</f>
        <v>0.21072796934865901</v>
      </c>
      <c r="K52" s="207">
        <f t="shared" si="27"/>
        <v>2.0000000000000018E-2</v>
      </c>
      <c r="L52" s="207">
        <f t="shared" si="25"/>
        <v>1.6999999999999904E-2</v>
      </c>
      <c r="M52" s="207">
        <f t="shared" si="25"/>
        <v>1.8999999999999906E-2</v>
      </c>
      <c r="N52" s="207">
        <f t="shared" si="25"/>
        <v>1.8000000000000016E-2</v>
      </c>
    </row>
    <row r="55" spans="3:14">
      <c r="D55" t="s">
        <v>276</v>
      </c>
      <c r="E55" t="s">
        <v>242</v>
      </c>
    </row>
    <row r="56" spans="3:14">
      <c r="C56" t="s">
        <v>512</v>
      </c>
      <c r="D56" t="s">
        <v>111</v>
      </c>
      <c r="E56" t="s">
        <v>200</v>
      </c>
      <c r="F56" t="s">
        <v>148</v>
      </c>
      <c r="G56" t="s">
        <v>149</v>
      </c>
      <c r="H56" t="s">
        <v>150</v>
      </c>
      <c r="I56" t="s">
        <v>207</v>
      </c>
    </row>
    <row r="57" spans="3:14">
      <c r="C57" t="s">
        <v>187</v>
      </c>
      <c r="D57" s="202">
        <v>15</v>
      </c>
      <c r="E57" s="202">
        <v>243</v>
      </c>
      <c r="F57" s="202">
        <f>E57*(1+F11)</f>
        <v>247.86</v>
      </c>
      <c r="G57" s="202">
        <f t="shared" ref="G57:I57" si="28">F57*(1+G11)</f>
        <v>252.07361999999998</v>
      </c>
      <c r="H57" s="202">
        <f t="shared" si="28"/>
        <v>256.86301877999995</v>
      </c>
      <c r="I57" s="202">
        <f t="shared" si="28"/>
        <v>261.48655311803998</v>
      </c>
      <c r="J57" s="203">
        <f>E57/D57-1</f>
        <v>15.2</v>
      </c>
      <c r="K57" s="207">
        <f>F57/E57-1</f>
        <v>2.0000000000000018E-2</v>
      </c>
      <c r="L57" s="207">
        <f t="shared" ref="L57:N58" si="29">G57/F57-1</f>
        <v>1.6999999999999904E-2</v>
      </c>
      <c r="M57" s="207">
        <f t="shared" si="29"/>
        <v>1.8999999999999906E-2</v>
      </c>
      <c r="N57" s="207">
        <f t="shared" si="29"/>
        <v>1.8000000000000016E-2</v>
      </c>
    </row>
    <row r="58" spans="3:14">
      <c r="C58" t="s">
        <v>533</v>
      </c>
      <c r="D58" s="202">
        <f t="shared" ref="D58:I58" si="30">SUM(D57:D57)</f>
        <v>15</v>
      </c>
      <c r="E58" s="202">
        <f t="shared" si="30"/>
        <v>243</v>
      </c>
      <c r="F58" s="202">
        <f t="shared" si="30"/>
        <v>247.86</v>
      </c>
      <c r="G58" s="202">
        <f t="shared" si="30"/>
        <v>252.07361999999998</v>
      </c>
      <c r="H58" s="202">
        <f t="shared" si="30"/>
        <v>256.86301877999995</v>
      </c>
      <c r="I58" s="202">
        <f t="shared" si="30"/>
        <v>261.48655311803998</v>
      </c>
      <c r="J58" s="203">
        <f t="shared" ref="J58:K58" si="31">E58/D58-1</f>
        <v>15.2</v>
      </c>
      <c r="K58" s="207">
        <f t="shared" si="31"/>
        <v>2.0000000000000018E-2</v>
      </c>
      <c r="L58" s="207">
        <f t="shared" si="29"/>
        <v>1.6999999999999904E-2</v>
      </c>
      <c r="M58" s="207">
        <f t="shared" si="29"/>
        <v>1.8999999999999906E-2</v>
      </c>
      <c r="N58" s="207">
        <f t="shared" si="29"/>
        <v>1.8000000000000016E-2</v>
      </c>
    </row>
    <row r="60" spans="3:14">
      <c r="D60" t="s">
        <v>276</v>
      </c>
      <c r="E60" t="s">
        <v>242</v>
      </c>
    </row>
    <row r="61" spans="3:14">
      <c r="C61" t="s">
        <v>513</v>
      </c>
      <c r="D61" t="s">
        <v>111</v>
      </c>
      <c r="E61" t="s">
        <v>200</v>
      </c>
      <c r="F61" t="s">
        <v>148</v>
      </c>
      <c r="G61" t="s">
        <v>149</v>
      </c>
      <c r="H61" t="s">
        <v>150</v>
      </c>
      <c r="I61" t="s">
        <v>207</v>
      </c>
    </row>
    <row r="62" spans="3:14">
      <c r="C62" t="s">
        <v>187</v>
      </c>
      <c r="D62" s="202"/>
      <c r="E62" s="202">
        <v>101</v>
      </c>
      <c r="F62" s="202">
        <v>247</v>
      </c>
      <c r="G62" s="202">
        <f>F62*(1+G11)</f>
        <v>251.19899999999998</v>
      </c>
      <c r="H62" s="202">
        <f t="shared" ref="H62:I62" si="32">G62*(1+H11)</f>
        <v>255.97178099999996</v>
      </c>
      <c r="I62" s="202">
        <f t="shared" si="32"/>
        <v>260.57927305799996</v>
      </c>
      <c r="J62" s="203" t="e">
        <f>E62/D62-1</f>
        <v>#DIV/0!</v>
      </c>
      <c r="K62" s="207">
        <f>F62/E62-1</f>
        <v>1.4455445544554455</v>
      </c>
      <c r="L62" s="207">
        <f t="shared" ref="L62:N63" si="33">G62/F62-1</f>
        <v>1.6999999999999904E-2</v>
      </c>
      <c r="M62" s="207">
        <f t="shared" si="33"/>
        <v>1.8999999999999906E-2</v>
      </c>
      <c r="N62" s="207">
        <f t="shared" si="33"/>
        <v>1.8000000000000016E-2</v>
      </c>
    </row>
    <row r="63" spans="3:14">
      <c r="C63" t="s">
        <v>533</v>
      </c>
      <c r="D63" s="202">
        <f t="shared" ref="D63:I63" si="34">SUM(D62:D62)</f>
        <v>0</v>
      </c>
      <c r="E63" s="202">
        <f t="shared" si="34"/>
        <v>101</v>
      </c>
      <c r="F63" s="202">
        <f t="shared" si="34"/>
        <v>247</v>
      </c>
      <c r="G63" s="202">
        <f t="shared" si="34"/>
        <v>251.19899999999998</v>
      </c>
      <c r="H63" s="202">
        <f t="shared" si="34"/>
        <v>255.97178099999996</v>
      </c>
      <c r="I63" s="202">
        <f t="shared" si="34"/>
        <v>260.57927305799996</v>
      </c>
      <c r="J63" s="203" t="e">
        <f t="shared" ref="J63:K63" si="35">E63/D63-1</f>
        <v>#DIV/0!</v>
      </c>
      <c r="K63" s="207">
        <f t="shared" si="35"/>
        <v>1.4455445544554455</v>
      </c>
      <c r="L63" s="207">
        <f t="shared" si="33"/>
        <v>1.6999999999999904E-2</v>
      </c>
      <c r="M63" s="207">
        <f t="shared" si="33"/>
        <v>1.8999999999999906E-2</v>
      </c>
      <c r="N63" s="207">
        <f t="shared" si="33"/>
        <v>1.8000000000000016E-2</v>
      </c>
    </row>
    <row r="65" spans="3:14">
      <c r="D65" t="s">
        <v>276</v>
      </c>
      <c r="E65" t="s">
        <v>242</v>
      </c>
    </row>
    <row r="66" spans="3:14">
      <c r="C66" t="s">
        <v>514</v>
      </c>
      <c r="D66" t="s">
        <v>111</v>
      </c>
      <c r="E66" t="s">
        <v>200</v>
      </c>
      <c r="F66" t="s">
        <v>148</v>
      </c>
      <c r="G66" t="s">
        <v>149</v>
      </c>
      <c r="H66" t="s">
        <v>150</v>
      </c>
      <c r="I66" t="s">
        <v>207</v>
      </c>
    </row>
    <row r="67" spans="3:14">
      <c r="C67" t="s">
        <v>187</v>
      </c>
      <c r="D67" s="202"/>
      <c r="E67" s="202">
        <v>37</v>
      </c>
      <c r="F67" s="202">
        <v>457</v>
      </c>
      <c r="G67" s="202">
        <f>F67*(1+G11)</f>
        <v>464.76899999999995</v>
      </c>
      <c r="H67" s="202">
        <f t="shared" ref="H67:I67" si="36">G67*(1+H11)</f>
        <v>473.59961099999992</v>
      </c>
      <c r="I67" s="202">
        <f t="shared" si="36"/>
        <v>482.12440399799993</v>
      </c>
      <c r="J67" s="203" t="e">
        <f>E67/D67-1</f>
        <v>#DIV/0!</v>
      </c>
      <c r="K67" s="207">
        <f>F67/E67-1</f>
        <v>11.351351351351351</v>
      </c>
      <c r="L67" s="207">
        <f t="shared" ref="L67:N68" si="37">G67/F67-1</f>
        <v>1.6999999999999904E-2</v>
      </c>
      <c r="M67" s="207">
        <f t="shared" si="37"/>
        <v>1.8999999999999906E-2</v>
      </c>
      <c r="N67" s="207">
        <f t="shared" si="37"/>
        <v>1.8000000000000016E-2</v>
      </c>
    </row>
    <row r="68" spans="3:14">
      <c r="C68" t="s">
        <v>533</v>
      </c>
      <c r="D68" s="202">
        <f t="shared" ref="D68:I68" si="38">SUM(D67:D67)</f>
        <v>0</v>
      </c>
      <c r="E68" s="202">
        <f t="shared" si="38"/>
        <v>37</v>
      </c>
      <c r="F68" s="202">
        <f t="shared" si="38"/>
        <v>457</v>
      </c>
      <c r="G68" s="202">
        <f t="shared" si="38"/>
        <v>464.76899999999995</v>
      </c>
      <c r="H68" s="202">
        <f t="shared" si="38"/>
        <v>473.59961099999992</v>
      </c>
      <c r="I68" s="202">
        <f t="shared" si="38"/>
        <v>482.12440399799993</v>
      </c>
      <c r="J68" s="203" t="e">
        <f t="shared" ref="J68:K68" si="39">E68/D68-1</f>
        <v>#DIV/0!</v>
      </c>
      <c r="K68" s="207">
        <f t="shared" si="39"/>
        <v>11.351351351351351</v>
      </c>
      <c r="L68" s="207">
        <f t="shared" si="37"/>
        <v>1.6999999999999904E-2</v>
      </c>
      <c r="M68" s="207">
        <f t="shared" si="37"/>
        <v>1.8999999999999906E-2</v>
      </c>
      <c r="N68" s="207">
        <f t="shared" si="37"/>
        <v>1.8000000000000016E-2</v>
      </c>
    </row>
    <row r="71" spans="3:14">
      <c r="D71" t="s">
        <v>276</v>
      </c>
      <c r="E71" t="s">
        <v>242</v>
      </c>
    </row>
    <row r="72" spans="3:14">
      <c r="C72" t="s">
        <v>515</v>
      </c>
      <c r="D72" t="s">
        <v>111</v>
      </c>
      <c r="E72" t="s">
        <v>200</v>
      </c>
      <c r="F72" t="s">
        <v>148</v>
      </c>
      <c r="G72" t="s">
        <v>149</v>
      </c>
      <c r="H72" t="s">
        <v>150</v>
      </c>
      <c r="I72" t="s">
        <v>207</v>
      </c>
    </row>
    <row r="73" spans="3:14">
      <c r="C73" t="s">
        <v>187</v>
      </c>
      <c r="D73" s="202"/>
      <c r="E73" s="202"/>
      <c r="F73" s="202">
        <v>144</v>
      </c>
      <c r="G73" s="202">
        <v>252</v>
      </c>
      <c r="H73" s="202">
        <f>G73*(1+H11)</f>
        <v>256.78799999999995</v>
      </c>
      <c r="I73" s="202">
        <f>H73*(1+I11)</f>
        <v>261.41018399999996</v>
      </c>
      <c r="J73" s="203" t="e">
        <f>E73/D73-1</f>
        <v>#DIV/0!</v>
      </c>
      <c r="K73" s="207" t="e">
        <f>F73/E73-1</f>
        <v>#DIV/0!</v>
      </c>
      <c r="L73" s="207">
        <f t="shared" ref="L73:N74" si="40">G73/F73-1</f>
        <v>0.75</v>
      </c>
      <c r="M73" s="207">
        <f t="shared" si="40"/>
        <v>1.8999999999999906E-2</v>
      </c>
      <c r="N73" s="207">
        <f t="shared" si="40"/>
        <v>1.8000000000000016E-2</v>
      </c>
    </row>
    <row r="74" spans="3:14">
      <c r="C74" t="s">
        <v>533</v>
      </c>
      <c r="D74" s="202">
        <f t="shared" ref="D74:I74" si="41">SUM(D73:D73)</f>
        <v>0</v>
      </c>
      <c r="E74" s="202">
        <f t="shared" si="41"/>
        <v>0</v>
      </c>
      <c r="F74" s="202">
        <f t="shared" si="41"/>
        <v>144</v>
      </c>
      <c r="G74" s="202">
        <f t="shared" si="41"/>
        <v>252</v>
      </c>
      <c r="H74" s="202">
        <f t="shared" si="41"/>
        <v>256.78799999999995</v>
      </c>
      <c r="I74" s="202">
        <f t="shared" si="41"/>
        <v>261.41018399999996</v>
      </c>
      <c r="J74" s="203" t="e">
        <f t="shared" ref="J74:K74" si="42">E74/D74-1</f>
        <v>#DIV/0!</v>
      </c>
      <c r="K74" s="207" t="e">
        <f t="shared" si="42"/>
        <v>#DIV/0!</v>
      </c>
      <c r="L74" s="207">
        <f t="shared" si="40"/>
        <v>0.75</v>
      </c>
      <c r="M74" s="207">
        <f t="shared" si="40"/>
        <v>1.8999999999999906E-2</v>
      </c>
      <c r="N74" s="207">
        <f t="shared" si="40"/>
        <v>1.8000000000000016E-2</v>
      </c>
    </row>
    <row r="76" spans="3:14">
      <c r="D76" t="s">
        <v>276</v>
      </c>
      <c r="E76" t="s">
        <v>242</v>
      </c>
    </row>
    <row r="77" spans="3:14">
      <c r="C77" t="s">
        <v>516</v>
      </c>
      <c r="D77" t="s">
        <v>111</v>
      </c>
      <c r="E77" t="s">
        <v>200</v>
      </c>
      <c r="F77" t="s">
        <v>148</v>
      </c>
      <c r="G77" t="s">
        <v>149</v>
      </c>
      <c r="H77" t="s">
        <v>150</v>
      </c>
      <c r="I77" t="s">
        <v>207</v>
      </c>
    </row>
    <row r="78" spans="3:14">
      <c r="C78" t="s">
        <v>187</v>
      </c>
      <c r="D78" s="202"/>
      <c r="E78" s="202"/>
      <c r="F78" s="202">
        <v>21</v>
      </c>
      <c r="G78" s="202">
        <v>252</v>
      </c>
      <c r="H78" s="202">
        <f>G78*(1+H11)</f>
        <v>256.78799999999995</v>
      </c>
      <c r="I78" s="202">
        <f>H78*(1+I11)</f>
        <v>261.41018399999996</v>
      </c>
      <c r="J78" s="203" t="e">
        <f>E78/D78-1</f>
        <v>#DIV/0!</v>
      </c>
      <c r="K78" s="207" t="e">
        <f>F78/E78-1</f>
        <v>#DIV/0!</v>
      </c>
      <c r="L78" s="207">
        <f t="shared" ref="L78:N79" si="43">G78/F78-1</f>
        <v>11</v>
      </c>
      <c r="M78" s="207">
        <f t="shared" si="43"/>
        <v>1.8999999999999906E-2</v>
      </c>
      <c r="N78" s="207">
        <f t="shared" si="43"/>
        <v>1.8000000000000016E-2</v>
      </c>
    </row>
    <row r="79" spans="3:14">
      <c r="C79" t="s">
        <v>533</v>
      </c>
      <c r="D79" s="202">
        <f t="shared" ref="D79:I79" si="44">SUM(D78:D78)</f>
        <v>0</v>
      </c>
      <c r="E79" s="202">
        <f t="shared" si="44"/>
        <v>0</v>
      </c>
      <c r="F79" s="202">
        <f t="shared" si="44"/>
        <v>21</v>
      </c>
      <c r="G79" s="202">
        <f t="shared" si="44"/>
        <v>252</v>
      </c>
      <c r="H79" s="202">
        <f t="shared" si="44"/>
        <v>256.78799999999995</v>
      </c>
      <c r="I79" s="202">
        <f t="shared" si="44"/>
        <v>261.41018399999996</v>
      </c>
      <c r="J79" s="203" t="e">
        <f t="shared" ref="J79:K79" si="45">E79/D79-1</f>
        <v>#DIV/0!</v>
      </c>
      <c r="K79" s="207" t="e">
        <f t="shared" si="45"/>
        <v>#DIV/0!</v>
      </c>
      <c r="L79" s="207">
        <f t="shared" si="43"/>
        <v>11</v>
      </c>
      <c r="M79" s="207">
        <f t="shared" si="43"/>
        <v>1.8999999999999906E-2</v>
      </c>
      <c r="N79" s="207">
        <f t="shared" si="43"/>
        <v>1.8000000000000016E-2</v>
      </c>
    </row>
    <row r="81" spans="3:14">
      <c r="D81" t="s">
        <v>276</v>
      </c>
      <c r="E81" t="s">
        <v>242</v>
      </c>
    </row>
    <row r="82" spans="3:14">
      <c r="C82" t="s">
        <v>517</v>
      </c>
      <c r="D82" t="s">
        <v>111</v>
      </c>
      <c r="E82" t="s">
        <v>200</v>
      </c>
      <c r="F82" t="s">
        <v>148</v>
      </c>
      <c r="G82" t="s">
        <v>149</v>
      </c>
      <c r="H82" t="s">
        <v>150</v>
      </c>
      <c r="I82" t="s">
        <v>207</v>
      </c>
    </row>
    <row r="83" spans="3:14">
      <c r="C83" t="s">
        <v>187</v>
      </c>
      <c r="D83" s="202"/>
      <c r="E83" s="202"/>
      <c r="F83" s="202"/>
      <c r="G83" s="202">
        <v>147</v>
      </c>
      <c r="H83" s="202">
        <v>256</v>
      </c>
      <c r="I83" s="202">
        <f>H83*(1+I11)</f>
        <v>260.608</v>
      </c>
      <c r="J83" s="203" t="e">
        <f>E83/D83-1</f>
        <v>#DIV/0!</v>
      </c>
      <c r="K83" s="207" t="e">
        <f>F83/E83-1</f>
        <v>#DIV/0!</v>
      </c>
      <c r="L83" s="207" t="e">
        <f t="shared" ref="L83:N84" si="46">G83/F83-1</f>
        <v>#DIV/0!</v>
      </c>
      <c r="M83" s="207">
        <f t="shared" si="46"/>
        <v>0.74149659863945572</v>
      </c>
      <c r="N83" s="207">
        <f t="shared" si="46"/>
        <v>1.8000000000000016E-2</v>
      </c>
    </row>
    <row r="84" spans="3:14">
      <c r="C84" t="s">
        <v>533</v>
      </c>
      <c r="D84" s="202">
        <f t="shared" ref="D84:I84" si="47">SUM(D83:D83)</f>
        <v>0</v>
      </c>
      <c r="E84" s="202">
        <f t="shared" si="47"/>
        <v>0</v>
      </c>
      <c r="F84" s="202">
        <f t="shared" si="47"/>
        <v>0</v>
      </c>
      <c r="G84" s="202">
        <f t="shared" si="47"/>
        <v>147</v>
      </c>
      <c r="H84" s="202">
        <f t="shared" si="47"/>
        <v>256</v>
      </c>
      <c r="I84" s="202">
        <f t="shared" si="47"/>
        <v>260.608</v>
      </c>
      <c r="J84" s="203" t="e">
        <f t="shared" ref="J84:K84" si="48">E84/D84-1</f>
        <v>#DIV/0!</v>
      </c>
      <c r="K84" s="207" t="e">
        <f t="shared" si="48"/>
        <v>#DIV/0!</v>
      </c>
      <c r="L84" s="207" t="e">
        <f t="shared" si="46"/>
        <v>#DIV/0!</v>
      </c>
      <c r="M84" s="207">
        <f t="shared" si="46"/>
        <v>0.74149659863945572</v>
      </c>
      <c r="N84" s="207">
        <f t="shared" si="46"/>
        <v>1.8000000000000016E-2</v>
      </c>
    </row>
    <row r="86" spans="3:14">
      <c r="D86" t="s">
        <v>276</v>
      </c>
      <c r="E86" t="s">
        <v>242</v>
      </c>
    </row>
    <row r="87" spans="3:14">
      <c r="C87" t="s">
        <v>518</v>
      </c>
      <c r="D87" t="s">
        <v>111</v>
      </c>
      <c r="E87" t="s">
        <v>200</v>
      </c>
      <c r="F87" t="s">
        <v>148</v>
      </c>
      <c r="G87" t="s">
        <v>149</v>
      </c>
      <c r="H87" t="s">
        <v>150</v>
      </c>
      <c r="I87" t="s">
        <v>207</v>
      </c>
    </row>
    <row r="88" spans="3:14">
      <c r="C88" t="s">
        <v>187</v>
      </c>
      <c r="D88" s="202"/>
      <c r="E88" s="202"/>
      <c r="F88" s="202"/>
      <c r="G88" s="202">
        <v>21</v>
      </c>
      <c r="H88" s="202">
        <v>256</v>
      </c>
      <c r="I88" s="202">
        <f>H88*(1+I11)</f>
        <v>260.608</v>
      </c>
      <c r="J88" s="203" t="e">
        <f>E88/D88-1</f>
        <v>#DIV/0!</v>
      </c>
      <c r="K88" s="207" t="e">
        <f>F88/E88-1</f>
        <v>#DIV/0!</v>
      </c>
      <c r="L88" s="207" t="e">
        <f t="shared" ref="L88:N89" si="49">G88/F88-1</f>
        <v>#DIV/0!</v>
      </c>
      <c r="M88" s="207">
        <f t="shared" si="49"/>
        <v>11.19047619047619</v>
      </c>
      <c r="N88" s="207">
        <f t="shared" si="49"/>
        <v>1.8000000000000016E-2</v>
      </c>
    </row>
    <row r="89" spans="3:14">
      <c r="C89" t="s">
        <v>533</v>
      </c>
      <c r="D89" s="202">
        <f t="shared" ref="D89:I89" si="50">SUM(D88:D88)</f>
        <v>0</v>
      </c>
      <c r="E89" s="202">
        <f t="shared" si="50"/>
        <v>0</v>
      </c>
      <c r="F89" s="202">
        <f t="shared" si="50"/>
        <v>0</v>
      </c>
      <c r="G89" s="202">
        <f t="shared" si="50"/>
        <v>21</v>
      </c>
      <c r="H89" s="202">
        <f t="shared" si="50"/>
        <v>256</v>
      </c>
      <c r="I89" s="202">
        <f t="shared" si="50"/>
        <v>260.608</v>
      </c>
      <c r="J89" s="203" t="e">
        <f t="shared" ref="J89:K89" si="51">E89/D89-1</f>
        <v>#DIV/0!</v>
      </c>
      <c r="K89" s="207" t="e">
        <f t="shared" si="51"/>
        <v>#DIV/0!</v>
      </c>
      <c r="L89" s="207" t="e">
        <f t="shared" si="49"/>
        <v>#DIV/0!</v>
      </c>
      <c r="M89" s="207">
        <f t="shared" si="49"/>
        <v>11.19047619047619</v>
      </c>
      <c r="N89" s="207">
        <f t="shared" si="49"/>
        <v>1.8000000000000016E-2</v>
      </c>
    </row>
    <row r="91" spans="3:14">
      <c r="D91" t="s">
        <v>276</v>
      </c>
      <c r="E91" t="s">
        <v>242</v>
      </c>
    </row>
    <row r="92" spans="3:14">
      <c r="C92" t="s">
        <v>519</v>
      </c>
      <c r="D92" t="s">
        <v>111</v>
      </c>
      <c r="E92" t="s">
        <v>200</v>
      </c>
      <c r="F92" t="s">
        <v>148</v>
      </c>
      <c r="G92" t="s">
        <v>149</v>
      </c>
      <c r="H92" t="s">
        <v>150</v>
      </c>
      <c r="I92" t="s">
        <v>207</v>
      </c>
    </row>
    <row r="93" spans="3:14">
      <c r="C93" t="s">
        <v>187</v>
      </c>
      <c r="D93" s="202"/>
      <c r="E93" s="202"/>
      <c r="F93" s="202"/>
      <c r="G93" s="202"/>
      <c r="H93" s="202">
        <v>149</v>
      </c>
      <c r="I93" s="202">
        <v>261</v>
      </c>
      <c r="J93" s="203" t="e">
        <f>E93/D93-1</f>
        <v>#DIV/0!</v>
      </c>
      <c r="K93" s="207" t="e">
        <f>F93/E93-1</f>
        <v>#DIV/0!</v>
      </c>
      <c r="L93" s="207" t="e">
        <f t="shared" ref="L93:N94" si="52">G93/F93-1</f>
        <v>#DIV/0!</v>
      </c>
      <c r="M93" s="207" t="e">
        <f t="shared" si="52"/>
        <v>#DIV/0!</v>
      </c>
      <c r="N93" s="207">
        <f t="shared" si="52"/>
        <v>0.75167785234899331</v>
      </c>
    </row>
    <row r="94" spans="3:14">
      <c r="C94" t="s">
        <v>533</v>
      </c>
      <c r="D94" s="202">
        <f t="shared" ref="D94:I94" si="53">SUM(D93:D93)</f>
        <v>0</v>
      </c>
      <c r="E94" s="202">
        <f t="shared" si="53"/>
        <v>0</v>
      </c>
      <c r="F94" s="202">
        <f t="shared" si="53"/>
        <v>0</v>
      </c>
      <c r="G94" s="202">
        <f t="shared" si="53"/>
        <v>0</v>
      </c>
      <c r="H94" s="202">
        <f t="shared" si="53"/>
        <v>149</v>
      </c>
      <c r="I94" s="202">
        <f t="shared" si="53"/>
        <v>261</v>
      </c>
      <c r="J94" s="203" t="e">
        <f t="shared" ref="J94:K94" si="54">E94/D94-1</f>
        <v>#DIV/0!</v>
      </c>
      <c r="K94" s="207" t="e">
        <f t="shared" si="54"/>
        <v>#DIV/0!</v>
      </c>
      <c r="L94" s="207" t="e">
        <f t="shared" si="52"/>
        <v>#DIV/0!</v>
      </c>
      <c r="M94" s="207" t="e">
        <f t="shared" si="52"/>
        <v>#DIV/0!</v>
      </c>
      <c r="N94" s="207">
        <f t="shared" si="52"/>
        <v>0.75167785234899331</v>
      </c>
    </row>
    <row r="96" spans="3:14">
      <c r="D96" t="s">
        <v>276</v>
      </c>
      <c r="E96" t="s">
        <v>242</v>
      </c>
    </row>
    <row r="97" spans="3:14">
      <c r="C97" t="s">
        <v>520</v>
      </c>
      <c r="D97" t="s">
        <v>111</v>
      </c>
      <c r="E97" t="s">
        <v>200</v>
      </c>
      <c r="F97" t="s">
        <v>148</v>
      </c>
      <c r="G97" t="s">
        <v>149</v>
      </c>
      <c r="H97" t="s">
        <v>150</v>
      </c>
      <c r="I97" t="s">
        <v>207</v>
      </c>
    </row>
    <row r="98" spans="3:14">
      <c r="C98" t="s">
        <v>187</v>
      </c>
      <c r="D98" s="202"/>
      <c r="E98" s="202"/>
      <c r="F98" s="202"/>
      <c r="G98" s="202"/>
      <c r="H98" s="202">
        <v>21</v>
      </c>
      <c r="I98" s="202">
        <v>261</v>
      </c>
      <c r="J98" s="203" t="e">
        <f>E98/D98-1</f>
        <v>#DIV/0!</v>
      </c>
      <c r="K98" s="207" t="e">
        <f>F98/E98-1</f>
        <v>#DIV/0!</v>
      </c>
      <c r="L98" s="207" t="e">
        <f t="shared" ref="L98:N99" si="55">G98/F98-1</f>
        <v>#DIV/0!</v>
      </c>
      <c r="M98" s="207" t="e">
        <f t="shared" si="55"/>
        <v>#DIV/0!</v>
      </c>
      <c r="N98" s="207">
        <f t="shared" si="55"/>
        <v>11.428571428571429</v>
      </c>
    </row>
    <row r="99" spans="3:14">
      <c r="C99" t="s">
        <v>533</v>
      </c>
      <c r="D99" s="202">
        <f t="shared" ref="D99:I99" si="56">SUM(D98:D98)</f>
        <v>0</v>
      </c>
      <c r="E99" s="202">
        <f t="shared" si="56"/>
        <v>0</v>
      </c>
      <c r="F99" s="202">
        <f t="shared" si="56"/>
        <v>0</v>
      </c>
      <c r="G99" s="202">
        <f t="shared" si="56"/>
        <v>0</v>
      </c>
      <c r="H99" s="202">
        <f t="shared" si="56"/>
        <v>21</v>
      </c>
      <c r="I99" s="202">
        <f t="shared" si="56"/>
        <v>261</v>
      </c>
      <c r="J99" s="203" t="e">
        <f t="shared" ref="J99:K99" si="57">E99/D99-1</f>
        <v>#DIV/0!</v>
      </c>
      <c r="K99" s="207" t="e">
        <f t="shared" si="57"/>
        <v>#DIV/0!</v>
      </c>
      <c r="L99" s="207" t="e">
        <f t="shared" si="55"/>
        <v>#DIV/0!</v>
      </c>
      <c r="M99" s="207" t="e">
        <f t="shared" si="55"/>
        <v>#DIV/0!</v>
      </c>
      <c r="N99" s="207">
        <f t="shared" si="55"/>
        <v>11.428571428571429</v>
      </c>
    </row>
    <row r="100" spans="3:14">
      <c r="H100" s="206"/>
    </row>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T36"/>
  <sheetViews>
    <sheetView showGridLines="0" zoomScale="90" zoomScaleNormal="90" workbookViewId="0">
      <pane xSplit="11" ySplit="3" topLeftCell="M16" activePane="bottomRight" state="frozen"/>
      <selection activeCell="W18" sqref="W18"/>
      <selection pane="topRight" activeCell="W18" sqref="W18"/>
      <selection pane="bottomLeft" activeCell="W18" sqref="W18"/>
      <selection pane="bottomRight" activeCell="M35" sqref="M35"/>
    </sheetView>
  </sheetViews>
  <sheetFormatPr defaultColWidth="9.140625" defaultRowHeight="16.5"/>
  <cols>
    <col min="1" max="3" width="3.140625" style="6" customWidth="1"/>
    <col min="4" max="4" width="31.140625" style="6" bestFit="1" customWidth="1"/>
    <col min="5" max="5" width="12.85546875" style="6" bestFit="1" customWidth="1"/>
    <col min="6" max="9" width="12.85546875" style="6" customWidth="1"/>
    <col min="10" max="10" width="12.85546875" style="6" bestFit="1" customWidth="1"/>
    <col min="11" max="11" width="7.28515625" style="6" bestFit="1" customWidth="1"/>
    <col min="12" max="12" width="10.28515625" style="6" bestFit="1" customWidth="1"/>
    <col min="13" max="35" width="10.5703125" style="6" bestFit="1" customWidth="1"/>
    <col min="36" max="36" width="11" style="6" bestFit="1" customWidth="1"/>
    <col min="37" max="72" width="10.5703125" style="6" bestFit="1" customWidth="1"/>
    <col min="73" max="16384" width="9.140625" style="6"/>
  </cols>
  <sheetData>
    <row r="1" spans="1:72" customFormat="1" ht="20.25">
      <c r="A1" s="4" t="str">
        <f ca="1">REPLACE(CELL("filename",$A$1),1,FIND("]",CELL("filename",$A$1),1),"")</f>
        <v>Index</v>
      </c>
      <c r="B1" s="4"/>
      <c r="C1" s="4"/>
      <c r="D1" s="4"/>
      <c r="E1" s="4"/>
      <c r="F1" s="4"/>
      <c r="G1" s="4"/>
      <c r="H1" s="4"/>
      <c r="I1" s="4"/>
      <c r="J1" s="4"/>
      <c r="K1" s="3"/>
      <c r="L1" s="3"/>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row>
    <row r="2" spans="1:72">
      <c r="A2" s="14"/>
      <c r="B2" s="14"/>
      <c r="C2" s="14"/>
      <c r="D2" s="14"/>
      <c r="E2" s="14"/>
      <c r="F2" s="14"/>
      <c r="G2" s="14"/>
      <c r="H2" s="14"/>
      <c r="I2" s="14"/>
      <c r="J2" s="14"/>
      <c r="K2" s="14"/>
      <c r="L2" s="23"/>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row>
    <row r="3" spans="1:72">
      <c r="A3" s="14"/>
      <c r="B3" s="25" t="s">
        <v>3</v>
      </c>
      <c r="C3" s="25"/>
      <c r="D3" s="25"/>
      <c r="E3" s="25" t="s">
        <v>1</v>
      </c>
      <c r="F3" s="25"/>
      <c r="G3" s="25"/>
      <c r="H3" s="25"/>
      <c r="I3" s="25"/>
      <c r="J3" s="25"/>
      <c r="K3" s="26" t="s">
        <v>7</v>
      </c>
      <c r="L3" s="26" t="e">
        <f>#REF!</f>
        <v>#REF!</v>
      </c>
      <c r="M3" s="26" t="e">
        <f t="shared" ref="M3:AR3" si="0">EOMONTH(L3,단위기간)</f>
        <v>#REF!</v>
      </c>
      <c r="N3" s="26" t="e">
        <f t="shared" si="0"/>
        <v>#REF!</v>
      </c>
      <c r="O3" s="26" t="e">
        <f t="shared" si="0"/>
        <v>#REF!</v>
      </c>
      <c r="P3" s="26" t="e">
        <f t="shared" si="0"/>
        <v>#REF!</v>
      </c>
      <c r="Q3" s="26" t="e">
        <f t="shared" si="0"/>
        <v>#REF!</v>
      </c>
      <c r="R3" s="26" t="e">
        <f t="shared" si="0"/>
        <v>#REF!</v>
      </c>
      <c r="S3" s="26" t="e">
        <f t="shared" si="0"/>
        <v>#REF!</v>
      </c>
      <c r="T3" s="26" t="e">
        <f t="shared" si="0"/>
        <v>#REF!</v>
      </c>
      <c r="U3" s="26" t="e">
        <f t="shared" si="0"/>
        <v>#REF!</v>
      </c>
      <c r="V3" s="26" t="e">
        <f t="shared" si="0"/>
        <v>#REF!</v>
      </c>
      <c r="W3" s="26" t="e">
        <f t="shared" si="0"/>
        <v>#REF!</v>
      </c>
      <c r="X3" s="26" t="e">
        <f t="shared" si="0"/>
        <v>#REF!</v>
      </c>
      <c r="Y3" s="26" t="e">
        <f t="shared" si="0"/>
        <v>#REF!</v>
      </c>
      <c r="Z3" s="26" t="e">
        <f t="shared" si="0"/>
        <v>#REF!</v>
      </c>
      <c r="AA3" s="26" t="e">
        <f t="shared" si="0"/>
        <v>#REF!</v>
      </c>
      <c r="AB3" s="26" t="e">
        <f t="shared" si="0"/>
        <v>#REF!</v>
      </c>
      <c r="AC3" s="26" t="e">
        <f t="shared" si="0"/>
        <v>#REF!</v>
      </c>
      <c r="AD3" s="26" t="e">
        <f t="shared" si="0"/>
        <v>#REF!</v>
      </c>
      <c r="AE3" s="26" t="e">
        <f t="shared" si="0"/>
        <v>#REF!</v>
      </c>
      <c r="AF3" s="26" t="e">
        <f t="shared" si="0"/>
        <v>#REF!</v>
      </c>
      <c r="AG3" s="26" t="e">
        <f t="shared" si="0"/>
        <v>#REF!</v>
      </c>
      <c r="AH3" s="26" t="e">
        <f t="shared" si="0"/>
        <v>#REF!</v>
      </c>
      <c r="AI3" s="26" t="e">
        <f t="shared" si="0"/>
        <v>#REF!</v>
      </c>
      <c r="AJ3" s="26" t="e">
        <f t="shared" si="0"/>
        <v>#REF!</v>
      </c>
      <c r="AK3" s="26" t="e">
        <f t="shared" si="0"/>
        <v>#REF!</v>
      </c>
      <c r="AL3" s="26" t="e">
        <f t="shared" si="0"/>
        <v>#REF!</v>
      </c>
      <c r="AM3" s="26" t="e">
        <f t="shared" si="0"/>
        <v>#REF!</v>
      </c>
      <c r="AN3" s="26" t="e">
        <f t="shared" si="0"/>
        <v>#REF!</v>
      </c>
      <c r="AO3" s="26" t="e">
        <f t="shared" si="0"/>
        <v>#REF!</v>
      </c>
      <c r="AP3" s="26" t="e">
        <f t="shared" si="0"/>
        <v>#REF!</v>
      </c>
      <c r="AQ3" s="26" t="e">
        <f t="shared" si="0"/>
        <v>#REF!</v>
      </c>
      <c r="AR3" s="26" t="e">
        <f t="shared" si="0"/>
        <v>#REF!</v>
      </c>
      <c r="AS3" s="26" t="e">
        <f t="shared" ref="AS3:BT3" si="1">EOMONTH(AR3,단위기간)</f>
        <v>#REF!</v>
      </c>
      <c r="AT3" s="26" t="e">
        <f t="shared" si="1"/>
        <v>#REF!</v>
      </c>
      <c r="AU3" s="26" t="e">
        <f t="shared" si="1"/>
        <v>#REF!</v>
      </c>
      <c r="AV3" s="26" t="e">
        <f t="shared" si="1"/>
        <v>#REF!</v>
      </c>
      <c r="AW3" s="26" t="e">
        <f t="shared" si="1"/>
        <v>#REF!</v>
      </c>
      <c r="AX3" s="26" t="e">
        <f t="shared" si="1"/>
        <v>#REF!</v>
      </c>
      <c r="AY3" s="26" t="e">
        <f t="shared" si="1"/>
        <v>#REF!</v>
      </c>
      <c r="AZ3" s="26" t="e">
        <f t="shared" si="1"/>
        <v>#REF!</v>
      </c>
      <c r="BA3" s="26" t="e">
        <f t="shared" si="1"/>
        <v>#REF!</v>
      </c>
      <c r="BB3" s="26" t="e">
        <f t="shared" si="1"/>
        <v>#REF!</v>
      </c>
      <c r="BC3" s="26" t="e">
        <f t="shared" si="1"/>
        <v>#REF!</v>
      </c>
      <c r="BD3" s="26" t="e">
        <f t="shared" si="1"/>
        <v>#REF!</v>
      </c>
      <c r="BE3" s="26" t="e">
        <f t="shared" si="1"/>
        <v>#REF!</v>
      </c>
      <c r="BF3" s="26" t="e">
        <f t="shared" si="1"/>
        <v>#REF!</v>
      </c>
      <c r="BG3" s="26" t="e">
        <f t="shared" si="1"/>
        <v>#REF!</v>
      </c>
      <c r="BH3" s="26" t="e">
        <f t="shared" si="1"/>
        <v>#REF!</v>
      </c>
      <c r="BI3" s="26" t="e">
        <f t="shared" si="1"/>
        <v>#REF!</v>
      </c>
      <c r="BJ3" s="26" t="e">
        <f t="shared" si="1"/>
        <v>#REF!</v>
      </c>
      <c r="BK3" s="26" t="e">
        <f t="shared" si="1"/>
        <v>#REF!</v>
      </c>
      <c r="BL3" s="26" t="e">
        <f t="shared" si="1"/>
        <v>#REF!</v>
      </c>
      <c r="BM3" s="26" t="e">
        <f t="shared" si="1"/>
        <v>#REF!</v>
      </c>
      <c r="BN3" s="26" t="e">
        <f t="shared" si="1"/>
        <v>#REF!</v>
      </c>
      <c r="BO3" s="26" t="e">
        <f t="shared" si="1"/>
        <v>#REF!</v>
      </c>
      <c r="BP3" s="26" t="e">
        <f t="shared" si="1"/>
        <v>#REF!</v>
      </c>
      <c r="BQ3" s="26" t="e">
        <f t="shared" si="1"/>
        <v>#REF!</v>
      </c>
      <c r="BR3" s="26" t="e">
        <f t="shared" si="1"/>
        <v>#REF!</v>
      </c>
      <c r="BS3" s="26" t="e">
        <f t="shared" si="1"/>
        <v>#REF!</v>
      </c>
      <c r="BT3" s="26" t="e">
        <f t="shared" si="1"/>
        <v>#REF!</v>
      </c>
    </row>
    <row r="4" spans="1:72">
      <c r="A4" s="27"/>
      <c r="B4" s="28" t="s">
        <v>13</v>
      </c>
      <c r="C4" s="28"/>
      <c r="D4" s="29"/>
      <c r="E4" s="30"/>
      <c r="F4" s="30"/>
      <c r="G4" s="30"/>
      <c r="H4" s="30"/>
      <c r="I4" s="30"/>
      <c r="J4" s="30"/>
      <c r="K4" s="29"/>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row>
    <row r="5" spans="1:72">
      <c r="A5" s="27"/>
      <c r="B5" s="31"/>
      <c r="C5" s="31"/>
      <c r="D5" s="21"/>
      <c r="E5" s="32"/>
      <c r="F5" s="32"/>
      <c r="G5" s="32"/>
      <c r="H5" s="32"/>
      <c r="I5" s="32"/>
      <c r="J5" s="33"/>
      <c r="K5" s="34"/>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row>
    <row r="6" spans="1:72">
      <c r="A6" s="14"/>
      <c r="B6" s="21"/>
      <c r="C6" s="21"/>
      <c r="D6" s="21" t="s">
        <v>22</v>
      </c>
      <c r="E6" s="35" t="e">
        <f>#REF!</f>
        <v>#REF!</v>
      </c>
      <c r="F6" s="35"/>
      <c r="G6" s="35"/>
      <c r="H6" s="35"/>
      <c r="I6" s="35"/>
      <c r="J6" s="35" t="e">
        <f>#REF!</f>
        <v>#REF!</v>
      </c>
      <c r="K6" s="36" t="e">
        <f>SUM(L6:BT6)</f>
        <v>#REF!</v>
      </c>
      <c r="L6" s="21" t="e">
        <f t="shared" ref="L6:AQ6" si="2">1*AND(L3&gt;$E$6,L3&lt;=$J$6)</f>
        <v>#REF!</v>
      </c>
      <c r="M6" s="21" t="e">
        <f t="shared" si="2"/>
        <v>#REF!</v>
      </c>
      <c r="N6" s="21" t="e">
        <f t="shared" si="2"/>
        <v>#REF!</v>
      </c>
      <c r="O6" s="21" t="e">
        <f t="shared" si="2"/>
        <v>#REF!</v>
      </c>
      <c r="P6" s="21" t="e">
        <f t="shared" si="2"/>
        <v>#REF!</v>
      </c>
      <c r="Q6" s="21" t="e">
        <f t="shared" si="2"/>
        <v>#REF!</v>
      </c>
      <c r="R6" s="21" t="e">
        <f t="shared" si="2"/>
        <v>#REF!</v>
      </c>
      <c r="S6" s="21" t="e">
        <f t="shared" si="2"/>
        <v>#REF!</v>
      </c>
      <c r="T6" s="21" t="e">
        <f t="shared" si="2"/>
        <v>#REF!</v>
      </c>
      <c r="U6" s="21" t="e">
        <f t="shared" si="2"/>
        <v>#REF!</v>
      </c>
      <c r="V6" s="21" t="e">
        <f t="shared" si="2"/>
        <v>#REF!</v>
      </c>
      <c r="W6" s="21" t="e">
        <f t="shared" si="2"/>
        <v>#REF!</v>
      </c>
      <c r="X6" s="21" t="e">
        <f t="shared" si="2"/>
        <v>#REF!</v>
      </c>
      <c r="Y6" s="21" t="e">
        <f t="shared" si="2"/>
        <v>#REF!</v>
      </c>
      <c r="Z6" s="21" t="e">
        <f t="shared" si="2"/>
        <v>#REF!</v>
      </c>
      <c r="AA6" s="21" t="e">
        <f t="shared" si="2"/>
        <v>#REF!</v>
      </c>
      <c r="AB6" s="21" t="e">
        <f t="shared" si="2"/>
        <v>#REF!</v>
      </c>
      <c r="AC6" s="21" t="e">
        <f t="shared" si="2"/>
        <v>#REF!</v>
      </c>
      <c r="AD6" s="21" t="e">
        <f t="shared" si="2"/>
        <v>#REF!</v>
      </c>
      <c r="AE6" s="21" t="e">
        <f t="shared" si="2"/>
        <v>#REF!</v>
      </c>
      <c r="AF6" s="21" t="e">
        <f t="shared" si="2"/>
        <v>#REF!</v>
      </c>
      <c r="AG6" s="21" t="e">
        <f t="shared" si="2"/>
        <v>#REF!</v>
      </c>
      <c r="AH6" s="21" t="e">
        <f t="shared" si="2"/>
        <v>#REF!</v>
      </c>
      <c r="AI6" s="21" t="e">
        <f t="shared" si="2"/>
        <v>#REF!</v>
      </c>
      <c r="AJ6" s="21" t="e">
        <f t="shared" si="2"/>
        <v>#REF!</v>
      </c>
      <c r="AK6" s="21" t="e">
        <f t="shared" si="2"/>
        <v>#REF!</v>
      </c>
      <c r="AL6" s="21" t="e">
        <f t="shared" si="2"/>
        <v>#REF!</v>
      </c>
      <c r="AM6" s="21" t="e">
        <f t="shared" si="2"/>
        <v>#REF!</v>
      </c>
      <c r="AN6" s="21" t="e">
        <f t="shared" si="2"/>
        <v>#REF!</v>
      </c>
      <c r="AO6" s="21" t="e">
        <f t="shared" si="2"/>
        <v>#REF!</v>
      </c>
      <c r="AP6" s="21" t="e">
        <f t="shared" si="2"/>
        <v>#REF!</v>
      </c>
      <c r="AQ6" s="21" t="e">
        <f t="shared" si="2"/>
        <v>#REF!</v>
      </c>
      <c r="AR6" s="21" t="e">
        <f t="shared" ref="AR6:BT6" si="3">1*AND(AR3&gt;$E$6,AR3&lt;=$J$6)</f>
        <v>#REF!</v>
      </c>
      <c r="AS6" s="21" t="e">
        <f t="shared" si="3"/>
        <v>#REF!</v>
      </c>
      <c r="AT6" s="21" t="e">
        <f t="shared" si="3"/>
        <v>#REF!</v>
      </c>
      <c r="AU6" s="21" t="e">
        <f t="shared" si="3"/>
        <v>#REF!</v>
      </c>
      <c r="AV6" s="21" t="e">
        <f t="shared" si="3"/>
        <v>#REF!</v>
      </c>
      <c r="AW6" s="21" t="e">
        <f t="shared" si="3"/>
        <v>#REF!</v>
      </c>
      <c r="AX6" s="21" t="e">
        <f t="shared" si="3"/>
        <v>#REF!</v>
      </c>
      <c r="AY6" s="21" t="e">
        <f t="shared" si="3"/>
        <v>#REF!</v>
      </c>
      <c r="AZ6" s="21" t="e">
        <f t="shared" si="3"/>
        <v>#REF!</v>
      </c>
      <c r="BA6" s="21" t="e">
        <f t="shared" si="3"/>
        <v>#REF!</v>
      </c>
      <c r="BB6" s="21" t="e">
        <f t="shared" si="3"/>
        <v>#REF!</v>
      </c>
      <c r="BC6" s="21" t="e">
        <f t="shared" si="3"/>
        <v>#REF!</v>
      </c>
      <c r="BD6" s="21" t="e">
        <f t="shared" si="3"/>
        <v>#REF!</v>
      </c>
      <c r="BE6" s="21" t="e">
        <f t="shared" si="3"/>
        <v>#REF!</v>
      </c>
      <c r="BF6" s="21" t="e">
        <f t="shared" si="3"/>
        <v>#REF!</v>
      </c>
      <c r="BG6" s="21" t="e">
        <f t="shared" si="3"/>
        <v>#REF!</v>
      </c>
      <c r="BH6" s="21" t="e">
        <f t="shared" si="3"/>
        <v>#REF!</v>
      </c>
      <c r="BI6" s="21" t="e">
        <f t="shared" si="3"/>
        <v>#REF!</v>
      </c>
      <c r="BJ6" s="21" t="e">
        <f t="shared" si="3"/>
        <v>#REF!</v>
      </c>
      <c r="BK6" s="21" t="e">
        <f t="shared" si="3"/>
        <v>#REF!</v>
      </c>
      <c r="BL6" s="21" t="e">
        <f t="shared" si="3"/>
        <v>#REF!</v>
      </c>
      <c r="BM6" s="21" t="e">
        <f t="shared" si="3"/>
        <v>#REF!</v>
      </c>
      <c r="BN6" s="21" t="e">
        <f t="shared" si="3"/>
        <v>#REF!</v>
      </c>
      <c r="BO6" s="21" t="e">
        <f t="shared" si="3"/>
        <v>#REF!</v>
      </c>
      <c r="BP6" s="21" t="e">
        <f t="shared" si="3"/>
        <v>#REF!</v>
      </c>
      <c r="BQ6" s="21" t="e">
        <f t="shared" si="3"/>
        <v>#REF!</v>
      </c>
      <c r="BR6" s="21" t="e">
        <f t="shared" si="3"/>
        <v>#REF!</v>
      </c>
      <c r="BS6" s="21" t="e">
        <f t="shared" si="3"/>
        <v>#REF!</v>
      </c>
      <c r="BT6" s="21" t="e">
        <f t="shared" si="3"/>
        <v>#REF!</v>
      </c>
    </row>
    <row r="7" spans="1:72">
      <c r="A7" s="14"/>
      <c r="B7" s="21"/>
      <c r="C7" s="21"/>
      <c r="D7" s="21" t="s">
        <v>23</v>
      </c>
      <c r="E7" s="15"/>
      <c r="F7" s="15"/>
      <c r="G7" s="15"/>
      <c r="H7" s="15"/>
      <c r="I7" s="15"/>
      <c r="J7" s="37"/>
      <c r="K7" s="36" t="e">
        <f>MAX(L7:BT7)</f>
        <v>#REF!</v>
      </c>
      <c r="L7" s="21">
        <v>0</v>
      </c>
      <c r="M7" s="21" t="e">
        <f t="shared" ref="M7:AQ7" si="4">(L7+M6)*(M6&gt;0)</f>
        <v>#REF!</v>
      </c>
      <c r="N7" s="21" t="e">
        <f t="shared" si="4"/>
        <v>#REF!</v>
      </c>
      <c r="O7" s="21" t="e">
        <f t="shared" si="4"/>
        <v>#REF!</v>
      </c>
      <c r="P7" s="21" t="e">
        <f t="shared" si="4"/>
        <v>#REF!</v>
      </c>
      <c r="Q7" s="21" t="e">
        <f t="shared" si="4"/>
        <v>#REF!</v>
      </c>
      <c r="R7" s="21" t="e">
        <f t="shared" si="4"/>
        <v>#REF!</v>
      </c>
      <c r="S7" s="21" t="e">
        <f t="shared" si="4"/>
        <v>#REF!</v>
      </c>
      <c r="T7" s="21" t="e">
        <f t="shared" si="4"/>
        <v>#REF!</v>
      </c>
      <c r="U7" s="21" t="e">
        <f t="shared" si="4"/>
        <v>#REF!</v>
      </c>
      <c r="V7" s="21" t="e">
        <f t="shared" si="4"/>
        <v>#REF!</v>
      </c>
      <c r="W7" s="21" t="e">
        <f t="shared" si="4"/>
        <v>#REF!</v>
      </c>
      <c r="X7" s="21" t="e">
        <f t="shared" si="4"/>
        <v>#REF!</v>
      </c>
      <c r="Y7" s="21" t="e">
        <f t="shared" si="4"/>
        <v>#REF!</v>
      </c>
      <c r="Z7" s="21" t="e">
        <f t="shared" si="4"/>
        <v>#REF!</v>
      </c>
      <c r="AA7" s="21" t="e">
        <f t="shared" si="4"/>
        <v>#REF!</v>
      </c>
      <c r="AB7" s="21" t="e">
        <f t="shared" si="4"/>
        <v>#REF!</v>
      </c>
      <c r="AC7" s="21" t="e">
        <f t="shared" si="4"/>
        <v>#REF!</v>
      </c>
      <c r="AD7" s="21" t="e">
        <f t="shared" si="4"/>
        <v>#REF!</v>
      </c>
      <c r="AE7" s="21" t="e">
        <f t="shared" si="4"/>
        <v>#REF!</v>
      </c>
      <c r="AF7" s="21" t="e">
        <f t="shared" si="4"/>
        <v>#REF!</v>
      </c>
      <c r="AG7" s="21" t="e">
        <f t="shared" si="4"/>
        <v>#REF!</v>
      </c>
      <c r="AH7" s="21" t="e">
        <f t="shared" si="4"/>
        <v>#REF!</v>
      </c>
      <c r="AI7" s="21" t="e">
        <f t="shared" si="4"/>
        <v>#REF!</v>
      </c>
      <c r="AJ7" s="21" t="e">
        <f t="shared" si="4"/>
        <v>#REF!</v>
      </c>
      <c r="AK7" s="21" t="e">
        <f t="shared" si="4"/>
        <v>#REF!</v>
      </c>
      <c r="AL7" s="21" t="e">
        <f t="shared" si="4"/>
        <v>#REF!</v>
      </c>
      <c r="AM7" s="21" t="e">
        <f t="shared" si="4"/>
        <v>#REF!</v>
      </c>
      <c r="AN7" s="21" t="e">
        <f t="shared" si="4"/>
        <v>#REF!</v>
      </c>
      <c r="AO7" s="21" t="e">
        <f t="shared" si="4"/>
        <v>#REF!</v>
      </c>
      <c r="AP7" s="21" t="e">
        <f t="shared" si="4"/>
        <v>#REF!</v>
      </c>
      <c r="AQ7" s="21" t="e">
        <f t="shared" si="4"/>
        <v>#REF!</v>
      </c>
      <c r="AR7" s="21" t="e">
        <f t="shared" ref="AR7:BT7" si="5">(AQ7+AR6)*(AR6&gt;0)</f>
        <v>#REF!</v>
      </c>
      <c r="AS7" s="21" t="e">
        <f t="shared" si="5"/>
        <v>#REF!</v>
      </c>
      <c r="AT7" s="21" t="e">
        <f t="shared" si="5"/>
        <v>#REF!</v>
      </c>
      <c r="AU7" s="21" t="e">
        <f t="shared" si="5"/>
        <v>#REF!</v>
      </c>
      <c r="AV7" s="21" t="e">
        <f t="shared" si="5"/>
        <v>#REF!</v>
      </c>
      <c r="AW7" s="21" t="e">
        <f t="shared" si="5"/>
        <v>#REF!</v>
      </c>
      <c r="AX7" s="21" t="e">
        <f t="shared" si="5"/>
        <v>#REF!</v>
      </c>
      <c r="AY7" s="21" t="e">
        <f t="shared" si="5"/>
        <v>#REF!</v>
      </c>
      <c r="AZ7" s="21" t="e">
        <f t="shared" si="5"/>
        <v>#REF!</v>
      </c>
      <c r="BA7" s="21" t="e">
        <f t="shared" si="5"/>
        <v>#REF!</v>
      </c>
      <c r="BB7" s="21" t="e">
        <f t="shared" si="5"/>
        <v>#REF!</v>
      </c>
      <c r="BC7" s="21" t="e">
        <f t="shared" si="5"/>
        <v>#REF!</v>
      </c>
      <c r="BD7" s="21" t="e">
        <f t="shared" si="5"/>
        <v>#REF!</v>
      </c>
      <c r="BE7" s="21" t="e">
        <f t="shared" si="5"/>
        <v>#REF!</v>
      </c>
      <c r="BF7" s="21" t="e">
        <f t="shared" si="5"/>
        <v>#REF!</v>
      </c>
      <c r="BG7" s="21" t="e">
        <f t="shared" si="5"/>
        <v>#REF!</v>
      </c>
      <c r="BH7" s="21" t="e">
        <f t="shared" si="5"/>
        <v>#REF!</v>
      </c>
      <c r="BI7" s="21" t="e">
        <f t="shared" si="5"/>
        <v>#REF!</v>
      </c>
      <c r="BJ7" s="21" t="e">
        <f t="shared" si="5"/>
        <v>#REF!</v>
      </c>
      <c r="BK7" s="21" t="e">
        <f t="shared" si="5"/>
        <v>#REF!</v>
      </c>
      <c r="BL7" s="21" t="e">
        <f t="shared" si="5"/>
        <v>#REF!</v>
      </c>
      <c r="BM7" s="21" t="e">
        <f t="shared" si="5"/>
        <v>#REF!</v>
      </c>
      <c r="BN7" s="21" t="e">
        <f t="shared" si="5"/>
        <v>#REF!</v>
      </c>
      <c r="BO7" s="21" t="e">
        <f t="shared" si="5"/>
        <v>#REF!</v>
      </c>
      <c r="BP7" s="21" t="e">
        <f t="shared" si="5"/>
        <v>#REF!</v>
      </c>
      <c r="BQ7" s="21" t="e">
        <f t="shared" si="5"/>
        <v>#REF!</v>
      </c>
      <c r="BR7" s="21" t="e">
        <f t="shared" si="5"/>
        <v>#REF!</v>
      </c>
      <c r="BS7" s="21" t="e">
        <f t="shared" si="5"/>
        <v>#REF!</v>
      </c>
      <c r="BT7" s="21" t="e">
        <f t="shared" si="5"/>
        <v>#REF!</v>
      </c>
    </row>
    <row r="8" spans="1:72">
      <c r="A8" s="14"/>
      <c r="B8" s="21"/>
      <c r="C8" s="21"/>
      <c r="D8" s="21" t="s">
        <v>24</v>
      </c>
      <c r="E8" s="15"/>
      <c r="F8" s="15"/>
      <c r="G8" s="15"/>
      <c r="H8" s="15"/>
      <c r="I8" s="15"/>
      <c r="J8" s="37"/>
      <c r="K8" s="36" t="e">
        <f>MAX(L8:BT8)</f>
        <v>#REF!</v>
      </c>
      <c r="L8" s="21" t="e">
        <f>ROUNDUP(L7/(#REF!/단위기간),0)</f>
        <v>#REF!</v>
      </c>
      <c r="M8" s="21" t="e">
        <f>ROUNDUP((M7-1)/(#REF!/단위기간),0)</f>
        <v>#REF!</v>
      </c>
      <c r="N8" s="21" t="e">
        <f>ROUNDUP((N7-1)/(#REF!/단위기간),0)</f>
        <v>#REF!</v>
      </c>
      <c r="O8" s="21" t="e">
        <f>ROUNDUP((O7-1)/(#REF!/단위기간),0)</f>
        <v>#REF!</v>
      </c>
      <c r="P8" s="21" t="e">
        <f>ROUNDUP((P7-1)/(#REF!/단위기간),0)</f>
        <v>#REF!</v>
      </c>
      <c r="Q8" s="21" t="e">
        <f>ROUNDUP((Q7-1)/(#REF!/단위기간),0)</f>
        <v>#REF!</v>
      </c>
      <c r="R8" s="21" t="e">
        <f>ROUNDUP((R7-1)/(#REF!/단위기간),0)</f>
        <v>#REF!</v>
      </c>
      <c r="S8" s="21" t="e">
        <f>ROUNDUP((S7-1)/(#REF!/단위기간),0)</f>
        <v>#REF!</v>
      </c>
      <c r="T8" s="21" t="e">
        <f>ROUNDUP((T7-1)/(#REF!/단위기간),0)</f>
        <v>#REF!</v>
      </c>
      <c r="U8" s="21" t="e">
        <f>ROUNDUP((U7-1)/(#REF!/단위기간),0)</f>
        <v>#REF!</v>
      </c>
      <c r="V8" s="21" t="e">
        <f>ROUNDUP((V7-1)/(#REF!/단위기간),0)</f>
        <v>#REF!</v>
      </c>
      <c r="W8" s="21" t="e">
        <f>ROUNDUP((W7-1)/(#REF!/단위기간),0)</f>
        <v>#REF!</v>
      </c>
      <c r="X8" s="21" t="e">
        <f>ROUNDUP((X7-1)/(#REF!/단위기간),0)</f>
        <v>#REF!</v>
      </c>
      <c r="Y8" s="21" t="e">
        <f>ROUNDUP((Y7-1)/(#REF!/단위기간),0)</f>
        <v>#REF!</v>
      </c>
      <c r="Z8" s="21" t="e">
        <f>ROUNDUP((Z7-1)/(#REF!/단위기간),0)</f>
        <v>#REF!</v>
      </c>
      <c r="AA8" s="21" t="e">
        <f>ROUNDUP((AA7-1)/(#REF!/단위기간),0)</f>
        <v>#REF!</v>
      </c>
      <c r="AB8" s="21" t="e">
        <f>ROUNDUP((AB7-1)/(#REF!/단위기간),0)</f>
        <v>#REF!</v>
      </c>
      <c r="AC8" s="21" t="e">
        <f>ROUNDUP((AC7-1)/(#REF!/단위기간),0)</f>
        <v>#REF!</v>
      </c>
      <c r="AD8" s="21" t="e">
        <f>ROUNDUP((AD7-1)/(#REF!/단위기간),0)</f>
        <v>#REF!</v>
      </c>
      <c r="AE8" s="21" t="e">
        <f>ROUNDUP((AE7-1)/(#REF!/단위기간),0)</f>
        <v>#REF!</v>
      </c>
      <c r="AF8" s="21" t="e">
        <f>ROUNDUP((AF7-1)/(#REF!/단위기간),0)</f>
        <v>#REF!</v>
      </c>
      <c r="AG8" s="21" t="e">
        <f>ROUNDUP((AG7-1)/(#REF!/단위기간),0)</f>
        <v>#REF!</v>
      </c>
      <c r="AH8" s="21" t="e">
        <f>ROUNDUP((AH7-1)/(#REF!/단위기간),0)</f>
        <v>#REF!</v>
      </c>
      <c r="AI8" s="21" t="e">
        <f>ROUNDUP((AI7-1)/(#REF!/단위기간),0)</f>
        <v>#REF!</v>
      </c>
      <c r="AJ8" s="21" t="e">
        <f>ROUNDUP((AJ7-1)/(#REF!/단위기간),0)</f>
        <v>#REF!</v>
      </c>
      <c r="AK8" s="21" t="e">
        <f>ROUNDUP((AK7-1)/(#REF!/단위기간),0)</f>
        <v>#REF!</v>
      </c>
      <c r="AL8" s="21" t="e">
        <f>ROUNDUP((AL7-1)/(#REF!/단위기간),0)</f>
        <v>#REF!</v>
      </c>
      <c r="AM8" s="21" t="e">
        <f>ROUNDUP((AM7-1)/(#REF!/단위기간),0)</f>
        <v>#REF!</v>
      </c>
      <c r="AN8" s="21" t="e">
        <f>ROUNDUP((AN7-1)/(#REF!/단위기간),0)</f>
        <v>#REF!</v>
      </c>
      <c r="AO8" s="21" t="e">
        <f>ROUNDUP((AO7-1)/(#REF!/단위기간),0)</f>
        <v>#REF!</v>
      </c>
      <c r="AP8" s="21" t="e">
        <f>ROUNDUP((AP7-1)/(#REF!/단위기간),0)</f>
        <v>#REF!</v>
      </c>
      <c r="AQ8" s="21" t="e">
        <f>ROUNDUP((AQ7-1)/(#REF!/단위기간),0)</f>
        <v>#REF!</v>
      </c>
      <c r="AR8" s="21" t="e">
        <f>ROUNDUP((AR7-1)/(#REF!/단위기간),0)</f>
        <v>#REF!</v>
      </c>
      <c r="AS8" s="21" t="e">
        <f>ROUNDUP((AS7-1)/(#REF!/단위기간),0)</f>
        <v>#REF!</v>
      </c>
      <c r="AT8" s="21" t="e">
        <f>ROUNDUP((AT7-1)/(#REF!/단위기간),0)</f>
        <v>#REF!</v>
      </c>
      <c r="AU8" s="21" t="e">
        <f>ROUNDUP((AU7-1)/(#REF!/단위기간),0)</f>
        <v>#REF!</v>
      </c>
      <c r="AV8" s="21" t="e">
        <f>ROUNDUP((AV7-1)/(#REF!/단위기간),0)</f>
        <v>#REF!</v>
      </c>
      <c r="AW8" s="21" t="e">
        <f>ROUNDUP((AW7-1)/(#REF!/단위기간),0)</f>
        <v>#REF!</v>
      </c>
      <c r="AX8" s="21" t="e">
        <f>ROUNDUP((AX7-1)/(#REF!/단위기간),0)</f>
        <v>#REF!</v>
      </c>
      <c r="AY8" s="21" t="e">
        <f>ROUNDUP((AY7-1)/(#REF!/단위기간),0)</f>
        <v>#REF!</v>
      </c>
      <c r="AZ8" s="21" t="e">
        <f>ROUNDUP((AZ7-1)/(#REF!/단위기간),0)</f>
        <v>#REF!</v>
      </c>
      <c r="BA8" s="21" t="e">
        <f>ROUNDUP((BA7-1)/(#REF!/단위기간),0)</f>
        <v>#REF!</v>
      </c>
      <c r="BB8" s="21" t="e">
        <f>ROUNDUP((BB7-1)/(#REF!/단위기간),0)</f>
        <v>#REF!</v>
      </c>
      <c r="BC8" s="21" t="e">
        <f>ROUNDUP((BC7-1)/(#REF!/단위기간),0)</f>
        <v>#REF!</v>
      </c>
      <c r="BD8" s="21" t="e">
        <f>ROUNDUP((BD7-1)/(#REF!/단위기간),0)</f>
        <v>#REF!</v>
      </c>
      <c r="BE8" s="21" t="e">
        <f>ROUNDUP((BE7-1)/(#REF!/단위기간),0)</f>
        <v>#REF!</v>
      </c>
      <c r="BF8" s="21" t="e">
        <f>ROUNDUP((BF7-1)/(#REF!/단위기간),0)</f>
        <v>#REF!</v>
      </c>
      <c r="BG8" s="21" t="e">
        <f>ROUNDUP((BG7-1)/(#REF!/단위기간),0)</f>
        <v>#REF!</v>
      </c>
      <c r="BH8" s="21" t="e">
        <f>ROUNDUP((BH7-1)/(#REF!/단위기간),0)</f>
        <v>#REF!</v>
      </c>
      <c r="BI8" s="21" t="e">
        <f>ROUNDUP((BI7-1)/(#REF!/단위기간),0)</f>
        <v>#REF!</v>
      </c>
      <c r="BJ8" s="21" t="e">
        <f>ROUNDUP((BJ7-1)/(#REF!/단위기간),0)</f>
        <v>#REF!</v>
      </c>
      <c r="BK8" s="21" t="e">
        <f>ROUNDUP((BK7-1)/(#REF!/단위기간),0)</f>
        <v>#REF!</v>
      </c>
      <c r="BL8" s="21" t="e">
        <f>ROUNDUP((BL7-1)/(#REF!/단위기간),0)</f>
        <v>#REF!</v>
      </c>
      <c r="BM8" s="21" t="e">
        <f>ROUNDUP((BM7-1)/(#REF!/단위기간),0)</f>
        <v>#REF!</v>
      </c>
      <c r="BN8" s="21" t="e">
        <f>ROUNDUP((BN7-1)/(#REF!/단위기간),0)</f>
        <v>#REF!</v>
      </c>
      <c r="BO8" s="21" t="e">
        <f>ROUNDUP((BO7-1)/(#REF!/단위기간),0)</f>
        <v>#REF!</v>
      </c>
      <c r="BP8" s="21" t="e">
        <f>ROUNDUP((BP7-1)/(#REF!/단위기간),0)</f>
        <v>#REF!</v>
      </c>
      <c r="BQ8" s="21" t="e">
        <f>ROUNDUP((BQ7-1)/(#REF!/단위기간),0)</f>
        <v>#REF!</v>
      </c>
      <c r="BR8" s="21" t="e">
        <f>ROUNDUP((BR7-1)/(#REF!/단위기간),0)</f>
        <v>#REF!</v>
      </c>
      <c r="BS8" s="21" t="e">
        <f>ROUNDUP((BS7-1)/(#REF!/단위기간),0)</f>
        <v>#REF!</v>
      </c>
      <c r="BT8" s="21" t="e">
        <f>ROUNDUP((BT7-1)/(#REF!/단위기간),0)</f>
        <v>#REF!</v>
      </c>
    </row>
    <row r="9" spans="1:72">
      <c r="A9" s="14"/>
      <c r="B9" s="21"/>
      <c r="C9" s="21"/>
      <c r="D9" s="21" t="s">
        <v>99</v>
      </c>
      <c r="E9" s="15"/>
      <c r="F9" s="15"/>
      <c r="G9" s="15"/>
      <c r="H9" s="15"/>
      <c r="I9" s="15"/>
      <c r="J9" s="37"/>
      <c r="K9" s="36"/>
      <c r="L9" s="21" t="e">
        <f>IF($E9&lt;=L$3,1,0)*L5</f>
        <v>#REF!</v>
      </c>
      <c r="M9" s="65" t="e">
        <f>YEAR(M3)</f>
        <v>#REF!</v>
      </c>
      <c r="N9" s="65" t="e">
        <f t="shared" ref="N9:BT9" si="6">YEAR(N3)</f>
        <v>#REF!</v>
      </c>
      <c r="O9" s="65" t="e">
        <f t="shared" si="6"/>
        <v>#REF!</v>
      </c>
      <c r="P9" s="65" t="e">
        <f t="shared" si="6"/>
        <v>#REF!</v>
      </c>
      <c r="Q9" s="65" t="e">
        <f t="shared" si="6"/>
        <v>#REF!</v>
      </c>
      <c r="R9" s="65" t="e">
        <f t="shared" si="6"/>
        <v>#REF!</v>
      </c>
      <c r="S9" s="65" t="e">
        <f t="shared" si="6"/>
        <v>#REF!</v>
      </c>
      <c r="T9" s="65" t="e">
        <f t="shared" si="6"/>
        <v>#REF!</v>
      </c>
      <c r="U9" s="65" t="e">
        <f t="shared" si="6"/>
        <v>#REF!</v>
      </c>
      <c r="V9" s="65" t="e">
        <f t="shared" si="6"/>
        <v>#REF!</v>
      </c>
      <c r="W9" s="65" t="e">
        <f t="shared" si="6"/>
        <v>#REF!</v>
      </c>
      <c r="X9" s="65" t="e">
        <f t="shared" si="6"/>
        <v>#REF!</v>
      </c>
      <c r="Y9" s="65" t="e">
        <f t="shared" si="6"/>
        <v>#REF!</v>
      </c>
      <c r="Z9" s="65" t="e">
        <f t="shared" si="6"/>
        <v>#REF!</v>
      </c>
      <c r="AA9" s="65" t="e">
        <f t="shared" si="6"/>
        <v>#REF!</v>
      </c>
      <c r="AB9" s="65" t="e">
        <f t="shared" si="6"/>
        <v>#REF!</v>
      </c>
      <c r="AC9" s="65" t="e">
        <f t="shared" si="6"/>
        <v>#REF!</v>
      </c>
      <c r="AD9" s="65" t="e">
        <f t="shared" si="6"/>
        <v>#REF!</v>
      </c>
      <c r="AE9" s="65" t="e">
        <f t="shared" si="6"/>
        <v>#REF!</v>
      </c>
      <c r="AF9" s="65" t="e">
        <f t="shared" si="6"/>
        <v>#REF!</v>
      </c>
      <c r="AG9" s="65" t="e">
        <f t="shared" si="6"/>
        <v>#REF!</v>
      </c>
      <c r="AH9" s="65" t="e">
        <f t="shared" si="6"/>
        <v>#REF!</v>
      </c>
      <c r="AI9" s="65" t="e">
        <f t="shared" si="6"/>
        <v>#REF!</v>
      </c>
      <c r="AJ9" s="65" t="e">
        <f t="shared" si="6"/>
        <v>#REF!</v>
      </c>
      <c r="AK9" s="65" t="e">
        <f t="shared" si="6"/>
        <v>#REF!</v>
      </c>
      <c r="AL9" s="65" t="e">
        <f t="shared" si="6"/>
        <v>#REF!</v>
      </c>
      <c r="AM9" s="65" t="e">
        <f t="shared" si="6"/>
        <v>#REF!</v>
      </c>
      <c r="AN9" s="65" t="e">
        <f t="shared" si="6"/>
        <v>#REF!</v>
      </c>
      <c r="AO9" s="65" t="e">
        <f t="shared" si="6"/>
        <v>#REF!</v>
      </c>
      <c r="AP9" s="65" t="e">
        <f t="shared" si="6"/>
        <v>#REF!</v>
      </c>
      <c r="AQ9" s="65" t="e">
        <f t="shared" si="6"/>
        <v>#REF!</v>
      </c>
      <c r="AR9" s="65" t="e">
        <f t="shared" si="6"/>
        <v>#REF!</v>
      </c>
      <c r="AS9" s="65" t="e">
        <f t="shared" si="6"/>
        <v>#REF!</v>
      </c>
      <c r="AT9" s="65" t="e">
        <f t="shared" si="6"/>
        <v>#REF!</v>
      </c>
      <c r="AU9" s="65" t="e">
        <f t="shared" si="6"/>
        <v>#REF!</v>
      </c>
      <c r="AV9" s="65" t="e">
        <f t="shared" si="6"/>
        <v>#REF!</v>
      </c>
      <c r="AW9" s="65" t="e">
        <f t="shared" si="6"/>
        <v>#REF!</v>
      </c>
      <c r="AX9" s="65" t="e">
        <f t="shared" si="6"/>
        <v>#REF!</v>
      </c>
      <c r="AY9" s="65" t="e">
        <f t="shared" si="6"/>
        <v>#REF!</v>
      </c>
      <c r="AZ9" s="65" t="e">
        <f t="shared" si="6"/>
        <v>#REF!</v>
      </c>
      <c r="BA9" s="65" t="e">
        <f t="shared" si="6"/>
        <v>#REF!</v>
      </c>
      <c r="BB9" s="65" t="e">
        <f t="shared" si="6"/>
        <v>#REF!</v>
      </c>
      <c r="BC9" s="65" t="e">
        <f t="shared" si="6"/>
        <v>#REF!</v>
      </c>
      <c r="BD9" s="65" t="e">
        <f t="shared" si="6"/>
        <v>#REF!</v>
      </c>
      <c r="BE9" s="65" t="e">
        <f t="shared" si="6"/>
        <v>#REF!</v>
      </c>
      <c r="BF9" s="65" t="e">
        <f t="shared" si="6"/>
        <v>#REF!</v>
      </c>
      <c r="BG9" s="65" t="e">
        <f t="shared" si="6"/>
        <v>#REF!</v>
      </c>
      <c r="BH9" s="65" t="e">
        <f t="shared" si="6"/>
        <v>#REF!</v>
      </c>
      <c r="BI9" s="65" t="e">
        <f t="shared" si="6"/>
        <v>#REF!</v>
      </c>
      <c r="BJ9" s="65" t="e">
        <f t="shared" si="6"/>
        <v>#REF!</v>
      </c>
      <c r="BK9" s="65" t="e">
        <f t="shared" si="6"/>
        <v>#REF!</v>
      </c>
      <c r="BL9" s="65" t="e">
        <f t="shared" si="6"/>
        <v>#REF!</v>
      </c>
      <c r="BM9" s="65" t="e">
        <f t="shared" si="6"/>
        <v>#REF!</v>
      </c>
      <c r="BN9" s="65" t="e">
        <f t="shared" si="6"/>
        <v>#REF!</v>
      </c>
      <c r="BO9" s="65" t="e">
        <f t="shared" si="6"/>
        <v>#REF!</v>
      </c>
      <c r="BP9" s="65" t="e">
        <f t="shared" si="6"/>
        <v>#REF!</v>
      </c>
      <c r="BQ9" s="65" t="e">
        <f t="shared" si="6"/>
        <v>#REF!</v>
      </c>
      <c r="BR9" s="65" t="e">
        <f t="shared" si="6"/>
        <v>#REF!</v>
      </c>
      <c r="BS9" s="65" t="e">
        <f t="shared" si="6"/>
        <v>#REF!</v>
      </c>
      <c r="BT9" s="65" t="e">
        <f t="shared" si="6"/>
        <v>#REF!</v>
      </c>
    </row>
    <row r="10" spans="1:72">
      <c r="A10" s="14"/>
      <c r="B10" s="21"/>
      <c r="C10" s="21"/>
      <c r="D10" s="21" t="s">
        <v>43</v>
      </c>
      <c r="E10" s="38"/>
      <c r="F10" s="38"/>
      <c r="G10" s="38"/>
      <c r="H10" s="38"/>
      <c r="I10" s="38"/>
      <c r="J10" s="37"/>
      <c r="K10" s="36"/>
      <c r="L10" s="21" t="e">
        <f>IF($E10&lt;=L$3,1,0)*L6</f>
        <v>#REF!</v>
      </c>
      <c r="M10" s="66" t="e">
        <f>MONTH(M3)</f>
        <v>#REF!</v>
      </c>
      <c r="N10" s="66" t="e">
        <f t="shared" ref="N10:BT10" si="7">MONTH(N3)</f>
        <v>#REF!</v>
      </c>
      <c r="O10" s="66" t="e">
        <f t="shared" si="7"/>
        <v>#REF!</v>
      </c>
      <c r="P10" s="66" t="e">
        <f t="shared" si="7"/>
        <v>#REF!</v>
      </c>
      <c r="Q10" s="66" t="e">
        <f t="shared" si="7"/>
        <v>#REF!</v>
      </c>
      <c r="R10" s="66" t="e">
        <f t="shared" si="7"/>
        <v>#REF!</v>
      </c>
      <c r="S10" s="66" t="e">
        <f t="shared" si="7"/>
        <v>#REF!</v>
      </c>
      <c r="T10" s="66" t="e">
        <f t="shared" si="7"/>
        <v>#REF!</v>
      </c>
      <c r="U10" s="66" t="e">
        <f t="shared" si="7"/>
        <v>#REF!</v>
      </c>
      <c r="V10" s="66" t="e">
        <f t="shared" si="7"/>
        <v>#REF!</v>
      </c>
      <c r="W10" s="66" t="e">
        <f t="shared" si="7"/>
        <v>#REF!</v>
      </c>
      <c r="X10" s="66" t="e">
        <f t="shared" si="7"/>
        <v>#REF!</v>
      </c>
      <c r="Y10" s="66" t="e">
        <f t="shared" si="7"/>
        <v>#REF!</v>
      </c>
      <c r="Z10" s="66" t="e">
        <f t="shared" si="7"/>
        <v>#REF!</v>
      </c>
      <c r="AA10" s="66" t="e">
        <f t="shared" si="7"/>
        <v>#REF!</v>
      </c>
      <c r="AB10" s="66" t="e">
        <f t="shared" si="7"/>
        <v>#REF!</v>
      </c>
      <c r="AC10" s="66" t="e">
        <f t="shared" si="7"/>
        <v>#REF!</v>
      </c>
      <c r="AD10" s="66" t="e">
        <f t="shared" si="7"/>
        <v>#REF!</v>
      </c>
      <c r="AE10" s="66" t="e">
        <f t="shared" si="7"/>
        <v>#REF!</v>
      </c>
      <c r="AF10" s="66" t="e">
        <f t="shared" si="7"/>
        <v>#REF!</v>
      </c>
      <c r="AG10" s="66" t="e">
        <f t="shared" si="7"/>
        <v>#REF!</v>
      </c>
      <c r="AH10" s="66" t="e">
        <f t="shared" si="7"/>
        <v>#REF!</v>
      </c>
      <c r="AI10" s="66" t="e">
        <f t="shared" si="7"/>
        <v>#REF!</v>
      </c>
      <c r="AJ10" s="66" t="e">
        <f t="shared" si="7"/>
        <v>#REF!</v>
      </c>
      <c r="AK10" s="66" t="e">
        <f t="shared" si="7"/>
        <v>#REF!</v>
      </c>
      <c r="AL10" s="66" t="e">
        <f t="shared" si="7"/>
        <v>#REF!</v>
      </c>
      <c r="AM10" s="66" t="e">
        <f t="shared" si="7"/>
        <v>#REF!</v>
      </c>
      <c r="AN10" s="66" t="e">
        <f t="shared" si="7"/>
        <v>#REF!</v>
      </c>
      <c r="AO10" s="66" t="e">
        <f t="shared" si="7"/>
        <v>#REF!</v>
      </c>
      <c r="AP10" s="66" t="e">
        <f t="shared" si="7"/>
        <v>#REF!</v>
      </c>
      <c r="AQ10" s="66" t="e">
        <f t="shared" si="7"/>
        <v>#REF!</v>
      </c>
      <c r="AR10" s="66" t="e">
        <f t="shared" si="7"/>
        <v>#REF!</v>
      </c>
      <c r="AS10" s="66" t="e">
        <f t="shared" si="7"/>
        <v>#REF!</v>
      </c>
      <c r="AT10" s="66" t="e">
        <f t="shared" si="7"/>
        <v>#REF!</v>
      </c>
      <c r="AU10" s="66" t="e">
        <f t="shared" si="7"/>
        <v>#REF!</v>
      </c>
      <c r="AV10" s="66" t="e">
        <f t="shared" si="7"/>
        <v>#REF!</v>
      </c>
      <c r="AW10" s="66" t="e">
        <f t="shared" si="7"/>
        <v>#REF!</v>
      </c>
      <c r="AX10" s="66" t="e">
        <f t="shared" si="7"/>
        <v>#REF!</v>
      </c>
      <c r="AY10" s="66" t="e">
        <f t="shared" si="7"/>
        <v>#REF!</v>
      </c>
      <c r="AZ10" s="66" t="e">
        <f t="shared" si="7"/>
        <v>#REF!</v>
      </c>
      <c r="BA10" s="66" t="e">
        <f t="shared" si="7"/>
        <v>#REF!</v>
      </c>
      <c r="BB10" s="66" t="e">
        <f t="shared" si="7"/>
        <v>#REF!</v>
      </c>
      <c r="BC10" s="66" t="e">
        <f t="shared" si="7"/>
        <v>#REF!</v>
      </c>
      <c r="BD10" s="66" t="e">
        <f t="shared" si="7"/>
        <v>#REF!</v>
      </c>
      <c r="BE10" s="66" t="e">
        <f t="shared" si="7"/>
        <v>#REF!</v>
      </c>
      <c r="BF10" s="66" t="e">
        <f t="shared" si="7"/>
        <v>#REF!</v>
      </c>
      <c r="BG10" s="66" t="e">
        <f t="shared" si="7"/>
        <v>#REF!</v>
      </c>
      <c r="BH10" s="66" t="e">
        <f t="shared" si="7"/>
        <v>#REF!</v>
      </c>
      <c r="BI10" s="66" t="e">
        <f t="shared" si="7"/>
        <v>#REF!</v>
      </c>
      <c r="BJ10" s="66" t="e">
        <f t="shared" si="7"/>
        <v>#REF!</v>
      </c>
      <c r="BK10" s="66" t="e">
        <f t="shared" si="7"/>
        <v>#REF!</v>
      </c>
      <c r="BL10" s="66" t="e">
        <f t="shared" si="7"/>
        <v>#REF!</v>
      </c>
      <c r="BM10" s="66" t="e">
        <f t="shared" si="7"/>
        <v>#REF!</v>
      </c>
      <c r="BN10" s="66" t="e">
        <f t="shared" si="7"/>
        <v>#REF!</v>
      </c>
      <c r="BO10" s="66" t="e">
        <f t="shared" si="7"/>
        <v>#REF!</v>
      </c>
      <c r="BP10" s="66" t="e">
        <f t="shared" si="7"/>
        <v>#REF!</v>
      </c>
      <c r="BQ10" s="66" t="e">
        <f t="shared" si="7"/>
        <v>#REF!</v>
      </c>
      <c r="BR10" s="66" t="e">
        <f t="shared" si="7"/>
        <v>#REF!</v>
      </c>
      <c r="BS10" s="66" t="e">
        <f t="shared" si="7"/>
        <v>#REF!</v>
      </c>
      <c r="BT10" s="66" t="e">
        <f t="shared" si="7"/>
        <v>#REF!</v>
      </c>
    </row>
    <row r="11" spans="1:72">
      <c r="A11" s="14"/>
      <c r="B11" s="21"/>
      <c r="C11" s="21"/>
      <c r="D11" s="19"/>
      <c r="E11" s="38"/>
      <c r="F11" s="38"/>
      <c r="G11" s="38"/>
      <c r="H11" s="38"/>
      <c r="I11" s="38"/>
      <c r="J11" s="37"/>
      <c r="K11" s="36"/>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row>
    <row r="12" spans="1:72">
      <c r="A12" s="14"/>
      <c r="B12" s="28" t="s">
        <v>12</v>
      </c>
      <c r="C12" s="28"/>
      <c r="D12" s="29"/>
      <c r="E12" s="30"/>
      <c r="F12" s="30"/>
      <c r="G12" s="30"/>
      <c r="H12" s="30"/>
      <c r="I12" s="30"/>
      <c r="J12" s="39"/>
      <c r="K12" s="29"/>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row>
    <row r="13" spans="1:72">
      <c r="A13" s="14"/>
      <c r="B13" s="40"/>
      <c r="C13" s="40"/>
      <c r="D13" s="21"/>
      <c r="E13" s="15"/>
      <c r="F13" s="15"/>
      <c r="G13" s="15"/>
      <c r="H13" s="15"/>
      <c r="I13" s="15"/>
      <c r="J13" s="35"/>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row>
    <row r="14" spans="1:72">
      <c r="A14" s="14"/>
      <c r="B14" s="40"/>
      <c r="C14" s="40"/>
      <c r="D14" s="21" t="s">
        <v>127</v>
      </c>
      <c r="E14" s="15">
        <v>2022</v>
      </c>
      <c r="F14" s="15" t="e">
        <f>#REF!</f>
        <v>#REF!</v>
      </c>
      <c r="G14" s="15" t="e">
        <f>#REF!</f>
        <v>#REF!</v>
      </c>
      <c r="H14" s="15" t="e">
        <f>#REF!</f>
        <v>#REF!</v>
      </c>
      <c r="I14" s="15" t="e">
        <f>#REF!</f>
        <v>#REF!</v>
      </c>
      <c r="J14" s="15" t="e">
        <f>#REF!</f>
        <v>#REF!</v>
      </c>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row>
    <row r="15" spans="1:72">
      <c r="A15" s="14"/>
      <c r="B15" s="40"/>
      <c r="C15" s="40"/>
      <c r="D15" s="21" t="s">
        <v>125</v>
      </c>
      <c r="E15" s="41" t="e">
        <f>#REF!</f>
        <v>#REF!</v>
      </c>
      <c r="F15" s="41" t="e">
        <f>#REF!</f>
        <v>#REF!</v>
      </c>
      <c r="G15" s="41" t="e">
        <f>#REF!</f>
        <v>#REF!</v>
      </c>
      <c r="H15" s="41" t="e">
        <f>#REF!</f>
        <v>#REF!</v>
      </c>
      <c r="I15" s="41" t="e">
        <f>#REF!</f>
        <v>#REF!</v>
      </c>
      <c r="J15" s="41" t="e">
        <f>#REF!</f>
        <v>#REF!</v>
      </c>
      <c r="K15" s="21"/>
      <c r="L15" s="42">
        <f>M15</f>
        <v>0</v>
      </c>
      <c r="M15" s="42">
        <f>IFERROR((1+_xlfn.XLOOKUP(M$9,$E$14:$J$14,$E15:$J15))*M$6,0)</f>
        <v>0</v>
      </c>
      <c r="N15" s="42">
        <f t="shared" ref="N15:BT15" si="8">_xlfn.SINGLE(IFERROR((1+_xlfn.XLOOKUP(N$9,$E$14:$J$14,$E15:$J15))*N$6,0))</f>
        <v>0</v>
      </c>
      <c r="O15" s="42">
        <f t="shared" si="8"/>
        <v>0</v>
      </c>
      <c r="P15" s="42">
        <f t="shared" si="8"/>
        <v>0</v>
      </c>
      <c r="Q15" s="42">
        <f t="shared" si="8"/>
        <v>0</v>
      </c>
      <c r="R15" s="42">
        <f t="shared" si="8"/>
        <v>0</v>
      </c>
      <c r="S15" s="42">
        <f t="shared" si="8"/>
        <v>0</v>
      </c>
      <c r="T15" s="42">
        <f t="shared" si="8"/>
        <v>0</v>
      </c>
      <c r="U15" s="42">
        <f t="shared" si="8"/>
        <v>0</v>
      </c>
      <c r="V15" s="42">
        <f t="shared" si="8"/>
        <v>0</v>
      </c>
      <c r="W15" s="42">
        <f t="shared" si="8"/>
        <v>0</v>
      </c>
      <c r="X15" s="42">
        <f t="shared" si="8"/>
        <v>0</v>
      </c>
      <c r="Y15" s="42">
        <f t="shared" si="8"/>
        <v>0</v>
      </c>
      <c r="Z15" s="42">
        <f t="shared" si="8"/>
        <v>0</v>
      </c>
      <c r="AA15" s="42">
        <f t="shared" si="8"/>
        <v>0</v>
      </c>
      <c r="AB15" s="42">
        <f t="shared" si="8"/>
        <v>0</v>
      </c>
      <c r="AC15" s="42">
        <f t="shared" si="8"/>
        <v>0</v>
      </c>
      <c r="AD15" s="42">
        <f t="shared" si="8"/>
        <v>0</v>
      </c>
      <c r="AE15" s="42">
        <f t="shared" si="8"/>
        <v>0</v>
      </c>
      <c r="AF15" s="42">
        <f t="shared" si="8"/>
        <v>0</v>
      </c>
      <c r="AG15" s="42">
        <f t="shared" si="8"/>
        <v>0</v>
      </c>
      <c r="AH15" s="42">
        <f t="shared" si="8"/>
        <v>0</v>
      </c>
      <c r="AI15" s="42">
        <f t="shared" si="8"/>
        <v>0</v>
      </c>
      <c r="AJ15" s="42">
        <f t="shared" si="8"/>
        <v>0</v>
      </c>
      <c r="AK15" s="42">
        <f t="shared" si="8"/>
        <v>0</v>
      </c>
      <c r="AL15" s="42">
        <f t="shared" si="8"/>
        <v>0</v>
      </c>
      <c r="AM15" s="42">
        <f t="shared" si="8"/>
        <v>0</v>
      </c>
      <c r="AN15" s="42">
        <f t="shared" si="8"/>
        <v>0</v>
      </c>
      <c r="AO15" s="42">
        <f t="shared" si="8"/>
        <v>0</v>
      </c>
      <c r="AP15" s="42">
        <f t="shared" si="8"/>
        <v>0</v>
      </c>
      <c r="AQ15" s="42">
        <f t="shared" si="8"/>
        <v>0</v>
      </c>
      <c r="AR15" s="42">
        <f t="shared" si="8"/>
        <v>0</v>
      </c>
      <c r="AS15" s="42">
        <f t="shared" si="8"/>
        <v>0</v>
      </c>
      <c r="AT15" s="42">
        <f t="shared" si="8"/>
        <v>0</v>
      </c>
      <c r="AU15" s="42">
        <f t="shared" si="8"/>
        <v>0</v>
      </c>
      <c r="AV15" s="42">
        <f t="shared" si="8"/>
        <v>0</v>
      </c>
      <c r="AW15" s="42">
        <f t="shared" si="8"/>
        <v>0</v>
      </c>
      <c r="AX15" s="42">
        <f t="shared" si="8"/>
        <v>0</v>
      </c>
      <c r="AY15" s="42">
        <f t="shared" si="8"/>
        <v>0</v>
      </c>
      <c r="AZ15" s="42">
        <f t="shared" si="8"/>
        <v>0</v>
      </c>
      <c r="BA15" s="42">
        <f t="shared" si="8"/>
        <v>0</v>
      </c>
      <c r="BB15" s="42">
        <f t="shared" si="8"/>
        <v>0</v>
      </c>
      <c r="BC15" s="42">
        <f t="shared" si="8"/>
        <v>0</v>
      </c>
      <c r="BD15" s="42">
        <f t="shared" si="8"/>
        <v>0</v>
      </c>
      <c r="BE15" s="42">
        <f t="shared" si="8"/>
        <v>0</v>
      </c>
      <c r="BF15" s="42">
        <f t="shared" si="8"/>
        <v>0</v>
      </c>
      <c r="BG15" s="42">
        <f t="shared" si="8"/>
        <v>0</v>
      </c>
      <c r="BH15" s="42">
        <f t="shared" si="8"/>
        <v>0</v>
      </c>
      <c r="BI15" s="42">
        <f t="shared" si="8"/>
        <v>0</v>
      </c>
      <c r="BJ15" s="42">
        <f t="shared" si="8"/>
        <v>0</v>
      </c>
      <c r="BK15" s="42">
        <f t="shared" si="8"/>
        <v>0</v>
      </c>
      <c r="BL15" s="42">
        <f t="shared" si="8"/>
        <v>0</v>
      </c>
      <c r="BM15" s="42">
        <f t="shared" si="8"/>
        <v>0</v>
      </c>
      <c r="BN15" s="42">
        <f t="shared" si="8"/>
        <v>0</v>
      </c>
      <c r="BO15" s="42">
        <f t="shared" si="8"/>
        <v>0</v>
      </c>
      <c r="BP15" s="42">
        <f t="shared" si="8"/>
        <v>0</v>
      </c>
      <c r="BQ15" s="42">
        <f t="shared" si="8"/>
        <v>0</v>
      </c>
      <c r="BR15" s="42">
        <f t="shared" si="8"/>
        <v>0</v>
      </c>
      <c r="BS15" s="42">
        <f t="shared" si="8"/>
        <v>0</v>
      </c>
      <c r="BT15" s="42">
        <f t="shared" si="8"/>
        <v>0</v>
      </c>
    </row>
    <row r="16" spans="1:72">
      <c r="A16" s="14"/>
      <c r="B16" s="40"/>
      <c r="C16" s="40"/>
      <c r="D16" s="21"/>
      <c r="E16" s="41"/>
      <c r="F16" s="41"/>
      <c r="G16" s="41"/>
      <c r="H16" s="41"/>
      <c r="I16" s="41"/>
      <c r="J16" s="41"/>
      <c r="K16" s="21"/>
      <c r="L16" s="42">
        <f>M16</f>
        <v>0</v>
      </c>
      <c r="M16" s="42">
        <f>M15</f>
        <v>0</v>
      </c>
      <c r="N16" s="42" t="e">
        <f>IF(M$8=N$8,M16,M16*N15)</f>
        <v>#REF!</v>
      </c>
      <c r="O16" s="42" t="e">
        <f t="shared" ref="O16:BT16" si="9">IF(N$8=O$8,N16,N16*O15)</f>
        <v>#REF!</v>
      </c>
      <c r="P16" s="42" t="e">
        <f t="shared" si="9"/>
        <v>#REF!</v>
      </c>
      <c r="Q16" s="42" t="e">
        <f t="shared" si="9"/>
        <v>#REF!</v>
      </c>
      <c r="R16" s="42" t="e">
        <f t="shared" si="9"/>
        <v>#REF!</v>
      </c>
      <c r="S16" s="42" t="e">
        <f t="shared" si="9"/>
        <v>#REF!</v>
      </c>
      <c r="T16" s="42" t="e">
        <f t="shared" si="9"/>
        <v>#REF!</v>
      </c>
      <c r="U16" s="42" t="e">
        <f t="shared" si="9"/>
        <v>#REF!</v>
      </c>
      <c r="V16" s="42" t="e">
        <f t="shared" si="9"/>
        <v>#REF!</v>
      </c>
      <c r="W16" s="42" t="e">
        <f t="shared" si="9"/>
        <v>#REF!</v>
      </c>
      <c r="X16" s="42" t="e">
        <f t="shared" si="9"/>
        <v>#REF!</v>
      </c>
      <c r="Y16" s="42" t="e">
        <f t="shared" si="9"/>
        <v>#REF!</v>
      </c>
      <c r="Z16" s="42" t="e">
        <f t="shared" si="9"/>
        <v>#REF!</v>
      </c>
      <c r="AA16" s="42" t="e">
        <f t="shared" si="9"/>
        <v>#REF!</v>
      </c>
      <c r="AB16" s="42" t="e">
        <f t="shared" si="9"/>
        <v>#REF!</v>
      </c>
      <c r="AC16" s="42" t="e">
        <f t="shared" si="9"/>
        <v>#REF!</v>
      </c>
      <c r="AD16" s="42" t="e">
        <f t="shared" si="9"/>
        <v>#REF!</v>
      </c>
      <c r="AE16" s="42" t="e">
        <f t="shared" si="9"/>
        <v>#REF!</v>
      </c>
      <c r="AF16" s="42" t="e">
        <f t="shared" si="9"/>
        <v>#REF!</v>
      </c>
      <c r="AG16" s="42" t="e">
        <f t="shared" si="9"/>
        <v>#REF!</v>
      </c>
      <c r="AH16" s="42" t="e">
        <f t="shared" si="9"/>
        <v>#REF!</v>
      </c>
      <c r="AI16" s="42" t="e">
        <f t="shared" si="9"/>
        <v>#REF!</v>
      </c>
      <c r="AJ16" s="42" t="e">
        <f t="shared" si="9"/>
        <v>#REF!</v>
      </c>
      <c r="AK16" s="42" t="e">
        <f t="shared" si="9"/>
        <v>#REF!</v>
      </c>
      <c r="AL16" s="42" t="e">
        <f t="shared" si="9"/>
        <v>#REF!</v>
      </c>
      <c r="AM16" s="42" t="e">
        <f t="shared" si="9"/>
        <v>#REF!</v>
      </c>
      <c r="AN16" s="42" t="e">
        <f t="shared" si="9"/>
        <v>#REF!</v>
      </c>
      <c r="AO16" s="42" t="e">
        <f t="shared" si="9"/>
        <v>#REF!</v>
      </c>
      <c r="AP16" s="42" t="e">
        <f t="shared" si="9"/>
        <v>#REF!</v>
      </c>
      <c r="AQ16" s="42" t="e">
        <f t="shared" si="9"/>
        <v>#REF!</v>
      </c>
      <c r="AR16" s="42" t="e">
        <f t="shared" si="9"/>
        <v>#REF!</v>
      </c>
      <c r="AS16" s="42" t="e">
        <f t="shared" si="9"/>
        <v>#REF!</v>
      </c>
      <c r="AT16" s="42" t="e">
        <f t="shared" si="9"/>
        <v>#REF!</v>
      </c>
      <c r="AU16" s="42" t="e">
        <f t="shared" si="9"/>
        <v>#REF!</v>
      </c>
      <c r="AV16" s="42" t="e">
        <f t="shared" si="9"/>
        <v>#REF!</v>
      </c>
      <c r="AW16" s="42" t="e">
        <f t="shared" si="9"/>
        <v>#REF!</v>
      </c>
      <c r="AX16" s="42" t="e">
        <f t="shared" si="9"/>
        <v>#REF!</v>
      </c>
      <c r="AY16" s="42" t="e">
        <f t="shared" si="9"/>
        <v>#REF!</v>
      </c>
      <c r="AZ16" s="42" t="e">
        <f t="shared" si="9"/>
        <v>#REF!</v>
      </c>
      <c r="BA16" s="42" t="e">
        <f t="shared" si="9"/>
        <v>#REF!</v>
      </c>
      <c r="BB16" s="42" t="e">
        <f t="shared" si="9"/>
        <v>#REF!</v>
      </c>
      <c r="BC16" s="42" t="e">
        <f t="shared" si="9"/>
        <v>#REF!</v>
      </c>
      <c r="BD16" s="42" t="e">
        <f t="shared" si="9"/>
        <v>#REF!</v>
      </c>
      <c r="BE16" s="42" t="e">
        <f t="shared" si="9"/>
        <v>#REF!</v>
      </c>
      <c r="BF16" s="42" t="e">
        <f t="shared" si="9"/>
        <v>#REF!</v>
      </c>
      <c r="BG16" s="42" t="e">
        <f t="shared" si="9"/>
        <v>#REF!</v>
      </c>
      <c r="BH16" s="42" t="e">
        <f t="shared" si="9"/>
        <v>#REF!</v>
      </c>
      <c r="BI16" s="42" t="e">
        <f t="shared" si="9"/>
        <v>#REF!</v>
      </c>
      <c r="BJ16" s="42" t="e">
        <f t="shared" si="9"/>
        <v>#REF!</v>
      </c>
      <c r="BK16" s="42" t="e">
        <f t="shared" si="9"/>
        <v>#REF!</v>
      </c>
      <c r="BL16" s="42" t="e">
        <f t="shared" si="9"/>
        <v>#REF!</v>
      </c>
      <c r="BM16" s="42" t="e">
        <f t="shared" si="9"/>
        <v>#REF!</v>
      </c>
      <c r="BN16" s="42" t="e">
        <f t="shared" si="9"/>
        <v>#REF!</v>
      </c>
      <c r="BO16" s="42" t="e">
        <f t="shared" si="9"/>
        <v>#REF!</v>
      </c>
      <c r="BP16" s="42" t="e">
        <f t="shared" si="9"/>
        <v>#REF!</v>
      </c>
      <c r="BQ16" s="42" t="e">
        <f t="shared" si="9"/>
        <v>#REF!</v>
      </c>
      <c r="BR16" s="42" t="e">
        <f t="shared" si="9"/>
        <v>#REF!</v>
      </c>
      <c r="BS16" s="42" t="e">
        <f t="shared" si="9"/>
        <v>#REF!</v>
      </c>
      <c r="BT16" s="42" t="e">
        <f t="shared" si="9"/>
        <v>#REF!</v>
      </c>
    </row>
    <row r="17" spans="2:72">
      <c r="B17" s="40"/>
      <c r="C17" s="40"/>
      <c r="D17" s="21" t="s">
        <v>126</v>
      </c>
      <c r="E17" s="41" t="e">
        <f>#REF!</f>
        <v>#REF!</v>
      </c>
      <c r="F17" s="41" t="e">
        <f>#REF!</f>
        <v>#REF!</v>
      </c>
      <c r="G17" s="41" t="e">
        <f>#REF!</f>
        <v>#REF!</v>
      </c>
      <c r="H17" s="41" t="e">
        <f>#REF!</f>
        <v>#REF!</v>
      </c>
      <c r="I17" s="41" t="e">
        <f>#REF!</f>
        <v>#REF!</v>
      </c>
      <c r="J17" s="41" t="e">
        <f>#REF!</f>
        <v>#REF!</v>
      </c>
      <c r="K17" s="21"/>
      <c r="L17" s="42">
        <f>M17</f>
        <v>0</v>
      </c>
      <c r="M17" s="42">
        <f>IFERROR((1+_xlfn.XLOOKUP(M$9,$E$14:$J$14,$E17:$J17))*M$6,0)</f>
        <v>0</v>
      </c>
      <c r="N17" s="42">
        <f t="shared" ref="N17:BT17" si="10">_xlfn.SINGLE(IFERROR((1+_xlfn.XLOOKUP(N$9,$E$14:$J$14,$E17:$J17))*N$6,0))</f>
        <v>0</v>
      </c>
      <c r="O17" s="42">
        <f t="shared" si="10"/>
        <v>0</v>
      </c>
      <c r="P17" s="42">
        <f t="shared" si="10"/>
        <v>0</v>
      </c>
      <c r="Q17" s="42">
        <f t="shared" si="10"/>
        <v>0</v>
      </c>
      <c r="R17" s="42">
        <f t="shared" si="10"/>
        <v>0</v>
      </c>
      <c r="S17" s="42">
        <f t="shared" si="10"/>
        <v>0</v>
      </c>
      <c r="T17" s="42">
        <f t="shared" si="10"/>
        <v>0</v>
      </c>
      <c r="U17" s="42">
        <f t="shared" si="10"/>
        <v>0</v>
      </c>
      <c r="V17" s="42">
        <f t="shared" si="10"/>
        <v>0</v>
      </c>
      <c r="W17" s="42">
        <f t="shared" si="10"/>
        <v>0</v>
      </c>
      <c r="X17" s="42">
        <f t="shared" si="10"/>
        <v>0</v>
      </c>
      <c r="Y17" s="42">
        <f t="shared" si="10"/>
        <v>0</v>
      </c>
      <c r="Z17" s="42">
        <f t="shared" si="10"/>
        <v>0</v>
      </c>
      <c r="AA17" s="42">
        <f t="shared" si="10"/>
        <v>0</v>
      </c>
      <c r="AB17" s="42">
        <f t="shared" si="10"/>
        <v>0</v>
      </c>
      <c r="AC17" s="42">
        <f t="shared" si="10"/>
        <v>0</v>
      </c>
      <c r="AD17" s="42">
        <f t="shared" si="10"/>
        <v>0</v>
      </c>
      <c r="AE17" s="42">
        <f t="shared" si="10"/>
        <v>0</v>
      </c>
      <c r="AF17" s="42">
        <f t="shared" si="10"/>
        <v>0</v>
      </c>
      <c r="AG17" s="42">
        <f t="shared" si="10"/>
        <v>0</v>
      </c>
      <c r="AH17" s="42">
        <f t="shared" si="10"/>
        <v>0</v>
      </c>
      <c r="AI17" s="42">
        <f t="shared" si="10"/>
        <v>0</v>
      </c>
      <c r="AJ17" s="42">
        <f t="shared" si="10"/>
        <v>0</v>
      </c>
      <c r="AK17" s="42">
        <f t="shared" si="10"/>
        <v>0</v>
      </c>
      <c r="AL17" s="42">
        <f t="shared" si="10"/>
        <v>0</v>
      </c>
      <c r="AM17" s="42">
        <f t="shared" si="10"/>
        <v>0</v>
      </c>
      <c r="AN17" s="42">
        <f t="shared" si="10"/>
        <v>0</v>
      </c>
      <c r="AO17" s="42">
        <f t="shared" si="10"/>
        <v>0</v>
      </c>
      <c r="AP17" s="42">
        <f t="shared" si="10"/>
        <v>0</v>
      </c>
      <c r="AQ17" s="42">
        <f t="shared" si="10"/>
        <v>0</v>
      </c>
      <c r="AR17" s="42">
        <f t="shared" si="10"/>
        <v>0</v>
      </c>
      <c r="AS17" s="42">
        <f t="shared" si="10"/>
        <v>0</v>
      </c>
      <c r="AT17" s="42">
        <f t="shared" si="10"/>
        <v>0</v>
      </c>
      <c r="AU17" s="42">
        <f t="shared" si="10"/>
        <v>0</v>
      </c>
      <c r="AV17" s="42">
        <f t="shared" si="10"/>
        <v>0</v>
      </c>
      <c r="AW17" s="42">
        <f t="shared" si="10"/>
        <v>0</v>
      </c>
      <c r="AX17" s="42">
        <f t="shared" si="10"/>
        <v>0</v>
      </c>
      <c r="AY17" s="42">
        <f t="shared" si="10"/>
        <v>0</v>
      </c>
      <c r="AZ17" s="42">
        <f t="shared" si="10"/>
        <v>0</v>
      </c>
      <c r="BA17" s="42">
        <f t="shared" si="10"/>
        <v>0</v>
      </c>
      <c r="BB17" s="42">
        <f t="shared" si="10"/>
        <v>0</v>
      </c>
      <c r="BC17" s="42">
        <f t="shared" si="10"/>
        <v>0</v>
      </c>
      <c r="BD17" s="42">
        <f t="shared" si="10"/>
        <v>0</v>
      </c>
      <c r="BE17" s="42">
        <f t="shared" si="10"/>
        <v>0</v>
      </c>
      <c r="BF17" s="42">
        <f t="shared" si="10"/>
        <v>0</v>
      </c>
      <c r="BG17" s="42">
        <f t="shared" si="10"/>
        <v>0</v>
      </c>
      <c r="BH17" s="42">
        <f t="shared" si="10"/>
        <v>0</v>
      </c>
      <c r="BI17" s="42">
        <f t="shared" si="10"/>
        <v>0</v>
      </c>
      <c r="BJ17" s="42">
        <f t="shared" si="10"/>
        <v>0</v>
      </c>
      <c r="BK17" s="42">
        <f t="shared" si="10"/>
        <v>0</v>
      </c>
      <c r="BL17" s="42">
        <f t="shared" si="10"/>
        <v>0</v>
      </c>
      <c r="BM17" s="42">
        <f t="shared" si="10"/>
        <v>0</v>
      </c>
      <c r="BN17" s="42">
        <f t="shared" si="10"/>
        <v>0</v>
      </c>
      <c r="BO17" s="42">
        <f t="shared" si="10"/>
        <v>0</v>
      </c>
      <c r="BP17" s="42">
        <f t="shared" si="10"/>
        <v>0</v>
      </c>
      <c r="BQ17" s="42">
        <f t="shared" si="10"/>
        <v>0</v>
      </c>
      <c r="BR17" s="42">
        <f t="shared" si="10"/>
        <v>0</v>
      </c>
      <c r="BS17" s="42">
        <f t="shared" si="10"/>
        <v>0</v>
      </c>
      <c r="BT17" s="42">
        <f t="shared" si="10"/>
        <v>0</v>
      </c>
    </row>
    <row r="18" spans="2:72">
      <c r="B18" s="40"/>
      <c r="C18" s="40"/>
      <c r="D18" s="21"/>
      <c r="E18" s="41"/>
      <c r="F18" s="41"/>
      <c r="G18" s="41"/>
      <c r="H18" s="41"/>
      <c r="I18" s="41"/>
      <c r="J18" s="41"/>
      <c r="K18" s="21"/>
      <c r="L18" s="42">
        <f>M18</f>
        <v>0</v>
      </c>
      <c r="M18" s="42">
        <f>M17</f>
        <v>0</v>
      </c>
      <c r="N18" s="42" t="e">
        <f>IF(M$8=N$8,M18,M18*N17)</f>
        <v>#REF!</v>
      </c>
      <c r="O18" s="42" t="e">
        <f t="shared" ref="O18:BT18" si="11">IF(N$8=O$8,N18,N18*O17)</f>
        <v>#REF!</v>
      </c>
      <c r="P18" s="42" t="e">
        <f t="shared" si="11"/>
        <v>#REF!</v>
      </c>
      <c r="Q18" s="42" t="e">
        <f t="shared" si="11"/>
        <v>#REF!</v>
      </c>
      <c r="R18" s="42" t="e">
        <f t="shared" si="11"/>
        <v>#REF!</v>
      </c>
      <c r="S18" s="42" t="e">
        <f t="shared" si="11"/>
        <v>#REF!</v>
      </c>
      <c r="T18" s="42" t="e">
        <f t="shared" si="11"/>
        <v>#REF!</v>
      </c>
      <c r="U18" s="42" t="e">
        <f t="shared" si="11"/>
        <v>#REF!</v>
      </c>
      <c r="V18" s="42" t="e">
        <f t="shared" si="11"/>
        <v>#REF!</v>
      </c>
      <c r="W18" s="42" t="e">
        <f t="shared" si="11"/>
        <v>#REF!</v>
      </c>
      <c r="X18" s="42" t="e">
        <f t="shared" si="11"/>
        <v>#REF!</v>
      </c>
      <c r="Y18" s="42" t="e">
        <f t="shared" si="11"/>
        <v>#REF!</v>
      </c>
      <c r="Z18" s="42" t="e">
        <f t="shared" si="11"/>
        <v>#REF!</v>
      </c>
      <c r="AA18" s="42" t="e">
        <f t="shared" si="11"/>
        <v>#REF!</v>
      </c>
      <c r="AB18" s="42" t="e">
        <f t="shared" si="11"/>
        <v>#REF!</v>
      </c>
      <c r="AC18" s="42" t="e">
        <f t="shared" si="11"/>
        <v>#REF!</v>
      </c>
      <c r="AD18" s="42" t="e">
        <f t="shared" si="11"/>
        <v>#REF!</v>
      </c>
      <c r="AE18" s="42" t="e">
        <f t="shared" si="11"/>
        <v>#REF!</v>
      </c>
      <c r="AF18" s="42" t="e">
        <f t="shared" si="11"/>
        <v>#REF!</v>
      </c>
      <c r="AG18" s="42" t="e">
        <f t="shared" si="11"/>
        <v>#REF!</v>
      </c>
      <c r="AH18" s="42" t="e">
        <f t="shared" si="11"/>
        <v>#REF!</v>
      </c>
      <c r="AI18" s="42" t="e">
        <f t="shared" si="11"/>
        <v>#REF!</v>
      </c>
      <c r="AJ18" s="42" t="e">
        <f t="shared" si="11"/>
        <v>#REF!</v>
      </c>
      <c r="AK18" s="42" t="e">
        <f t="shared" si="11"/>
        <v>#REF!</v>
      </c>
      <c r="AL18" s="42" t="e">
        <f t="shared" si="11"/>
        <v>#REF!</v>
      </c>
      <c r="AM18" s="42" t="e">
        <f t="shared" si="11"/>
        <v>#REF!</v>
      </c>
      <c r="AN18" s="42" t="e">
        <f t="shared" si="11"/>
        <v>#REF!</v>
      </c>
      <c r="AO18" s="42" t="e">
        <f t="shared" si="11"/>
        <v>#REF!</v>
      </c>
      <c r="AP18" s="42" t="e">
        <f t="shared" si="11"/>
        <v>#REF!</v>
      </c>
      <c r="AQ18" s="42" t="e">
        <f t="shared" si="11"/>
        <v>#REF!</v>
      </c>
      <c r="AR18" s="42" t="e">
        <f t="shared" si="11"/>
        <v>#REF!</v>
      </c>
      <c r="AS18" s="42" t="e">
        <f t="shared" si="11"/>
        <v>#REF!</v>
      </c>
      <c r="AT18" s="42" t="e">
        <f t="shared" si="11"/>
        <v>#REF!</v>
      </c>
      <c r="AU18" s="42" t="e">
        <f t="shared" si="11"/>
        <v>#REF!</v>
      </c>
      <c r="AV18" s="42" t="e">
        <f t="shared" si="11"/>
        <v>#REF!</v>
      </c>
      <c r="AW18" s="42" t="e">
        <f t="shared" si="11"/>
        <v>#REF!</v>
      </c>
      <c r="AX18" s="42" t="e">
        <f t="shared" si="11"/>
        <v>#REF!</v>
      </c>
      <c r="AY18" s="42" t="e">
        <f t="shared" si="11"/>
        <v>#REF!</v>
      </c>
      <c r="AZ18" s="42" t="e">
        <f t="shared" si="11"/>
        <v>#REF!</v>
      </c>
      <c r="BA18" s="42" t="e">
        <f t="shared" si="11"/>
        <v>#REF!</v>
      </c>
      <c r="BB18" s="42" t="e">
        <f t="shared" si="11"/>
        <v>#REF!</v>
      </c>
      <c r="BC18" s="42" t="e">
        <f t="shared" si="11"/>
        <v>#REF!</v>
      </c>
      <c r="BD18" s="42" t="e">
        <f t="shared" si="11"/>
        <v>#REF!</v>
      </c>
      <c r="BE18" s="42" t="e">
        <f t="shared" si="11"/>
        <v>#REF!</v>
      </c>
      <c r="BF18" s="42" t="e">
        <f t="shared" si="11"/>
        <v>#REF!</v>
      </c>
      <c r="BG18" s="42" t="e">
        <f t="shared" si="11"/>
        <v>#REF!</v>
      </c>
      <c r="BH18" s="42" t="e">
        <f t="shared" si="11"/>
        <v>#REF!</v>
      </c>
      <c r="BI18" s="42" t="e">
        <f t="shared" si="11"/>
        <v>#REF!</v>
      </c>
      <c r="BJ18" s="42" t="e">
        <f t="shared" si="11"/>
        <v>#REF!</v>
      </c>
      <c r="BK18" s="42" t="e">
        <f t="shared" si="11"/>
        <v>#REF!</v>
      </c>
      <c r="BL18" s="42" t="e">
        <f t="shared" si="11"/>
        <v>#REF!</v>
      </c>
      <c r="BM18" s="42" t="e">
        <f t="shared" si="11"/>
        <v>#REF!</v>
      </c>
      <c r="BN18" s="42" t="e">
        <f t="shared" si="11"/>
        <v>#REF!</v>
      </c>
      <c r="BO18" s="42" t="e">
        <f t="shared" si="11"/>
        <v>#REF!</v>
      </c>
      <c r="BP18" s="42" t="e">
        <f t="shared" si="11"/>
        <v>#REF!</v>
      </c>
      <c r="BQ18" s="42" t="e">
        <f t="shared" si="11"/>
        <v>#REF!</v>
      </c>
      <c r="BR18" s="42" t="e">
        <f t="shared" si="11"/>
        <v>#REF!</v>
      </c>
      <c r="BS18" s="42" t="e">
        <f t="shared" si="11"/>
        <v>#REF!</v>
      </c>
      <c r="BT18" s="42" t="e">
        <f t="shared" si="11"/>
        <v>#REF!</v>
      </c>
    </row>
    <row r="19" spans="2:72">
      <c r="B19" s="40"/>
      <c r="C19" s="40"/>
      <c r="D19" s="21" t="s">
        <v>183</v>
      </c>
      <c r="E19" s="162"/>
      <c r="F19" s="162" t="e">
        <f>#REF!</f>
        <v>#REF!</v>
      </c>
      <c r="G19" s="162" t="e">
        <f>((($J$19/$F$19)^(1/4)-1)+1)^1*$F$19</f>
        <v>#REF!</v>
      </c>
      <c r="H19" s="162" t="e">
        <f>((($J$19/$F$19)^(1/4)-1)+1)^2*$F$19</f>
        <v>#REF!</v>
      </c>
      <c r="I19" s="162" t="e">
        <f>((($J$19/$F$19)^(1/4)-1)+1)^3*$F$19</f>
        <v>#REF!</v>
      </c>
      <c r="J19" s="162">
        <v>30</v>
      </c>
      <c r="K19" s="21"/>
      <c r="L19" s="21"/>
      <c r="M19" s="143">
        <f>IFERROR((_xlfn.XLOOKUP(M$9,$E$14:$J$14,$E19:$J19))*M$6,0)</f>
        <v>0</v>
      </c>
      <c r="N19" s="143">
        <f t="shared" ref="N19:BT19" si="12">_xlfn.SINGLE(IFERROR((_xlfn.XLOOKUP(N$9,$E$14:$J$14,$E19:$J19))*N$6,0))</f>
        <v>0</v>
      </c>
      <c r="O19" s="143">
        <f t="shared" si="12"/>
        <v>0</v>
      </c>
      <c r="P19" s="143">
        <f t="shared" si="12"/>
        <v>0</v>
      </c>
      <c r="Q19" s="143">
        <f t="shared" si="12"/>
        <v>0</v>
      </c>
      <c r="R19" s="143">
        <f t="shared" si="12"/>
        <v>0</v>
      </c>
      <c r="S19" s="143">
        <f t="shared" si="12"/>
        <v>0</v>
      </c>
      <c r="T19" s="143">
        <f t="shared" si="12"/>
        <v>0</v>
      </c>
      <c r="U19" s="143">
        <f t="shared" si="12"/>
        <v>0</v>
      </c>
      <c r="V19" s="143">
        <f t="shared" si="12"/>
        <v>0</v>
      </c>
      <c r="W19" s="143">
        <f t="shared" si="12"/>
        <v>0</v>
      </c>
      <c r="X19" s="143">
        <f t="shared" si="12"/>
        <v>0</v>
      </c>
      <c r="Y19" s="143">
        <f t="shared" si="12"/>
        <v>0</v>
      </c>
      <c r="Z19" s="143">
        <f t="shared" si="12"/>
        <v>0</v>
      </c>
      <c r="AA19" s="143">
        <f t="shared" si="12"/>
        <v>0</v>
      </c>
      <c r="AB19" s="143">
        <f t="shared" si="12"/>
        <v>0</v>
      </c>
      <c r="AC19" s="143">
        <f t="shared" si="12"/>
        <v>0</v>
      </c>
      <c r="AD19" s="143">
        <f t="shared" si="12"/>
        <v>0</v>
      </c>
      <c r="AE19" s="143">
        <f t="shared" si="12"/>
        <v>0</v>
      </c>
      <c r="AF19" s="143">
        <f t="shared" si="12"/>
        <v>0</v>
      </c>
      <c r="AG19" s="143">
        <f t="shared" si="12"/>
        <v>0</v>
      </c>
      <c r="AH19" s="143">
        <f t="shared" si="12"/>
        <v>0</v>
      </c>
      <c r="AI19" s="143">
        <f t="shared" si="12"/>
        <v>0</v>
      </c>
      <c r="AJ19" s="143">
        <f t="shared" si="12"/>
        <v>0</v>
      </c>
      <c r="AK19" s="143">
        <f t="shared" si="12"/>
        <v>0</v>
      </c>
      <c r="AL19" s="143">
        <f t="shared" si="12"/>
        <v>0</v>
      </c>
      <c r="AM19" s="143">
        <f t="shared" si="12"/>
        <v>0</v>
      </c>
      <c r="AN19" s="143">
        <f t="shared" si="12"/>
        <v>0</v>
      </c>
      <c r="AO19" s="143">
        <f t="shared" si="12"/>
        <v>0</v>
      </c>
      <c r="AP19" s="143">
        <f t="shared" si="12"/>
        <v>0</v>
      </c>
      <c r="AQ19" s="143">
        <f t="shared" si="12"/>
        <v>0</v>
      </c>
      <c r="AR19" s="143">
        <f t="shared" si="12"/>
        <v>0</v>
      </c>
      <c r="AS19" s="143">
        <f t="shared" si="12"/>
        <v>0</v>
      </c>
      <c r="AT19" s="143">
        <f t="shared" si="12"/>
        <v>0</v>
      </c>
      <c r="AU19" s="143">
        <f t="shared" si="12"/>
        <v>0</v>
      </c>
      <c r="AV19" s="143">
        <f t="shared" si="12"/>
        <v>0</v>
      </c>
      <c r="AW19" s="143">
        <f t="shared" si="12"/>
        <v>0</v>
      </c>
      <c r="AX19" s="143">
        <f t="shared" si="12"/>
        <v>0</v>
      </c>
      <c r="AY19" s="143">
        <f t="shared" si="12"/>
        <v>0</v>
      </c>
      <c r="AZ19" s="143">
        <f t="shared" si="12"/>
        <v>0</v>
      </c>
      <c r="BA19" s="143">
        <f t="shared" si="12"/>
        <v>0</v>
      </c>
      <c r="BB19" s="143">
        <f t="shared" si="12"/>
        <v>0</v>
      </c>
      <c r="BC19" s="143">
        <f t="shared" si="12"/>
        <v>0</v>
      </c>
      <c r="BD19" s="143">
        <f t="shared" si="12"/>
        <v>0</v>
      </c>
      <c r="BE19" s="143">
        <f t="shared" si="12"/>
        <v>0</v>
      </c>
      <c r="BF19" s="143">
        <f t="shared" si="12"/>
        <v>0</v>
      </c>
      <c r="BG19" s="143">
        <f t="shared" si="12"/>
        <v>0</v>
      </c>
      <c r="BH19" s="143">
        <f t="shared" si="12"/>
        <v>0</v>
      </c>
      <c r="BI19" s="143">
        <f t="shared" si="12"/>
        <v>0</v>
      </c>
      <c r="BJ19" s="143">
        <f t="shared" si="12"/>
        <v>0</v>
      </c>
      <c r="BK19" s="143">
        <f t="shared" si="12"/>
        <v>0</v>
      </c>
      <c r="BL19" s="143">
        <f t="shared" si="12"/>
        <v>0</v>
      </c>
      <c r="BM19" s="143">
        <f t="shared" si="12"/>
        <v>0</v>
      </c>
      <c r="BN19" s="143">
        <f t="shared" si="12"/>
        <v>0</v>
      </c>
      <c r="BO19" s="143">
        <f t="shared" si="12"/>
        <v>0</v>
      </c>
      <c r="BP19" s="143">
        <f t="shared" si="12"/>
        <v>0</v>
      </c>
      <c r="BQ19" s="143">
        <f t="shared" si="12"/>
        <v>0</v>
      </c>
      <c r="BR19" s="143">
        <f t="shared" si="12"/>
        <v>0</v>
      </c>
      <c r="BS19" s="143">
        <f t="shared" si="12"/>
        <v>0</v>
      </c>
      <c r="BT19" s="143">
        <f t="shared" si="12"/>
        <v>0</v>
      </c>
    </row>
    <row r="20" spans="2:72">
      <c r="B20" s="40"/>
      <c r="C20" s="40"/>
      <c r="D20" s="21"/>
      <c r="E20" s="41"/>
      <c r="F20" s="41"/>
      <c r="G20" s="41"/>
      <c r="H20" s="41"/>
      <c r="I20" s="41"/>
      <c r="J20" s="162"/>
      <c r="K20" s="21"/>
      <c r="L20" s="21"/>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row>
    <row r="21" spans="2:72">
      <c r="B21" s="40"/>
      <c r="C21" s="40"/>
      <c r="D21" s="21" t="s">
        <v>38</v>
      </c>
      <c r="E21" s="41">
        <v>0.04</v>
      </c>
      <c r="F21" s="41"/>
      <c r="G21" s="41"/>
      <c r="H21" s="41"/>
      <c r="I21" s="41"/>
      <c r="J21" s="35"/>
      <c r="K21" s="21"/>
      <c r="L21" s="42" t="e">
        <f t="shared" ref="L21:M24" si="13">M21</f>
        <v>#REF!</v>
      </c>
      <c r="M21" s="42" t="e">
        <f t="shared" si="13"/>
        <v>#REF!</v>
      </c>
      <c r="N21" s="42" t="e">
        <f t="shared" ref="N21:V24" si="14">(1+$E21)^(N$8-1)*N$6</f>
        <v>#REF!</v>
      </c>
      <c r="O21" s="42" t="e">
        <f t="shared" si="14"/>
        <v>#REF!</v>
      </c>
      <c r="P21" s="42" t="e">
        <f t="shared" si="14"/>
        <v>#REF!</v>
      </c>
      <c r="Q21" s="42" t="e">
        <f t="shared" si="14"/>
        <v>#REF!</v>
      </c>
      <c r="R21" s="42" t="e">
        <f t="shared" si="14"/>
        <v>#REF!</v>
      </c>
      <c r="S21" s="42" t="e">
        <f t="shared" si="14"/>
        <v>#REF!</v>
      </c>
      <c r="T21" s="42" t="e">
        <f t="shared" si="14"/>
        <v>#REF!</v>
      </c>
      <c r="U21" s="42" t="e">
        <f t="shared" si="14"/>
        <v>#REF!</v>
      </c>
      <c r="V21" s="42" t="e">
        <f t="shared" si="14"/>
        <v>#REF!</v>
      </c>
      <c r="W21" s="42" t="e">
        <f t="shared" ref="W21:AF24" si="15">(1+$E21)^(W$8-1)*W$6</f>
        <v>#REF!</v>
      </c>
      <c r="X21" s="42" t="e">
        <f t="shared" si="15"/>
        <v>#REF!</v>
      </c>
      <c r="Y21" s="42" t="e">
        <f t="shared" si="15"/>
        <v>#REF!</v>
      </c>
      <c r="Z21" s="42" t="e">
        <f t="shared" si="15"/>
        <v>#REF!</v>
      </c>
      <c r="AA21" s="42" t="e">
        <f t="shared" si="15"/>
        <v>#REF!</v>
      </c>
      <c r="AB21" s="42" t="e">
        <f t="shared" si="15"/>
        <v>#REF!</v>
      </c>
      <c r="AC21" s="42" t="e">
        <f t="shared" si="15"/>
        <v>#REF!</v>
      </c>
      <c r="AD21" s="42" t="e">
        <f t="shared" si="15"/>
        <v>#REF!</v>
      </c>
      <c r="AE21" s="42" t="e">
        <f t="shared" si="15"/>
        <v>#REF!</v>
      </c>
      <c r="AF21" s="42" t="e">
        <f t="shared" si="15"/>
        <v>#REF!</v>
      </c>
      <c r="AG21" s="42" t="e">
        <f t="shared" ref="AG21:AP24" si="16">(1+$E21)^(AG$8-1)*AG$6</f>
        <v>#REF!</v>
      </c>
      <c r="AH21" s="42" t="e">
        <f t="shared" si="16"/>
        <v>#REF!</v>
      </c>
      <c r="AI21" s="42" t="e">
        <f t="shared" si="16"/>
        <v>#REF!</v>
      </c>
      <c r="AJ21" s="42" t="e">
        <f t="shared" si="16"/>
        <v>#REF!</v>
      </c>
      <c r="AK21" s="42" t="e">
        <f t="shared" si="16"/>
        <v>#REF!</v>
      </c>
      <c r="AL21" s="42" t="e">
        <f t="shared" si="16"/>
        <v>#REF!</v>
      </c>
      <c r="AM21" s="42" t="e">
        <f t="shared" si="16"/>
        <v>#REF!</v>
      </c>
      <c r="AN21" s="42" t="e">
        <f t="shared" si="16"/>
        <v>#REF!</v>
      </c>
      <c r="AO21" s="42" t="e">
        <f t="shared" si="16"/>
        <v>#REF!</v>
      </c>
      <c r="AP21" s="42" t="e">
        <f t="shared" si="16"/>
        <v>#REF!</v>
      </c>
      <c r="AQ21" s="42" t="e">
        <f t="shared" ref="AQ21:AZ24" si="17">(1+$E21)^(AQ$8-1)*AQ$6</f>
        <v>#REF!</v>
      </c>
      <c r="AR21" s="42" t="e">
        <f t="shared" si="17"/>
        <v>#REF!</v>
      </c>
      <c r="AS21" s="42" t="e">
        <f t="shared" si="17"/>
        <v>#REF!</v>
      </c>
      <c r="AT21" s="42" t="e">
        <f t="shared" si="17"/>
        <v>#REF!</v>
      </c>
      <c r="AU21" s="42" t="e">
        <f t="shared" si="17"/>
        <v>#REF!</v>
      </c>
      <c r="AV21" s="42" t="e">
        <f t="shared" si="17"/>
        <v>#REF!</v>
      </c>
      <c r="AW21" s="42" t="e">
        <f t="shared" si="17"/>
        <v>#REF!</v>
      </c>
      <c r="AX21" s="42" t="e">
        <f t="shared" si="17"/>
        <v>#REF!</v>
      </c>
      <c r="AY21" s="42" t="e">
        <f t="shared" si="17"/>
        <v>#REF!</v>
      </c>
      <c r="AZ21" s="42" t="e">
        <f t="shared" si="17"/>
        <v>#REF!</v>
      </c>
      <c r="BA21" s="42" t="e">
        <f t="shared" ref="BA21:BJ24" si="18">(1+$E21)^(BA$8-1)*BA$6</f>
        <v>#REF!</v>
      </c>
      <c r="BB21" s="42" t="e">
        <f t="shared" si="18"/>
        <v>#REF!</v>
      </c>
      <c r="BC21" s="42" t="e">
        <f t="shared" si="18"/>
        <v>#REF!</v>
      </c>
      <c r="BD21" s="42" t="e">
        <f t="shared" si="18"/>
        <v>#REF!</v>
      </c>
      <c r="BE21" s="42" t="e">
        <f t="shared" si="18"/>
        <v>#REF!</v>
      </c>
      <c r="BF21" s="42" t="e">
        <f t="shared" si="18"/>
        <v>#REF!</v>
      </c>
      <c r="BG21" s="42" t="e">
        <f t="shared" si="18"/>
        <v>#REF!</v>
      </c>
      <c r="BH21" s="42" t="e">
        <f t="shared" si="18"/>
        <v>#REF!</v>
      </c>
      <c r="BI21" s="42" t="e">
        <f t="shared" si="18"/>
        <v>#REF!</v>
      </c>
      <c r="BJ21" s="42" t="e">
        <f t="shared" si="18"/>
        <v>#REF!</v>
      </c>
      <c r="BK21" s="42" t="e">
        <f t="shared" ref="BK21:BT24" si="19">(1+$E21)^(BK$8-1)*BK$6</f>
        <v>#REF!</v>
      </c>
      <c r="BL21" s="42" t="e">
        <f t="shared" si="19"/>
        <v>#REF!</v>
      </c>
      <c r="BM21" s="42" t="e">
        <f t="shared" si="19"/>
        <v>#REF!</v>
      </c>
      <c r="BN21" s="42" t="e">
        <f t="shared" si="19"/>
        <v>#REF!</v>
      </c>
      <c r="BO21" s="42" t="e">
        <f t="shared" si="19"/>
        <v>#REF!</v>
      </c>
      <c r="BP21" s="42" t="e">
        <f t="shared" si="19"/>
        <v>#REF!</v>
      </c>
      <c r="BQ21" s="42" t="e">
        <f t="shared" si="19"/>
        <v>#REF!</v>
      </c>
      <c r="BR21" s="42" t="e">
        <f t="shared" si="19"/>
        <v>#REF!</v>
      </c>
      <c r="BS21" s="42" t="e">
        <f t="shared" si="19"/>
        <v>#REF!</v>
      </c>
      <c r="BT21" s="42" t="e">
        <f t="shared" si="19"/>
        <v>#REF!</v>
      </c>
    </row>
    <row r="22" spans="2:72">
      <c r="B22" s="40"/>
      <c r="C22" s="40"/>
      <c r="D22" s="21" t="s">
        <v>39</v>
      </c>
      <c r="E22" s="41">
        <v>0.03</v>
      </c>
      <c r="F22" s="41"/>
      <c r="G22" s="41"/>
      <c r="H22" s="41"/>
      <c r="I22" s="41"/>
      <c r="J22" s="35"/>
      <c r="K22" s="21"/>
      <c r="L22" s="42" t="e">
        <f t="shared" si="13"/>
        <v>#REF!</v>
      </c>
      <c r="M22" s="42" t="e">
        <f t="shared" si="13"/>
        <v>#REF!</v>
      </c>
      <c r="N22" s="42" t="e">
        <f t="shared" si="14"/>
        <v>#REF!</v>
      </c>
      <c r="O22" s="42" t="e">
        <f t="shared" si="14"/>
        <v>#REF!</v>
      </c>
      <c r="P22" s="42" t="e">
        <f t="shared" si="14"/>
        <v>#REF!</v>
      </c>
      <c r="Q22" s="42" t="e">
        <f t="shared" si="14"/>
        <v>#REF!</v>
      </c>
      <c r="R22" s="42" t="e">
        <f t="shared" si="14"/>
        <v>#REF!</v>
      </c>
      <c r="S22" s="42" t="e">
        <f t="shared" si="14"/>
        <v>#REF!</v>
      </c>
      <c r="T22" s="42" t="e">
        <f t="shared" si="14"/>
        <v>#REF!</v>
      </c>
      <c r="U22" s="42" t="e">
        <f t="shared" si="14"/>
        <v>#REF!</v>
      </c>
      <c r="V22" s="42" t="e">
        <f t="shared" si="14"/>
        <v>#REF!</v>
      </c>
      <c r="W22" s="42" t="e">
        <f t="shared" si="15"/>
        <v>#REF!</v>
      </c>
      <c r="X22" s="42" t="e">
        <f t="shared" si="15"/>
        <v>#REF!</v>
      </c>
      <c r="Y22" s="42" t="e">
        <f t="shared" si="15"/>
        <v>#REF!</v>
      </c>
      <c r="Z22" s="42" t="e">
        <f t="shared" si="15"/>
        <v>#REF!</v>
      </c>
      <c r="AA22" s="42" t="e">
        <f t="shared" si="15"/>
        <v>#REF!</v>
      </c>
      <c r="AB22" s="42" t="e">
        <f t="shared" si="15"/>
        <v>#REF!</v>
      </c>
      <c r="AC22" s="42" t="e">
        <f t="shared" si="15"/>
        <v>#REF!</v>
      </c>
      <c r="AD22" s="42" t="e">
        <f t="shared" si="15"/>
        <v>#REF!</v>
      </c>
      <c r="AE22" s="42" t="e">
        <f t="shared" si="15"/>
        <v>#REF!</v>
      </c>
      <c r="AF22" s="42" t="e">
        <f t="shared" si="15"/>
        <v>#REF!</v>
      </c>
      <c r="AG22" s="42" t="e">
        <f t="shared" si="16"/>
        <v>#REF!</v>
      </c>
      <c r="AH22" s="42" t="e">
        <f t="shared" si="16"/>
        <v>#REF!</v>
      </c>
      <c r="AI22" s="42" t="e">
        <f t="shared" si="16"/>
        <v>#REF!</v>
      </c>
      <c r="AJ22" s="42" t="e">
        <f t="shared" si="16"/>
        <v>#REF!</v>
      </c>
      <c r="AK22" s="42" t="e">
        <f t="shared" si="16"/>
        <v>#REF!</v>
      </c>
      <c r="AL22" s="42" t="e">
        <f t="shared" si="16"/>
        <v>#REF!</v>
      </c>
      <c r="AM22" s="42" t="e">
        <f t="shared" si="16"/>
        <v>#REF!</v>
      </c>
      <c r="AN22" s="42" t="e">
        <f t="shared" si="16"/>
        <v>#REF!</v>
      </c>
      <c r="AO22" s="42" t="e">
        <f t="shared" si="16"/>
        <v>#REF!</v>
      </c>
      <c r="AP22" s="42" t="e">
        <f t="shared" si="16"/>
        <v>#REF!</v>
      </c>
      <c r="AQ22" s="42" t="e">
        <f t="shared" si="17"/>
        <v>#REF!</v>
      </c>
      <c r="AR22" s="42" t="e">
        <f t="shared" si="17"/>
        <v>#REF!</v>
      </c>
      <c r="AS22" s="42" t="e">
        <f t="shared" si="17"/>
        <v>#REF!</v>
      </c>
      <c r="AT22" s="42" t="e">
        <f t="shared" si="17"/>
        <v>#REF!</v>
      </c>
      <c r="AU22" s="42" t="e">
        <f t="shared" si="17"/>
        <v>#REF!</v>
      </c>
      <c r="AV22" s="42" t="e">
        <f t="shared" si="17"/>
        <v>#REF!</v>
      </c>
      <c r="AW22" s="42" t="e">
        <f t="shared" si="17"/>
        <v>#REF!</v>
      </c>
      <c r="AX22" s="42" t="e">
        <f t="shared" si="17"/>
        <v>#REF!</v>
      </c>
      <c r="AY22" s="42" t="e">
        <f t="shared" si="17"/>
        <v>#REF!</v>
      </c>
      <c r="AZ22" s="42" t="e">
        <f t="shared" si="17"/>
        <v>#REF!</v>
      </c>
      <c r="BA22" s="42" t="e">
        <f t="shared" si="18"/>
        <v>#REF!</v>
      </c>
      <c r="BB22" s="42" t="e">
        <f t="shared" si="18"/>
        <v>#REF!</v>
      </c>
      <c r="BC22" s="42" t="e">
        <f t="shared" si="18"/>
        <v>#REF!</v>
      </c>
      <c r="BD22" s="42" t="e">
        <f t="shared" si="18"/>
        <v>#REF!</v>
      </c>
      <c r="BE22" s="42" t="e">
        <f t="shared" si="18"/>
        <v>#REF!</v>
      </c>
      <c r="BF22" s="42" t="e">
        <f t="shared" si="18"/>
        <v>#REF!</v>
      </c>
      <c r="BG22" s="42" t="e">
        <f t="shared" si="18"/>
        <v>#REF!</v>
      </c>
      <c r="BH22" s="42" t="e">
        <f t="shared" si="18"/>
        <v>#REF!</v>
      </c>
      <c r="BI22" s="42" t="e">
        <f t="shared" si="18"/>
        <v>#REF!</v>
      </c>
      <c r="BJ22" s="42" t="e">
        <f t="shared" si="18"/>
        <v>#REF!</v>
      </c>
      <c r="BK22" s="42" t="e">
        <f t="shared" si="19"/>
        <v>#REF!</v>
      </c>
      <c r="BL22" s="42" t="e">
        <f t="shared" si="19"/>
        <v>#REF!</v>
      </c>
      <c r="BM22" s="42" t="e">
        <f t="shared" si="19"/>
        <v>#REF!</v>
      </c>
      <c r="BN22" s="42" t="e">
        <f t="shared" si="19"/>
        <v>#REF!</v>
      </c>
      <c r="BO22" s="42" t="e">
        <f t="shared" si="19"/>
        <v>#REF!</v>
      </c>
      <c r="BP22" s="42" t="e">
        <f t="shared" si="19"/>
        <v>#REF!</v>
      </c>
      <c r="BQ22" s="42" t="e">
        <f t="shared" si="19"/>
        <v>#REF!</v>
      </c>
      <c r="BR22" s="42" t="e">
        <f t="shared" si="19"/>
        <v>#REF!</v>
      </c>
      <c r="BS22" s="42" t="e">
        <f t="shared" si="19"/>
        <v>#REF!</v>
      </c>
      <c r="BT22" s="42" t="e">
        <f t="shared" si="19"/>
        <v>#REF!</v>
      </c>
    </row>
    <row r="23" spans="2:72">
      <c r="B23" s="40"/>
      <c r="C23" s="40"/>
      <c r="D23" s="21" t="s">
        <v>40</v>
      </c>
      <c r="E23" s="41">
        <v>0.02</v>
      </c>
      <c r="F23" s="41"/>
      <c r="G23" s="41"/>
      <c r="H23" s="41"/>
      <c r="I23" s="41"/>
      <c r="J23" s="35"/>
      <c r="K23" s="21"/>
      <c r="L23" s="42" t="e">
        <f t="shared" si="13"/>
        <v>#REF!</v>
      </c>
      <c r="M23" s="42" t="e">
        <f t="shared" si="13"/>
        <v>#REF!</v>
      </c>
      <c r="N23" s="42" t="e">
        <f t="shared" si="14"/>
        <v>#REF!</v>
      </c>
      <c r="O23" s="42" t="e">
        <f t="shared" si="14"/>
        <v>#REF!</v>
      </c>
      <c r="P23" s="42" t="e">
        <f t="shared" si="14"/>
        <v>#REF!</v>
      </c>
      <c r="Q23" s="42" t="e">
        <f t="shared" si="14"/>
        <v>#REF!</v>
      </c>
      <c r="R23" s="42" t="e">
        <f t="shared" si="14"/>
        <v>#REF!</v>
      </c>
      <c r="S23" s="42" t="e">
        <f t="shared" si="14"/>
        <v>#REF!</v>
      </c>
      <c r="T23" s="42" t="e">
        <f t="shared" si="14"/>
        <v>#REF!</v>
      </c>
      <c r="U23" s="42" t="e">
        <f t="shared" si="14"/>
        <v>#REF!</v>
      </c>
      <c r="V23" s="42" t="e">
        <f t="shared" si="14"/>
        <v>#REF!</v>
      </c>
      <c r="W23" s="42" t="e">
        <f t="shared" si="15"/>
        <v>#REF!</v>
      </c>
      <c r="X23" s="42" t="e">
        <f t="shared" si="15"/>
        <v>#REF!</v>
      </c>
      <c r="Y23" s="42" t="e">
        <f t="shared" si="15"/>
        <v>#REF!</v>
      </c>
      <c r="Z23" s="42" t="e">
        <f t="shared" si="15"/>
        <v>#REF!</v>
      </c>
      <c r="AA23" s="42" t="e">
        <f t="shared" si="15"/>
        <v>#REF!</v>
      </c>
      <c r="AB23" s="42" t="e">
        <f t="shared" si="15"/>
        <v>#REF!</v>
      </c>
      <c r="AC23" s="42" t="e">
        <f t="shared" si="15"/>
        <v>#REF!</v>
      </c>
      <c r="AD23" s="42" t="e">
        <f t="shared" si="15"/>
        <v>#REF!</v>
      </c>
      <c r="AE23" s="42" t="e">
        <f t="shared" si="15"/>
        <v>#REF!</v>
      </c>
      <c r="AF23" s="42" t="e">
        <f t="shared" si="15"/>
        <v>#REF!</v>
      </c>
      <c r="AG23" s="42" t="e">
        <f t="shared" si="16"/>
        <v>#REF!</v>
      </c>
      <c r="AH23" s="42" t="e">
        <f t="shared" si="16"/>
        <v>#REF!</v>
      </c>
      <c r="AI23" s="42" t="e">
        <f t="shared" si="16"/>
        <v>#REF!</v>
      </c>
      <c r="AJ23" s="42" t="e">
        <f t="shared" si="16"/>
        <v>#REF!</v>
      </c>
      <c r="AK23" s="42" t="e">
        <f t="shared" si="16"/>
        <v>#REF!</v>
      </c>
      <c r="AL23" s="42" t="e">
        <f t="shared" si="16"/>
        <v>#REF!</v>
      </c>
      <c r="AM23" s="42" t="e">
        <f t="shared" si="16"/>
        <v>#REF!</v>
      </c>
      <c r="AN23" s="42" t="e">
        <f t="shared" si="16"/>
        <v>#REF!</v>
      </c>
      <c r="AO23" s="42" t="e">
        <f t="shared" si="16"/>
        <v>#REF!</v>
      </c>
      <c r="AP23" s="42" t="e">
        <f t="shared" si="16"/>
        <v>#REF!</v>
      </c>
      <c r="AQ23" s="42" t="e">
        <f t="shared" si="17"/>
        <v>#REF!</v>
      </c>
      <c r="AR23" s="42" t="e">
        <f t="shared" si="17"/>
        <v>#REF!</v>
      </c>
      <c r="AS23" s="42" t="e">
        <f t="shared" si="17"/>
        <v>#REF!</v>
      </c>
      <c r="AT23" s="42" t="e">
        <f t="shared" si="17"/>
        <v>#REF!</v>
      </c>
      <c r="AU23" s="42" t="e">
        <f t="shared" si="17"/>
        <v>#REF!</v>
      </c>
      <c r="AV23" s="42" t="e">
        <f t="shared" si="17"/>
        <v>#REF!</v>
      </c>
      <c r="AW23" s="42" t="e">
        <f t="shared" si="17"/>
        <v>#REF!</v>
      </c>
      <c r="AX23" s="42" t="e">
        <f t="shared" si="17"/>
        <v>#REF!</v>
      </c>
      <c r="AY23" s="42" t="e">
        <f t="shared" si="17"/>
        <v>#REF!</v>
      </c>
      <c r="AZ23" s="42" t="e">
        <f t="shared" si="17"/>
        <v>#REF!</v>
      </c>
      <c r="BA23" s="42" t="e">
        <f t="shared" si="18"/>
        <v>#REF!</v>
      </c>
      <c r="BB23" s="42" t="e">
        <f t="shared" si="18"/>
        <v>#REF!</v>
      </c>
      <c r="BC23" s="42" t="e">
        <f t="shared" si="18"/>
        <v>#REF!</v>
      </c>
      <c r="BD23" s="42" t="e">
        <f t="shared" si="18"/>
        <v>#REF!</v>
      </c>
      <c r="BE23" s="42" t="e">
        <f t="shared" si="18"/>
        <v>#REF!</v>
      </c>
      <c r="BF23" s="42" t="e">
        <f t="shared" si="18"/>
        <v>#REF!</v>
      </c>
      <c r="BG23" s="42" t="e">
        <f t="shared" si="18"/>
        <v>#REF!</v>
      </c>
      <c r="BH23" s="42" t="e">
        <f t="shared" si="18"/>
        <v>#REF!</v>
      </c>
      <c r="BI23" s="42" t="e">
        <f t="shared" si="18"/>
        <v>#REF!</v>
      </c>
      <c r="BJ23" s="42" t="e">
        <f t="shared" si="18"/>
        <v>#REF!</v>
      </c>
      <c r="BK23" s="42" t="e">
        <f t="shared" si="19"/>
        <v>#REF!</v>
      </c>
      <c r="BL23" s="42" t="e">
        <f t="shared" si="19"/>
        <v>#REF!</v>
      </c>
      <c r="BM23" s="42" t="e">
        <f t="shared" si="19"/>
        <v>#REF!</v>
      </c>
      <c r="BN23" s="42" t="e">
        <f t="shared" si="19"/>
        <v>#REF!</v>
      </c>
      <c r="BO23" s="42" t="e">
        <f t="shared" si="19"/>
        <v>#REF!</v>
      </c>
      <c r="BP23" s="42" t="e">
        <f t="shared" si="19"/>
        <v>#REF!</v>
      </c>
      <c r="BQ23" s="42" t="e">
        <f t="shared" si="19"/>
        <v>#REF!</v>
      </c>
      <c r="BR23" s="42" t="e">
        <f t="shared" si="19"/>
        <v>#REF!</v>
      </c>
      <c r="BS23" s="42" t="e">
        <f t="shared" si="19"/>
        <v>#REF!</v>
      </c>
      <c r="BT23" s="42" t="e">
        <f t="shared" si="19"/>
        <v>#REF!</v>
      </c>
    </row>
    <row r="24" spans="2:72">
      <c r="B24" s="40"/>
      <c r="C24" s="40"/>
      <c r="D24" s="21" t="s">
        <v>41</v>
      </c>
      <c r="E24" s="41">
        <v>0.01</v>
      </c>
      <c r="F24" s="41"/>
      <c r="G24" s="41"/>
      <c r="H24" s="41"/>
      <c r="I24" s="41"/>
      <c r="J24" s="35"/>
      <c r="K24" s="21"/>
      <c r="L24" s="42" t="e">
        <f t="shared" si="13"/>
        <v>#REF!</v>
      </c>
      <c r="M24" s="42" t="e">
        <f t="shared" si="13"/>
        <v>#REF!</v>
      </c>
      <c r="N24" s="42" t="e">
        <f t="shared" si="14"/>
        <v>#REF!</v>
      </c>
      <c r="O24" s="42" t="e">
        <f t="shared" si="14"/>
        <v>#REF!</v>
      </c>
      <c r="P24" s="42" t="e">
        <f t="shared" si="14"/>
        <v>#REF!</v>
      </c>
      <c r="Q24" s="42" t="e">
        <f t="shared" si="14"/>
        <v>#REF!</v>
      </c>
      <c r="R24" s="42" t="e">
        <f t="shared" si="14"/>
        <v>#REF!</v>
      </c>
      <c r="S24" s="42" t="e">
        <f t="shared" si="14"/>
        <v>#REF!</v>
      </c>
      <c r="T24" s="42" t="e">
        <f t="shared" si="14"/>
        <v>#REF!</v>
      </c>
      <c r="U24" s="42" t="e">
        <f t="shared" si="14"/>
        <v>#REF!</v>
      </c>
      <c r="V24" s="42" t="e">
        <f t="shared" si="14"/>
        <v>#REF!</v>
      </c>
      <c r="W24" s="42" t="e">
        <f t="shared" si="15"/>
        <v>#REF!</v>
      </c>
      <c r="X24" s="42" t="e">
        <f t="shared" si="15"/>
        <v>#REF!</v>
      </c>
      <c r="Y24" s="42" t="e">
        <f t="shared" si="15"/>
        <v>#REF!</v>
      </c>
      <c r="Z24" s="42" t="e">
        <f t="shared" si="15"/>
        <v>#REF!</v>
      </c>
      <c r="AA24" s="42" t="e">
        <f t="shared" si="15"/>
        <v>#REF!</v>
      </c>
      <c r="AB24" s="42" t="e">
        <f t="shared" si="15"/>
        <v>#REF!</v>
      </c>
      <c r="AC24" s="42" t="e">
        <f t="shared" si="15"/>
        <v>#REF!</v>
      </c>
      <c r="AD24" s="42" t="e">
        <f t="shared" si="15"/>
        <v>#REF!</v>
      </c>
      <c r="AE24" s="42" t="e">
        <f t="shared" si="15"/>
        <v>#REF!</v>
      </c>
      <c r="AF24" s="42" t="e">
        <f t="shared" si="15"/>
        <v>#REF!</v>
      </c>
      <c r="AG24" s="42" t="e">
        <f t="shared" si="16"/>
        <v>#REF!</v>
      </c>
      <c r="AH24" s="42" t="e">
        <f t="shared" si="16"/>
        <v>#REF!</v>
      </c>
      <c r="AI24" s="42" t="e">
        <f t="shared" si="16"/>
        <v>#REF!</v>
      </c>
      <c r="AJ24" s="42" t="e">
        <f t="shared" si="16"/>
        <v>#REF!</v>
      </c>
      <c r="AK24" s="42" t="e">
        <f t="shared" si="16"/>
        <v>#REF!</v>
      </c>
      <c r="AL24" s="42" t="e">
        <f t="shared" si="16"/>
        <v>#REF!</v>
      </c>
      <c r="AM24" s="42" t="e">
        <f t="shared" si="16"/>
        <v>#REF!</v>
      </c>
      <c r="AN24" s="42" t="e">
        <f t="shared" si="16"/>
        <v>#REF!</v>
      </c>
      <c r="AO24" s="42" t="e">
        <f t="shared" si="16"/>
        <v>#REF!</v>
      </c>
      <c r="AP24" s="42" t="e">
        <f t="shared" si="16"/>
        <v>#REF!</v>
      </c>
      <c r="AQ24" s="42" t="e">
        <f t="shared" si="17"/>
        <v>#REF!</v>
      </c>
      <c r="AR24" s="42" t="e">
        <f t="shared" si="17"/>
        <v>#REF!</v>
      </c>
      <c r="AS24" s="42" t="e">
        <f t="shared" si="17"/>
        <v>#REF!</v>
      </c>
      <c r="AT24" s="42" t="e">
        <f t="shared" si="17"/>
        <v>#REF!</v>
      </c>
      <c r="AU24" s="42" t="e">
        <f t="shared" si="17"/>
        <v>#REF!</v>
      </c>
      <c r="AV24" s="42" t="e">
        <f t="shared" si="17"/>
        <v>#REF!</v>
      </c>
      <c r="AW24" s="42" t="e">
        <f t="shared" si="17"/>
        <v>#REF!</v>
      </c>
      <c r="AX24" s="42" t="e">
        <f t="shared" si="17"/>
        <v>#REF!</v>
      </c>
      <c r="AY24" s="42" t="e">
        <f t="shared" si="17"/>
        <v>#REF!</v>
      </c>
      <c r="AZ24" s="42" t="e">
        <f t="shared" si="17"/>
        <v>#REF!</v>
      </c>
      <c r="BA24" s="42" t="e">
        <f t="shared" si="18"/>
        <v>#REF!</v>
      </c>
      <c r="BB24" s="42" t="e">
        <f t="shared" si="18"/>
        <v>#REF!</v>
      </c>
      <c r="BC24" s="42" t="e">
        <f t="shared" si="18"/>
        <v>#REF!</v>
      </c>
      <c r="BD24" s="42" t="e">
        <f t="shared" si="18"/>
        <v>#REF!</v>
      </c>
      <c r="BE24" s="42" t="e">
        <f t="shared" si="18"/>
        <v>#REF!</v>
      </c>
      <c r="BF24" s="42" t="e">
        <f t="shared" si="18"/>
        <v>#REF!</v>
      </c>
      <c r="BG24" s="42" t="e">
        <f t="shared" si="18"/>
        <v>#REF!</v>
      </c>
      <c r="BH24" s="42" t="e">
        <f t="shared" si="18"/>
        <v>#REF!</v>
      </c>
      <c r="BI24" s="42" t="e">
        <f t="shared" si="18"/>
        <v>#REF!</v>
      </c>
      <c r="BJ24" s="42" t="e">
        <f t="shared" si="18"/>
        <v>#REF!</v>
      </c>
      <c r="BK24" s="42" t="e">
        <f t="shared" si="19"/>
        <v>#REF!</v>
      </c>
      <c r="BL24" s="42" t="e">
        <f t="shared" si="19"/>
        <v>#REF!</v>
      </c>
      <c r="BM24" s="42" t="e">
        <f t="shared" si="19"/>
        <v>#REF!</v>
      </c>
      <c r="BN24" s="42" t="e">
        <f t="shared" si="19"/>
        <v>#REF!</v>
      </c>
      <c r="BO24" s="42" t="e">
        <f t="shared" si="19"/>
        <v>#REF!</v>
      </c>
      <c r="BP24" s="42" t="e">
        <f t="shared" si="19"/>
        <v>#REF!</v>
      </c>
      <c r="BQ24" s="42" t="e">
        <f t="shared" si="19"/>
        <v>#REF!</v>
      </c>
      <c r="BR24" s="42" t="e">
        <f t="shared" si="19"/>
        <v>#REF!</v>
      </c>
      <c r="BS24" s="42" t="e">
        <f t="shared" si="19"/>
        <v>#REF!</v>
      </c>
      <c r="BT24" s="42" t="e">
        <f t="shared" si="19"/>
        <v>#REF!</v>
      </c>
    </row>
    <row r="25" spans="2:72">
      <c r="B25" s="21"/>
      <c r="C25" s="21"/>
      <c r="D25" s="21"/>
      <c r="E25" s="43"/>
      <c r="F25" s="43"/>
      <c r="G25" s="43"/>
      <c r="H25" s="43"/>
      <c r="I25" s="43"/>
      <c r="J25" s="44"/>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55"/>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row>
    <row r="26" spans="2:72">
      <c r="B26" s="28" t="s">
        <v>25</v>
      </c>
      <c r="C26" s="28"/>
      <c r="D26" s="29"/>
      <c r="E26" s="30"/>
      <c r="F26" s="30"/>
      <c r="G26" s="30"/>
      <c r="H26" s="30"/>
      <c r="I26" s="30"/>
      <c r="J26" s="39"/>
      <c r="K26" s="29"/>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row>
    <row r="27" spans="2:72">
      <c r="B27" s="40"/>
      <c r="C27" s="40"/>
      <c r="D27" s="21"/>
      <c r="E27" s="15"/>
      <c r="F27" s="15"/>
      <c r="G27" s="15"/>
      <c r="H27" s="15"/>
      <c r="I27" s="15"/>
      <c r="J27" s="35"/>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row>
    <row r="28" spans="2:72">
      <c r="B28" s="40"/>
      <c r="C28" s="40"/>
      <c r="D28" s="21" t="s">
        <v>135</v>
      </c>
      <c r="E28" s="41">
        <v>0</v>
      </c>
      <c r="F28" s="41">
        <v>0</v>
      </c>
      <c r="G28" s="41" t="e">
        <f>#REF!</f>
        <v>#REF!</v>
      </c>
      <c r="H28" s="41" t="e">
        <f>#REF!</f>
        <v>#REF!</v>
      </c>
      <c r="I28" s="41" t="e">
        <f>#REF!</f>
        <v>#REF!</v>
      </c>
      <c r="J28" s="41" t="e">
        <f>#REF!</f>
        <v>#REF!</v>
      </c>
      <c r="K28" s="21"/>
      <c r="L28" s="42">
        <f>M28</f>
        <v>0</v>
      </c>
      <c r="M28" s="42">
        <f>IFERROR((1+_xlfn.XLOOKUP(M$9,$E$14:$J$14,$E28:$J28))*M$6,0)</f>
        <v>0</v>
      </c>
      <c r="N28" s="42">
        <f t="shared" ref="N28:BT28" si="20">_xlfn.SINGLE(IFERROR((1+_xlfn.XLOOKUP(N$9,$E$14:$J$14,$E28:$J28))*N$6,0))</f>
        <v>0</v>
      </c>
      <c r="O28" s="42">
        <f t="shared" si="20"/>
        <v>0</v>
      </c>
      <c r="P28" s="42">
        <f t="shared" si="20"/>
        <v>0</v>
      </c>
      <c r="Q28" s="42">
        <f t="shared" si="20"/>
        <v>0</v>
      </c>
      <c r="R28" s="42">
        <f t="shared" si="20"/>
        <v>0</v>
      </c>
      <c r="S28" s="42">
        <f t="shared" si="20"/>
        <v>0</v>
      </c>
      <c r="T28" s="42">
        <f t="shared" si="20"/>
        <v>0</v>
      </c>
      <c r="U28" s="42">
        <f t="shared" si="20"/>
        <v>0</v>
      </c>
      <c r="V28" s="42">
        <f t="shared" si="20"/>
        <v>0</v>
      </c>
      <c r="W28" s="42">
        <f t="shared" si="20"/>
        <v>0</v>
      </c>
      <c r="X28" s="42">
        <f t="shared" si="20"/>
        <v>0</v>
      </c>
      <c r="Y28" s="42">
        <f t="shared" si="20"/>
        <v>0</v>
      </c>
      <c r="Z28" s="42">
        <f t="shared" si="20"/>
        <v>0</v>
      </c>
      <c r="AA28" s="42">
        <f t="shared" si="20"/>
        <v>0</v>
      </c>
      <c r="AB28" s="42">
        <f t="shared" si="20"/>
        <v>0</v>
      </c>
      <c r="AC28" s="42">
        <f t="shared" si="20"/>
        <v>0</v>
      </c>
      <c r="AD28" s="42">
        <f t="shared" si="20"/>
        <v>0</v>
      </c>
      <c r="AE28" s="42">
        <f t="shared" si="20"/>
        <v>0</v>
      </c>
      <c r="AF28" s="42">
        <f t="shared" si="20"/>
        <v>0</v>
      </c>
      <c r="AG28" s="42">
        <f t="shared" si="20"/>
        <v>0</v>
      </c>
      <c r="AH28" s="42">
        <f t="shared" si="20"/>
        <v>0</v>
      </c>
      <c r="AI28" s="42">
        <f t="shared" si="20"/>
        <v>0</v>
      </c>
      <c r="AJ28" s="42">
        <f t="shared" si="20"/>
        <v>0</v>
      </c>
      <c r="AK28" s="42">
        <f t="shared" si="20"/>
        <v>0</v>
      </c>
      <c r="AL28" s="42">
        <f t="shared" si="20"/>
        <v>0</v>
      </c>
      <c r="AM28" s="42">
        <f t="shared" si="20"/>
        <v>0</v>
      </c>
      <c r="AN28" s="42">
        <f t="shared" si="20"/>
        <v>0</v>
      </c>
      <c r="AO28" s="42">
        <f t="shared" si="20"/>
        <v>0</v>
      </c>
      <c r="AP28" s="42">
        <f t="shared" si="20"/>
        <v>0</v>
      </c>
      <c r="AQ28" s="42">
        <f t="shared" si="20"/>
        <v>0</v>
      </c>
      <c r="AR28" s="42">
        <f t="shared" si="20"/>
        <v>0</v>
      </c>
      <c r="AS28" s="42">
        <f t="shared" si="20"/>
        <v>0</v>
      </c>
      <c r="AT28" s="42">
        <f t="shared" si="20"/>
        <v>0</v>
      </c>
      <c r="AU28" s="42">
        <f t="shared" si="20"/>
        <v>0</v>
      </c>
      <c r="AV28" s="42">
        <f t="shared" si="20"/>
        <v>0</v>
      </c>
      <c r="AW28" s="42">
        <f t="shared" si="20"/>
        <v>0</v>
      </c>
      <c r="AX28" s="42">
        <f t="shared" si="20"/>
        <v>0</v>
      </c>
      <c r="AY28" s="42">
        <f t="shared" si="20"/>
        <v>0</v>
      </c>
      <c r="AZ28" s="42">
        <f t="shared" si="20"/>
        <v>0</v>
      </c>
      <c r="BA28" s="42">
        <f t="shared" si="20"/>
        <v>0</v>
      </c>
      <c r="BB28" s="42">
        <f t="shared" si="20"/>
        <v>0</v>
      </c>
      <c r="BC28" s="42">
        <f t="shared" si="20"/>
        <v>0</v>
      </c>
      <c r="BD28" s="42">
        <f t="shared" si="20"/>
        <v>0</v>
      </c>
      <c r="BE28" s="42">
        <f t="shared" si="20"/>
        <v>0</v>
      </c>
      <c r="BF28" s="42">
        <f t="shared" si="20"/>
        <v>0</v>
      </c>
      <c r="BG28" s="42">
        <f t="shared" si="20"/>
        <v>0</v>
      </c>
      <c r="BH28" s="42">
        <f t="shared" si="20"/>
        <v>0</v>
      </c>
      <c r="BI28" s="42">
        <f t="shared" si="20"/>
        <v>0</v>
      </c>
      <c r="BJ28" s="42">
        <f t="shared" si="20"/>
        <v>0</v>
      </c>
      <c r="BK28" s="42">
        <f t="shared" si="20"/>
        <v>0</v>
      </c>
      <c r="BL28" s="42">
        <f t="shared" si="20"/>
        <v>0</v>
      </c>
      <c r="BM28" s="42">
        <f t="shared" si="20"/>
        <v>0</v>
      </c>
      <c r="BN28" s="42">
        <f t="shared" si="20"/>
        <v>0</v>
      </c>
      <c r="BO28" s="42">
        <f t="shared" si="20"/>
        <v>0</v>
      </c>
      <c r="BP28" s="42">
        <f t="shared" si="20"/>
        <v>0</v>
      </c>
      <c r="BQ28" s="42">
        <f t="shared" si="20"/>
        <v>0</v>
      </c>
      <c r="BR28" s="42">
        <f t="shared" si="20"/>
        <v>0</v>
      </c>
      <c r="BS28" s="42">
        <f t="shared" si="20"/>
        <v>0</v>
      </c>
      <c r="BT28" s="42">
        <f t="shared" si="20"/>
        <v>0</v>
      </c>
    </row>
    <row r="29" spans="2:72">
      <c r="B29" s="40"/>
      <c r="C29" s="40"/>
      <c r="D29" s="21"/>
      <c r="E29" s="41"/>
      <c r="F29" s="41"/>
      <c r="G29" s="41"/>
      <c r="H29" s="41"/>
      <c r="I29" s="41"/>
      <c r="J29" s="41"/>
      <c r="K29" s="21"/>
      <c r="L29" s="42">
        <f>M29</f>
        <v>0</v>
      </c>
      <c r="M29" s="42">
        <f>M28</f>
        <v>0</v>
      </c>
      <c r="N29" s="42" t="e">
        <f>IF(M$9=N$9,M29,M29*N28)</f>
        <v>#REF!</v>
      </c>
      <c r="O29" s="42" t="e">
        <f t="shared" ref="O29:BT29" si="21">IF(N$9=O$9,N29,N29*O28)</f>
        <v>#REF!</v>
      </c>
      <c r="P29" s="42" t="e">
        <f t="shared" si="21"/>
        <v>#REF!</v>
      </c>
      <c r="Q29" s="42" t="e">
        <f t="shared" si="21"/>
        <v>#REF!</v>
      </c>
      <c r="R29" s="42" t="e">
        <f t="shared" si="21"/>
        <v>#REF!</v>
      </c>
      <c r="S29" s="42" t="e">
        <f t="shared" si="21"/>
        <v>#REF!</v>
      </c>
      <c r="T29" s="42" t="e">
        <f t="shared" si="21"/>
        <v>#REF!</v>
      </c>
      <c r="U29" s="42" t="e">
        <f t="shared" si="21"/>
        <v>#REF!</v>
      </c>
      <c r="V29" s="42" t="e">
        <f t="shared" si="21"/>
        <v>#REF!</v>
      </c>
      <c r="W29" s="42" t="e">
        <f t="shared" si="21"/>
        <v>#REF!</v>
      </c>
      <c r="X29" s="42" t="e">
        <f t="shared" si="21"/>
        <v>#REF!</v>
      </c>
      <c r="Y29" s="42" t="e">
        <f t="shared" si="21"/>
        <v>#REF!</v>
      </c>
      <c r="Z29" s="42" t="e">
        <f t="shared" si="21"/>
        <v>#REF!</v>
      </c>
      <c r="AA29" s="42" t="e">
        <f t="shared" si="21"/>
        <v>#REF!</v>
      </c>
      <c r="AB29" s="42" t="e">
        <f t="shared" si="21"/>
        <v>#REF!</v>
      </c>
      <c r="AC29" s="42" t="e">
        <f t="shared" si="21"/>
        <v>#REF!</v>
      </c>
      <c r="AD29" s="42" t="e">
        <f t="shared" si="21"/>
        <v>#REF!</v>
      </c>
      <c r="AE29" s="42" t="e">
        <f t="shared" si="21"/>
        <v>#REF!</v>
      </c>
      <c r="AF29" s="42" t="e">
        <f t="shared" si="21"/>
        <v>#REF!</v>
      </c>
      <c r="AG29" s="42" t="e">
        <f t="shared" si="21"/>
        <v>#REF!</v>
      </c>
      <c r="AH29" s="42" t="e">
        <f t="shared" si="21"/>
        <v>#REF!</v>
      </c>
      <c r="AI29" s="42" t="e">
        <f t="shared" si="21"/>
        <v>#REF!</v>
      </c>
      <c r="AJ29" s="42" t="e">
        <f t="shared" si="21"/>
        <v>#REF!</v>
      </c>
      <c r="AK29" s="42" t="e">
        <f t="shared" si="21"/>
        <v>#REF!</v>
      </c>
      <c r="AL29" s="42" t="e">
        <f t="shared" si="21"/>
        <v>#REF!</v>
      </c>
      <c r="AM29" s="42" t="e">
        <f t="shared" si="21"/>
        <v>#REF!</v>
      </c>
      <c r="AN29" s="42" t="e">
        <f t="shared" si="21"/>
        <v>#REF!</v>
      </c>
      <c r="AO29" s="42" t="e">
        <f t="shared" si="21"/>
        <v>#REF!</v>
      </c>
      <c r="AP29" s="42" t="e">
        <f t="shared" si="21"/>
        <v>#REF!</v>
      </c>
      <c r="AQ29" s="42" t="e">
        <f t="shared" si="21"/>
        <v>#REF!</v>
      </c>
      <c r="AR29" s="42" t="e">
        <f t="shared" si="21"/>
        <v>#REF!</v>
      </c>
      <c r="AS29" s="42" t="e">
        <f t="shared" si="21"/>
        <v>#REF!</v>
      </c>
      <c r="AT29" s="42" t="e">
        <f t="shared" si="21"/>
        <v>#REF!</v>
      </c>
      <c r="AU29" s="42" t="e">
        <f t="shared" si="21"/>
        <v>#REF!</v>
      </c>
      <c r="AV29" s="42" t="e">
        <f t="shared" si="21"/>
        <v>#REF!</v>
      </c>
      <c r="AW29" s="42" t="e">
        <f t="shared" si="21"/>
        <v>#REF!</v>
      </c>
      <c r="AX29" s="42" t="e">
        <f t="shared" si="21"/>
        <v>#REF!</v>
      </c>
      <c r="AY29" s="42" t="e">
        <f t="shared" si="21"/>
        <v>#REF!</v>
      </c>
      <c r="AZ29" s="42" t="e">
        <f t="shared" si="21"/>
        <v>#REF!</v>
      </c>
      <c r="BA29" s="42" t="e">
        <f t="shared" si="21"/>
        <v>#REF!</v>
      </c>
      <c r="BB29" s="42" t="e">
        <f t="shared" si="21"/>
        <v>#REF!</v>
      </c>
      <c r="BC29" s="42" t="e">
        <f t="shared" si="21"/>
        <v>#REF!</v>
      </c>
      <c r="BD29" s="42" t="e">
        <f t="shared" si="21"/>
        <v>#REF!</v>
      </c>
      <c r="BE29" s="42" t="e">
        <f t="shared" si="21"/>
        <v>#REF!</v>
      </c>
      <c r="BF29" s="42" t="e">
        <f t="shared" si="21"/>
        <v>#REF!</v>
      </c>
      <c r="BG29" s="42" t="e">
        <f t="shared" si="21"/>
        <v>#REF!</v>
      </c>
      <c r="BH29" s="42" t="e">
        <f t="shared" si="21"/>
        <v>#REF!</v>
      </c>
      <c r="BI29" s="42" t="e">
        <f t="shared" si="21"/>
        <v>#REF!</v>
      </c>
      <c r="BJ29" s="42" t="e">
        <f t="shared" si="21"/>
        <v>#REF!</v>
      </c>
      <c r="BK29" s="42" t="e">
        <f t="shared" si="21"/>
        <v>#REF!</v>
      </c>
      <c r="BL29" s="42" t="e">
        <f t="shared" si="21"/>
        <v>#REF!</v>
      </c>
      <c r="BM29" s="42" t="e">
        <f t="shared" si="21"/>
        <v>#REF!</v>
      </c>
      <c r="BN29" s="42" t="e">
        <f t="shared" si="21"/>
        <v>#REF!</v>
      </c>
      <c r="BO29" s="42" t="e">
        <f t="shared" si="21"/>
        <v>#REF!</v>
      </c>
      <c r="BP29" s="42" t="e">
        <f t="shared" si="21"/>
        <v>#REF!</v>
      </c>
      <c r="BQ29" s="42" t="e">
        <f t="shared" si="21"/>
        <v>#REF!</v>
      </c>
      <c r="BR29" s="42" t="e">
        <f t="shared" si="21"/>
        <v>#REF!</v>
      </c>
      <c r="BS29" s="42" t="e">
        <f t="shared" si="21"/>
        <v>#REF!</v>
      </c>
      <c r="BT29" s="42" t="e">
        <f t="shared" si="21"/>
        <v>#REF!</v>
      </c>
    </row>
    <row r="30" spans="2:72">
      <c r="B30" s="21"/>
      <c r="C30" s="21"/>
      <c r="D30" s="21"/>
      <c r="E30" s="43"/>
      <c r="F30" s="43"/>
      <c r="G30" s="43"/>
      <c r="H30" s="43"/>
      <c r="I30" s="43"/>
      <c r="J30" s="44"/>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row>
    <row r="31" spans="2:72">
      <c r="B31" s="28" t="s">
        <v>28</v>
      </c>
      <c r="C31" s="28"/>
      <c r="D31" s="29"/>
      <c r="E31" s="30"/>
      <c r="F31" s="30"/>
      <c r="G31" s="30"/>
      <c r="H31" s="30"/>
      <c r="I31" s="30"/>
      <c r="J31" s="39"/>
      <c r="K31" s="29"/>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row>
    <row r="33" spans="4:72">
      <c r="D33" s="21" t="s">
        <v>139</v>
      </c>
      <c r="E33" s="142"/>
      <c r="F33" s="142" t="e">
        <f>#REF!</f>
        <v>#REF!</v>
      </c>
      <c r="G33" s="142" t="e">
        <f>#REF!</f>
        <v>#REF!</v>
      </c>
      <c r="H33" s="142" t="e">
        <f>#REF!</f>
        <v>#REF!</v>
      </c>
      <c r="I33" s="142" t="e">
        <f>#REF!</f>
        <v>#REF!</v>
      </c>
      <c r="J33" s="142" t="e">
        <f>#REF!</f>
        <v>#REF!</v>
      </c>
      <c r="K33" s="21"/>
      <c r="L33" s="21"/>
      <c r="M33" s="143">
        <f>IFERROR(_xlfn.XLOOKUP(M$9,$E$14:$J$14,$E33:$J33)*M$6,0)</f>
        <v>0</v>
      </c>
      <c r="N33" s="143">
        <f t="shared" ref="N33:BT34" si="22">_xlfn.SINGLE(IFERROR(_xlfn.XLOOKUP(N$9,$E$14:$J$14,$E33:$J33)*N$6,0))</f>
        <v>0</v>
      </c>
      <c r="O33" s="143">
        <f t="shared" si="22"/>
        <v>0</v>
      </c>
      <c r="P33" s="143">
        <f t="shared" si="22"/>
        <v>0</v>
      </c>
      <c r="Q33" s="143">
        <f t="shared" si="22"/>
        <v>0</v>
      </c>
      <c r="R33" s="143">
        <f t="shared" si="22"/>
        <v>0</v>
      </c>
      <c r="S33" s="143">
        <f t="shared" si="22"/>
        <v>0</v>
      </c>
      <c r="T33" s="143">
        <f t="shared" si="22"/>
        <v>0</v>
      </c>
      <c r="U33" s="143">
        <f t="shared" si="22"/>
        <v>0</v>
      </c>
      <c r="V33" s="143">
        <f t="shared" si="22"/>
        <v>0</v>
      </c>
      <c r="W33" s="143">
        <f t="shared" si="22"/>
        <v>0</v>
      </c>
      <c r="X33" s="143">
        <f t="shared" si="22"/>
        <v>0</v>
      </c>
      <c r="Y33" s="143">
        <f t="shared" si="22"/>
        <v>0</v>
      </c>
      <c r="Z33" s="143">
        <f t="shared" si="22"/>
        <v>0</v>
      </c>
      <c r="AA33" s="143">
        <f t="shared" si="22"/>
        <v>0</v>
      </c>
      <c r="AB33" s="143">
        <f t="shared" si="22"/>
        <v>0</v>
      </c>
      <c r="AC33" s="143">
        <f t="shared" si="22"/>
        <v>0</v>
      </c>
      <c r="AD33" s="143">
        <f t="shared" si="22"/>
        <v>0</v>
      </c>
      <c r="AE33" s="143">
        <f t="shared" si="22"/>
        <v>0</v>
      </c>
      <c r="AF33" s="143">
        <f t="shared" si="22"/>
        <v>0</v>
      </c>
      <c r="AG33" s="143">
        <f t="shared" si="22"/>
        <v>0</v>
      </c>
      <c r="AH33" s="143">
        <f t="shared" si="22"/>
        <v>0</v>
      </c>
      <c r="AI33" s="143">
        <f t="shared" si="22"/>
        <v>0</v>
      </c>
      <c r="AJ33" s="143">
        <f t="shared" si="22"/>
        <v>0</v>
      </c>
      <c r="AK33" s="143">
        <f t="shared" si="22"/>
        <v>0</v>
      </c>
      <c r="AL33" s="143">
        <f t="shared" si="22"/>
        <v>0</v>
      </c>
      <c r="AM33" s="143">
        <f t="shared" si="22"/>
        <v>0</v>
      </c>
      <c r="AN33" s="143">
        <f t="shared" si="22"/>
        <v>0</v>
      </c>
      <c r="AO33" s="143">
        <f t="shared" si="22"/>
        <v>0</v>
      </c>
      <c r="AP33" s="143">
        <f t="shared" si="22"/>
        <v>0</v>
      </c>
      <c r="AQ33" s="143">
        <f t="shared" si="22"/>
        <v>0</v>
      </c>
      <c r="AR33" s="143">
        <f t="shared" si="22"/>
        <v>0</v>
      </c>
      <c r="AS33" s="143">
        <f t="shared" si="22"/>
        <v>0</v>
      </c>
      <c r="AT33" s="143">
        <f t="shared" si="22"/>
        <v>0</v>
      </c>
      <c r="AU33" s="143">
        <f t="shared" si="22"/>
        <v>0</v>
      </c>
      <c r="AV33" s="143">
        <f t="shared" si="22"/>
        <v>0</v>
      </c>
      <c r="AW33" s="143">
        <f t="shared" si="22"/>
        <v>0</v>
      </c>
      <c r="AX33" s="143">
        <f t="shared" si="22"/>
        <v>0</v>
      </c>
      <c r="AY33" s="143">
        <f t="shared" si="22"/>
        <v>0</v>
      </c>
      <c r="AZ33" s="143">
        <f t="shared" si="22"/>
        <v>0</v>
      </c>
      <c r="BA33" s="143">
        <f t="shared" si="22"/>
        <v>0</v>
      </c>
      <c r="BB33" s="143">
        <f t="shared" si="22"/>
        <v>0</v>
      </c>
      <c r="BC33" s="143">
        <f t="shared" si="22"/>
        <v>0</v>
      </c>
      <c r="BD33" s="143">
        <f t="shared" si="22"/>
        <v>0</v>
      </c>
      <c r="BE33" s="143">
        <f t="shared" si="22"/>
        <v>0</v>
      </c>
      <c r="BF33" s="143">
        <f t="shared" si="22"/>
        <v>0</v>
      </c>
      <c r="BG33" s="143">
        <f t="shared" si="22"/>
        <v>0</v>
      </c>
      <c r="BH33" s="143">
        <f t="shared" si="22"/>
        <v>0</v>
      </c>
      <c r="BI33" s="143">
        <f t="shared" si="22"/>
        <v>0</v>
      </c>
      <c r="BJ33" s="143">
        <f t="shared" si="22"/>
        <v>0</v>
      </c>
      <c r="BK33" s="143">
        <f t="shared" si="22"/>
        <v>0</v>
      </c>
      <c r="BL33" s="143">
        <f t="shared" si="22"/>
        <v>0</v>
      </c>
      <c r="BM33" s="143">
        <f t="shared" si="22"/>
        <v>0</v>
      </c>
      <c r="BN33" s="143">
        <f t="shared" si="22"/>
        <v>0</v>
      </c>
      <c r="BO33" s="143">
        <f t="shared" si="22"/>
        <v>0</v>
      </c>
      <c r="BP33" s="143">
        <f t="shared" si="22"/>
        <v>0</v>
      </c>
      <c r="BQ33" s="143">
        <f t="shared" si="22"/>
        <v>0</v>
      </c>
      <c r="BR33" s="143">
        <f t="shared" si="22"/>
        <v>0</v>
      </c>
      <c r="BS33" s="143">
        <f t="shared" si="22"/>
        <v>0</v>
      </c>
      <c r="BT33" s="143">
        <f t="shared" si="22"/>
        <v>0</v>
      </c>
    </row>
    <row r="34" spans="4:72">
      <c r="D34" s="21" t="s">
        <v>140</v>
      </c>
      <c r="E34" s="142"/>
      <c r="F34" s="142" t="e">
        <f>#REF!</f>
        <v>#REF!</v>
      </c>
      <c r="G34" s="142" t="e">
        <f>F34</f>
        <v>#REF!</v>
      </c>
      <c r="H34" s="142" t="e">
        <f>G34</f>
        <v>#REF!</v>
      </c>
      <c r="I34" s="142" t="e">
        <f>H34</f>
        <v>#REF!</v>
      </c>
      <c r="J34" s="142" t="e">
        <f>I34</f>
        <v>#REF!</v>
      </c>
      <c r="K34" s="21"/>
      <c r="L34" s="21"/>
      <c r="M34" s="143">
        <f>IFERROR(_xlfn.XLOOKUP(M$9,$E$14:$J$14,$E34:$J34)*M$6,0)</f>
        <v>0</v>
      </c>
      <c r="N34" s="143">
        <f t="shared" si="22"/>
        <v>0</v>
      </c>
      <c r="O34" s="143">
        <f t="shared" si="22"/>
        <v>0</v>
      </c>
      <c r="P34" s="143">
        <f t="shared" si="22"/>
        <v>0</v>
      </c>
      <c r="Q34" s="143">
        <f t="shared" si="22"/>
        <v>0</v>
      </c>
      <c r="R34" s="143">
        <f t="shared" si="22"/>
        <v>0</v>
      </c>
      <c r="S34" s="143">
        <f t="shared" si="22"/>
        <v>0</v>
      </c>
      <c r="T34" s="143">
        <f t="shared" si="22"/>
        <v>0</v>
      </c>
      <c r="U34" s="143">
        <f t="shared" si="22"/>
        <v>0</v>
      </c>
      <c r="V34" s="143">
        <f t="shared" si="22"/>
        <v>0</v>
      </c>
      <c r="W34" s="143">
        <f t="shared" si="22"/>
        <v>0</v>
      </c>
      <c r="X34" s="143">
        <f t="shared" si="22"/>
        <v>0</v>
      </c>
      <c r="Y34" s="143">
        <f t="shared" si="22"/>
        <v>0</v>
      </c>
      <c r="Z34" s="143">
        <f t="shared" si="22"/>
        <v>0</v>
      </c>
      <c r="AA34" s="143">
        <f t="shared" si="22"/>
        <v>0</v>
      </c>
      <c r="AB34" s="143">
        <f t="shared" si="22"/>
        <v>0</v>
      </c>
      <c r="AC34" s="143">
        <f t="shared" si="22"/>
        <v>0</v>
      </c>
      <c r="AD34" s="143">
        <f t="shared" si="22"/>
        <v>0</v>
      </c>
      <c r="AE34" s="143">
        <f t="shared" si="22"/>
        <v>0</v>
      </c>
      <c r="AF34" s="143">
        <f t="shared" si="22"/>
        <v>0</v>
      </c>
      <c r="AG34" s="143">
        <f t="shared" si="22"/>
        <v>0</v>
      </c>
      <c r="AH34" s="143">
        <f t="shared" si="22"/>
        <v>0</v>
      </c>
      <c r="AI34" s="143">
        <f t="shared" si="22"/>
        <v>0</v>
      </c>
      <c r="AJ34" s="143">
        <f t="shared" si="22"/>
        <v>0</v>
      </c>
      <c r="AK34" s="143">
        <f t="shared" si="22"/>
        <v>0</v>
      </c>
      <c r="AL34" s="143">
        <f t="shared" si="22"/>
        <v>0</v>
      </c>
      <c r="AM34" s="143">
        <f t="shared" si="22"/>
        <v>0</v>
      </c>
      <c r="AN34" s="143">
        <f t="shared" si="22"/>
        <v>0</v>
      </c>
      <c r="AO34" s="143">
        <f t="shared" si="22"/>
        <v>0</v>
      </c>
      <c r="AP34" s="143">
        <f t="shared" si="22"/>
        <v>0</v>
      </c>
      <c r="AQ34" s="143">
        <f t="shared" si="22"/>
        <v>0</v>
      </c>
      <c r="AR34" s="143">
        <f t="shared" si="22"/>
        <v>0</v>
      </c>
      <c r="AS34" s="143">
        <f t="shared" si="22"/>
        <v>0</v>
      </c>
      <c r="AT34" s="143">
        <f t="shared" si="22"/>
        <v>0</v>
      </c>
      <c r="AU34" s="143">
        <f t="shared" si="22"/>
        <v>0</v>
      </c>
      <c r="AV34" s="143">
        <f t="shared" si="22"/>
        <v>0</v>
      </c>
      <c r="AW34" s="143">
        <f t="shared" si="22"/>
        <v>0</v>
      </c>
      <c r="AX34" s="143">
        <f t="shared" si="22"/>
        <v>0</v>
      </c>
      <c r="AY34" s="143">
        <f t="shared" si="22"/>
        <v>0</v>
      </c>
      <c r="AZ34" s="143">
        <f t="shared" si="22"/>
        <v>0</v>
      </c>
      <c r="BA34" s="143">
        <f t="shared" si="22"/>
        <v>0</v>
      </c>
      <c r="BB34" s="143">
        <f t="shared" si="22"/>
        <v>0</v>
      </c>
      <c r="BC34" s="143">
        <f t="shared" si="22"/>
        <v>0</v>
      </c>
      <c r="BD34" s="143">
        <f t="shared" si="22"/>
        <v>0</v>
      </c>
      <c r="BE34" s="143">
        <f t="shared" si="22"/>
        <v>0</v>
      </c>
      <c r="BF34" s="143">
        <f t="shared" si="22"/>
        <v>0</v>
      </c>
      <c r="BG34" s="143">
        <f t="shared" si="22"/>
        <v>0</v>
      </c>
      <c r="BH34" s="143">
        <f t="shared" si="22"/>
        <v>0</v>
      </c>
      <c r="BI34" s="143">
        <f t="shared" si="22"/>
        <v>0</v>
      </c>
      <c r="BJ34" s="143">
        <f t="shared" si="22"/>
        <v>0</v>
      </c>
      <c r="BK34" s="143">
        <f t="shared" si="22"/>
        <v>0</v>
      </c>
      <c r="BL34" s="143">
        <f t="shared" si="22"/>
        <v>0</v>
      </c>
      <c r="BM34" s="143">
        <f t="shared" si="22"/>
        <v>0</v>
      </c>
      <c r="BN34" s="143">
        <f t="shared" si="22"/>
        <v>0</v>
      </c>
      <c r="BO34" s="143">
        <f t="shared" si="22"/>
        <v>0</v>
      </c>
      <c r="BP34" s="143">
        <f t="shared" si="22"/>
        <v>0</v>
      </c>
      <c r="BQ34" s="143">
        <f t="shared" si="22"/>
        <v>0</v>
      </c>
      <c r="BR34" s="143">
        <f t="shared" si="22"/>
        <v>0</v>
      </c>
      <c r="BS34" s="143">
        <f t="shared" si="22"/>
        <v>0</v>
      </c>
      <c r="BT34" s="143">
        <f t="shared" si="22"/>
        <v>0</v>
      </c>
    </row>
    <row r="35" spans="4:72">
      <c r="D35" s="21" t="s">
        <v>141</v>
      </c>
      <c r="E35" s="142"/>
      <c r="F35" s="142"/>
      <c r="G35" s="142"/>
      <c r="H35" s="142"/>
      <c r="I35" s="142"/>
      <c r="J35" s="142"/>
      <c r="K35" s="21"/>
      <c r="L35" s="21"/>
      <c r="M35" s="42" t="e">
        <f>IFERROR('Cash Flow'!J29/'Cash Flow'!E29-1,0)*M6</f>
        <v>#REF!</v>
      </c>
      <c r="N35" s="42" t="e">
        <f>IFERROR('Cash Flow'!K29/'Cash Flow'!J29-1,0)*N6</f>
        <v>#REF!</v>
      </c>
      <c r="O35" s="42" t="e">
        <f>IFERROR('Cash Flow'!L29/'Cash Flow'!K29-1,0)*O6</f>
        <v>#REF!</v>
      </c>
      <c r="P35" s="42" t="e">
        <f>IFERROR('Cash Flow'!M29/'Cash Flow'!L29-1,0)*P6</f>
        <v>#REF!</v>
      </c>
      <c r="Q35" s="42" t="e">
        <f>IFERROR('Cash Flow'!N29/'Cash Flow'!M29-1,0)*Q6</f>
        <v>#REF!</v>
      </c>
      <c r="R35" s="42" t="e">
        <f>IFERROR('Cash Flow'!O29/'Cash Flow'!N29-1,0)*R6</f>
        <v>#REF!</v>
      </c>
      <c r="S35" s="42" t="e">
        <f>IFERROR('Cash Flow'!P29/'Cash Flow'!O29-1,0)*S6</f>
        <v>#REF!</v>
      </c>
      <c r="T35" s="42" t="e">
        <f>IFERROR('Cash Flow'!Q29/'Cash Flow'!P29-1,0)*T6</f>
        <v>#REF!</v>
      </c>
      <c r="U35" s="42" t="e">
        <f>IFERROR('Cash Flow'!R29/'Cash Flow'!Q29-1,0)*U6</f>
        <v>#REF!</v>
      </c>
      <c r="V35" s="42" t="e">
        <f>IFERROR('Cash Flow'!S29/'Cash Flow'!R29-1,0)*V6</f>
        <v>#REF!</v>
      </c>
      <c r="W35" s="42" t="e">
        <f>IFERROR('Cash Flow'!T29/'Cash Flow'!S29-1,0)*W6</f>
        <v>#REF!</v>
      </c>
      <c r="X35" s="42" t="e">
        <f>IFERROR('Cash Flow'!U29/'Cash Flow'!T29-1,0)*X6</f>
        <v>#REF!</v>
      </c>
      <c r="Y35" s="42" t="e">
        <f>IFERROR('Cash Flow'!V29/'Cash Flow'!U29-1,0)*Y6</f>
        <v>#REF!</v>
      </c>
      <c r="Z35" s="42" t="e">
        <f>IFERROR('Cash Flow'!W29/'Cash Flow'!V29-1,0)*Z6</f>
        <v>#REF!</v>
      </c>
      <c r="AA35" s="42" t="e">
        <f>IFERROR('Cash Flow'!X29/'Cash Flow'!W29-1,0)*AA6</f>
        <v>#REF!</v>
      </c>
      <c r="AB35" s="42" t="e">
        <f>IFERROR('Cash Flow'!Y29/'Cash Flow'!X29-1,0)*AB6</f>
        <v>#REF!</v>
      </c>
      <c r="AC35" s="42" t="e">
        <f>IFERROR('Cash Flow'!Z29/'Cash Flow'!Y29-1,0)*AC6</f>
        <v>#REF!</v>
      </c>
      <c r="AD35" s="42" t="e">
        <f>IFERROR('Cash Flow'!AA29/'Cash Flow'!Z29-1,0)*AD6</f>
        <v>#REF!</v>
      </c>
      <c r="AE35" s="42" t="e">
        <f>IFERROR('Cash Flow'!AB29/'Cash Flow'!AA29-1,0)*AE6</f>
        <v>#REF!</v>
      </c>
      <c r="AF35" s="42" t="e">
        <f>IFERROR('Cash Flow'!AC29/'Cash Flow'!AB29-1,0)*AF6</f>
        <v>#REF!</v>
      </c>
      <c r="AG35" s="42" t="e">
        <f>IFERROR('Cash Flow'!AD29/'Cash Flow'!AC29-1,0)*AG6</f>
        <v>#REF!</v>
      </c>
      <c r="AH35" s="42" t="e">
        <f>IFERROR('Cash Flow'!AE29/'Cash Flow'!AD29-1,0)*AH6</f>
        <v>#REF!</v>
      </c>
      <c r="AI35" s="42" t="e">
        <f>IFERROR('Cash Flow'!AF29/'Cash Flow'!AE29-1,0)*AI6</f>
        <v>#REF!</v>
      </c>
      <c r="AJ35" s="42" t="e">
        <f>IFERROR('Cash Flow'!AG29/'Cash Flow'!AF29-1,0)*AJ6</f>
        <v>#REF!</v>
      </c>
      <c r="AK35" s="42" t="e">
        <f>IFERROR('Cash Flow'!AH29/'Cash Flow'!AG29-1,0)*AK6</f>
        <v>#REF!</v>
      </c>
      <c r="AL35" s="42" t="e">
        <f>IFERROR('Cash Flow'!AI29/'Cash Flow'!AH29-1,0)*AL6</f>
        <v>#REF!</v>
      </c>
      <c r="AM35" s="42" t="e">
        <f>IFERROR('Cash Flow'!AJ29/'Cash Flow'!AI29-1,0)*AM6</f>
        <v>#REF!</v>
      </c>
      <c r="AN35" s="42" t="e">
        <f>IFERROR('Cash Flow'!AK29/'Cash Flow'!AJ29-1,0)*AN6</f>
        <v>#REF!</v>
      </c>
      <c r="AO35" s="42" t="e">
        <f>IFERROR('Cash Flow'!AL29/'Cash Flow'!AK29-1,0)*AO6</f>
        <v>#REF!</v>
      </c>
      <c r="AP35" s="42" t="e">
        <f>IFERROR('Cash Flow'!AM29/'Cash Flow'!AL29-1,0)*AP6</f>
        <v>#REF!</v>
      </c>
      <c r="AQ35" s="42" t="e">
        <f>IFERROR('Cash Flow'!AN29/'Cash Flow'!AM29-1,0)*AQ6</f>
        <v>#REF!</v>
      </c>
      <c r="AR35" s="42" t="e">
        <f>IFERROR('Cash Flow'!AO29/'Cash Flow'!AN29-1,0)*AR6</f>
        <v>#REF!</v>
      </c>
      <c r="AS35" s="42" t="e">
        <f>IFERROR('Cash Flow'!AP29/'Cash Flow'!AO29-1,0)*AS6</f>
        <v>#REF!</v>
      </c>
      <c r="AT35" s="42" t="e">
        <f>IFERROR('Cash Flow'!AQ29/'Cash Flow'!AP29-1,0)*AT6</f>
        <v>#REF!</v>
      </c>
      <c r="AU35" s="42" t="e">
        <f>IFERROR('Cash Flow'!AR29/'Cash Flow'!AQ29-1,0)*AU6</f>
        <v>#REF!</v>
      </c>
      <c r="AV35" s="42" t="e">
        <f>IFERROR('Cash Flow'!AS29/'Cash Flow'!AR29-1,0)*AV6</f>
        <v>#REF!</v>
      </c>
      <c r="AW35" s="42" t="e">
        <f>IFERROR('Cash Flow'!AT29/'Cash Flow'!AS29-1,0)*AW6</f>
        <v>#REF!</v>
      </c>
      <c r="AX35" s="42" t="e">
        <f>IFERROR('Cash Flow'!AU29/'Cash Flow'!AT29-1,0)*AX6</f>
        <v>#REF!</v>
      </c>
      <c r="AY35" s="42" t="e">
        <f>IFERROR('Cash Flow'!AV29/'Cash Flow'!AU29-1,0)*AY6</f>
        <v>#REF!</v>
      </c>
      <c r="AZ35" s="42" t="e">
        <f>IFERROR('Cash Flow'!AW29/'Cash Flow'!AV29-1,0)*AZ6</f>
        <v>#REF!</v>
      </c>
      <c r="BA35" s="42" t="e">
        <f>IFERROR('Cash Flow'!AX29/'Cash Flow'!AW29-1,0)*BA6</f>
        <v>#REF!</v>
      </c>
      <c r="BB35" s="42" t="e">
        <f>IFERROR('Cash Flow'!AY29/'Cash Flow'!AX29-1,0)*BB6</f>
        <v>#REF!</v>
      </c>
      <c r="BC35" s="42" t="e">
        <f>IFERROR('Cash Flow'!AZ29/'Cash Flow'!AY29-1,0)*BC6</f>
        <v>#REF!</v>
      </c>
      <c r="BD35" s="42" t="e">
        <f>IFERROR('Cash Flow'!BA29/'Cash Flow'!AZ29-1,0)*BD6</f>
        <v>#REF!</v>
      </c>
      <c r="BE35" s="42" t="e">
        <f>IFERROR('Cash Flow'!BB29/'Cash Flow'!BA29-1,0)*BE6</f>
        <v>#REF!</v>
      </c>
      <c r="BF35" s="42" t="e">
        <f>IFERROR('Cash Flow'!BC29/'Cash Flow'!BB29-1,0)*BF6</f>
        <v>#REF!</v>
      </c>
      <c r="BG35" s="42" t="e">
        <f>IFERROR('Cash Flow'!BD29/'Cash Flow'!BC29-1,0)*BG6</f>
        <v>#REF!</v>
      </c>
      <c r="BH35" s="42" t="e">
        <f>IFERROR('Cash Flow'!BE29/'Cash Flow'!BD29-1,0)*BH6</f>
        <v>#REF!</v>
      </c>
      <c r="BI35" s="42" t="e">
        <f>IFERROR('Cash Flow'!BF29/'Cash Flow'!BE29-1,0)*BI6</f>
        <v>#REF!</v>
      </c>
      <c r="BJ35" s="42" t="e">
        <f>IFERROR('Cash Flow'!BG29/'Cash Flow'!BF29-1,0)*BJ6</f>
        <v>#REF!</v>
      </c>
      <c r="BK35" s="42" t="e">
        <f>IFERROR('Cash Flow'!BH29/'Cash Flow'!BG29-1,0)*BK6</f>
        <v>#REF!</v>
      </c>
      <c r="BL35" s="42" t="e">
        <f>IFERROR('Cash Flow'!BI29/'Cash Flow'!BH29-1,0)*BL6</f>
        <v>#REF!</v>
      </c>
      <c r="BM35" s="42" t="e">
        <f>IFERROR('Cash Flow'!BJ29/'Cash Flow'!BI29-1,0)*BM6</f>
        <v>#REF!</v>
      </c>
      <c r="BN35" s="42" t="e">
        <f>IFERROR('Cash Flow'!BK29/'Cash Flow'!BJ29-1,0)*BN6</f>
        <v>#REF!</v>
      </c>
      <c r="BO35" s="42" t="e">
        <f>IFERROR('Cash Flow'!BL29/'Cash Flow'!BK29-1,0)*BO6</f>
        <v>#REF!</v>
      </c>
      <c r="BP35" s="42" t="e">
        <f>IFERROR('Cash Flow'!BM29/'Cash Flow'!BL29-1,0)*BP6</f>
        <v>#REF!</v>
      </c>
      <c r="BQ35" s="42" t="e">
        <f>IFERROR('Cash Flow'!BN29/'Cash Flow'!BM29-1,0)*BQ6</f>
        <v>#REF!</v>
      </c>
      <c r="BR35" s="42" t="e">
        <f>IFERROR('Cash Flow'!BO29/'Cash Flow'!BN29-1,0)*BR6</f>
        <v>#REF!</v>
      </c>
      <c r="BS35" s="42" t="e">
        <f>IFERROR('Cash Flow'!BP29/'Cash Flow'!BO29-1,0)*BS6</f>
        <v>#REF!</v>
      </c>
      <c r="BT35" s="42" t="e">
        <f>IFERROR('Cash Flow'!BQ29/'Cash Flow'!BP29-1,0)*BT6</f>
        <v>#REF!</v>
      </c>
    </row>
    <row r="36" spans="4:72">
      <c r="D36" s="21" t="s">
        <v>184</v>
      </c>
      <c r="E36" s="142"/>
      <c r="F36" s="142" t="e">
        <f>#REF!</f>
        <v>#REF!</v>
      </c>
      <c r="G36" s="142" t="e">
        <f>F36</f>
        <v>#REF!</v>
      </c>
      <c r="H36" s="142" t="e">
        <f>G36</f>
        <v>#REF!</v>
      </c>
      <c r="I36" s="142" t="e">
        <f>H36</f>
        <v>#REF!</v>
      </c>
      <c r="J36" s="142" t="e">
        <f>I36</f>
        <v>#REF!</v>
      </c>
      <c r="K36" s="21"/>
      <c r="L36" s="21"/>
      <c r="M36" s="143">
        <f>IFERROR(_xlfn.XLOOKUP(M$9,$E$14:$J$14,$E36:$J36)*M$6,0)</f>
        <v>0</v>
      </c>
      <c r="N36" s="143">
        <f t="shared" ref="N36:BT36" si="23">_xlfn.SINGLE(IFERROR(_xlfn.XLOOKUP(N$9,$E$14:$J$14,$E36:$J36)*N$6,0))</f>
        <v>0</v>
      </c>
      <c r="O36" s="143">
        <f t="shared" si="23"/>
        <v>0</v>
      </c>
      <c r="P36" s="143">
        <f t="shared" si="23"/>
        <v>0</v>
      </c>
      <c r="Q36" s="143">
        <f t="shared" si="23"/>
        <v>0</v>
      </c>
      <c r="R36" s="143">
        <f t="shared" si="23"/>
        <v>0</v>
      </c>
      <c r="S36" s="143">
        <f t="shared" si="23"/>
        <v>0</v>
      </c>
      <c r="T36" s="143">
        <f t="shared" si="23"/>
        <v>0</v>
      </c>
      <c r="U36" s="143">
        <f t="shared" si="23"/>
        <v>0</v>
      </c>
      <c r="V36" s="143">
        <f t="shared" si="23"/>
        <v>0</v>
      </c>
      <c r="W36" s="143">
        <f t="shared" si="23"/>
        <v>0</v>
      </c>
      <c r="X36" s="143">
        <f t="shared" si="23"/>
        <v>0</v>
      </c>
      <c r="Y36" s="143">
        <f t="shared" si="23"/>
        <v>0</v>
      </c>
      <c r="Z36" s="143">
        <f t="shared" si="23"/>
        <v>0</v>
      </c>
      <c r="AA36" s="143">
        <f t="shared" si="23"/>
        <v>0</v>
      </c>
      <c r="AB36" s="143">
        <f t="shared" si="23"/>
        <v>0</v>
      </c>
      <c r="AC36" s="143">
        <f t="shared" si="23"/>
        <v>0</v>
      </c>
      <c r="AD36" s="143">
        <f t="shared" si="23"/>
        <v>0</v>
      </c>
      <c r="AE36" s="143">
        <f t="shared" si="23"/>
        <v>0</v>
      </c>
      <c r="AF36" s="143">
        <f t="shared" si="23"/>
        <v>0</v>
      </c>
      <c r="AG36" s="143">
        <f t="shared" si="23"/>
        <v>0</v>
      </c>
      <c r="AH36" s="143">
        <f t="shared" si="23"/>
        <v>0</v>
      </c>
      <c r="AI36" s="143">
        <f t="shared" si="23"/>
        <v>0</v>
      </c>
      <c r="AJ36" s="143">
        <f t="shared" si="23"/>
        <v>0</v>
      </c>
      <c r="AK36" s="143">
        <f t="shared" si="23"/>
        <v>0</v>
      </c>
      <c r="AL36" s="143">
        <f t="shared" si="23"/>
        <v>0</v>
      </c>
      <c r="AM36" s="143">
        <f t="shared" si="23"/>
        <v>0</v>
      </c>
      <c r="AN36" s="143">
        <f t="shared" si="23"/>
        <v>0</v>
      </c>
      <c r="AO36" s="143">
        <f t="shared" si="23"/>
        <v>0</v>
      </c>
      <c r="AP36" s="143">
        <f t="shared" si="23"/>
        <v>0</v>
      </c>
      <c r="AQ36" s="143">
        <f t="shared" si="23"/>
        <v>0</v>
      </c>
      <c r="AR36" s="143">
        <f t="shared" si="23"/>
        <v>0</v>
      </c>
      <c r="AS36" s="143">
        <f t="shared" si="23"/>
        <v>0</v>
      </c>
      <c r="AT36" s="143">
        <f t="shared" si="23"/>
        <v>0</v>
      </c>
      <c r="AU36" s="143">
        <f t="shared" si="23"/>
        <v>0</v>
      </c>
      <c r="AV36" s="143">
        <f t="shared" si="23"/>
        <v>0</v>
      </c>
      <c r="AW36" s="143">
        <f t="shared" si="23"/>
        <v>0</v>
      </c>
      <c r="AX36" s="143">
        <f t="shared" si="23"/>
        <v>0</v>
      </c>
      <c r="AY36" s="143">
        <f t="shared" si="23"/>
        <v>0</v>
      </c>
      <c r="AZ36" s="143">
        <f t="shared" si="23"/>
        <v>0</v>
      </c>
      <c r="BA36" s="143">
        <f t="shared" si="23"/>
        <v>0</v>
      </c>
      <c r="BB36" s="143">
        <f t="shared" si="23"/>
        <v>0</v>
      </c>
      <c r="BC36" s="143">
        <f t="shared" si="23"/>
        <v>0</v>
      </c>
      <c r="BD36" s="143">
        <f t="shared" si="23"/>
        <v>0</v>
      </c>
      <c r="BE36" s="143">
        <f t="shared" si="23"/>
        <v>0</v>
      </c>
      <c r="BF36" s="143">
        <f t="shared" si="23"/>
        <v>0</v>
      </c>
      <c r="BG36" s="143">
        <f t="shared" si="23"/>
        <v>0</v>
      </c>
      <c r="BH36" s="143">
        <f t="shared" si="23"/>
        <v>0</v>
      </c>
      <c r="BI36" s="143">
        <f t="shared" si="23"/>
        <v>0</v>
      </c>
      <c r="BJ36" s="143">
        <f t="shared" si="23"/>
        <v>0</v>
      </c>
      <c r="BK36" s="143">
        <f t="shared" si="23"/>
        <v>0</v>
      </c>
      <c r="BL36" s="143">
        <f t="shared" si="23"/>
        <v>0</v>
      </c>
      <c r="BM36" s="143">
        <f t="shared" si="23"/>
        <v>0</v>
      </c>
      <c r="BN36" s="143">
        <f t="shared" si="23"/>
        <v>0</v>
      </c>
      <c r="BO36" s="143">
        <f t="shared" si="23"/>
        <v>0</v>
      </c>
      <c r="BP36" s="143">
        <f t="shared" si="23"/>
        <v>0</v>
      </c>
      <c r="BQ36" s="143">
        <f t="shared" si="23"/>
        <v>0</v>
      </c>
      <c r="BR36" s="143">
        <f t="shared" si="23"/>
        <v>0</v>
      </c>
      <c r="BS36" s="143">
        <f t="shared" si="23"/>
        <v>0</v>
      </c>
      <c r="BT36" s="143">
        <f t="shared" si="23"/>
        <v>0</v>
      </c>
    </row>
  </sheetData>
  <phoneticPr fontId="9"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Q132"/>
  <sheetViews>
    <sheetView showGridLines="0" zoomScale="90" zoomScaleNormal="90" workbookViewId="0">
      <pane xSplit="8" ySplit="19" topLeftCell="I47" activePane="bottomRight" state="frozen"/>
      <selection activeCell="W18" sqref="W18"/>
      <selection pane="topRight" activeCell="W18" sqref="W18"/>
      <selection pane="bottomLeft" activeCell="W18" sqref="W18"/>
      <selection pane="bottomRight" activeCell="K43" sqref="K43"/>
    </sheetView>
  </sheetViews>
  <sheetFormatPr defaultColWidth="9.140625" defaultRowHeight="13.5" outlineLevelRow="1"/>
  <cols>
    <col min="1" max="3" width="3.5703125" style="47" customWidth="1"/>
    <col min="4" max="4" width="20" style="47" bestFit="1" customWidth="1"/>
    <col min="5" max="5" width="12.7109375" style="47" bestFit="1" customWidth="1"/>
    <col min="6" max="6" width="18.5703125" style="47" bestFit="1" customWidth="1"/>
    <col min="7" max="7" width="18.28515625" style="47" bestFit="1" customWidth="1"/>
    <col min="8" max="8" width="12.5703125" style="47" bestFit="1" customWidth="1"/>
    <col min="9" max="9" width="11.5703125" style="47" bestFit="1" customWidth="1"/>
    <col min="10" max="14" width="13.140625" style="47" customWidth="1"/>
    <col min="15" max="18" width="11.85546875" style="47" bestFit="1" customWidth="1"/>
    <col min="19" max="21" width="11.5703125" style="47" bestFit="1" customWidth="1"/>
    <col min="22" max="30" width="10.5703125" style="47" bestFit="1" customWidth="1"/>
    <col min="31" max="33" width="11.5703125" style="47" bestFit="1" customWidth="1"/>
    <col min="34" max="42" width="10.5703125" style="47" bestFit="1" customWidth="1"/>
    <col min="43" max="45" width="11.5703125" style="47" bestFit="1" customWidth="1"/>
    <col min="46" max="54" width="10.5703125" style="47" bestFit="1" customWidth="1"/>
    <col min="55" max="57" width="11.5703125" style="47" bestFit="1" customWidth="1"/>
    <col min="58" max="66" width="10.5703125" style="47" bestFit="1" customWidth="1"/>
    <col min="67" max="69" width="11.5703125" style="47" bestFit="1" customWidth="1"/>
    <col min="70" max="16384" width="9.140625" style="47"/>
  </cols>
  <sheetData>
    <row r="1" spans="1:69" s="131" customFormat="1" ht="20.25">
      <c r="A1" s="5" t="str">
        <f ca="1">REPLACE(CELL("filename",$A$1),1,FIND("]",CELL("filename",$A$1),1),"")</f>
        <v>Cash Flow</v>
      </c>
      <c r="B1" s="4"/>
      <c r="C1" s="4"/>
      <c r="D1" s="4"/>
      <c r="E1" s="4"/>
      <c r="F1" s="3"/>
      <c r="G1" s="163">
        <v>7284.0474942543087</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row>
    <row r="2" spans="1:69">
      <c r="A2" s="1"/>
      <c r="B2" s="1"/>
      <c r="C2" s="81"/>
      <c r="D2" s="81"/>
      <c r="E2" s="81"/>
      <c r="F2" s="62"/>
      <c r="G2" s="6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c r="AR2" s="82"/>
      <c r="AS2" s="82"/>
      <c r="AT2" s="82"/>
      <c r="AU2" s="82"/>
      <c r="AV2" s="82"/>
      <c r="AW2" s="82"/>
      <c r="AX2" s="82"/>
      <c r="AY2" s="82"/>
      <c r="AZ2" s="82"/>
      <c r="BA2" s="82"/>
      <c r="BB2" s="82"/>
      <c r="BC2" s="82"/>
      <c r="BD2" s="82"/>
      <c r="BE2" s="82"/>
      <c r="BF2" s="82"/>
      <c r="BG2" s="82"/>
      <c r="BH2" s="82"/>
      <c r="BI2" s="82"/>
      <c r="BJ2" s="82"/>
      <c r="BK2" s="82"/>
      <c r="BL2" s="82"/>
      <c r="BM2" s="82"/>
      <c r="BN2" s="82"/>
      <c r="BO2" s="82"/>
      <c r="BP2" s="82"/>
      <c r="BQ2" s="82"/>
    </row>
    <row r="3" spans="1:69">
      <c r="A3" s="1"/>
      <c r="B3" s="83" t="s">
        <v>30</v>
      </c>
      <c r="C3" s="83"/>
      <c r="D3" s="83"/>
      <c r="E3" s="83"/>
      <c r="F3" s="83"/>
      <c r="G3" s="83"/>
      <c r="H3" s="83"/>
      <c r="I3" s="84" t="e">
        <f>Index!L3</f>
        <v>#REF!</v>
      </c>
      <c r="J3" s="84" t="e">
        <f>Index!M3</f>
        <v>#REF!</v>
      </c>
      <c r="K3" s="84" t="e">
        <f>Index!N3</f>
        <v>#REF!</v>
      </c>
      <c r="L3" s="84" t="e">
        <f>Index!O3</f>
        <v>#REF!</v>
      </c>
      <c r="M3" s="84" t="e">
        <f>Index!P3</f>
        <v>#REF!</v>
      </c>
      <c r="N3" s="84" t="e">
        <f>Index!Q3</f>
        <v>#REF!</v>
      </c>
      <c r="O3" s="84" t="e">
        <f>Index!R3</f>
        <v>#REF!</v>
      </c>
      <c r="P3" s="84" t="e">
        <f>Index!S3</f>
        <v>#REF!</v>
      </c>
      <c r="Q3" s="84" t="e">
        <f>Index!T3</f>
        <v>#REF!</v>
      </c>
      <c r="R3" s="84" t="e">
        <f>Index!U3</f>
        <v>#REF!</v>
      </c>
      <c r="S3" s="84" t="e">
        <f>Index!V3</f>
        <v>#REF!</v>
      </c>
      <c r="T3" s="84" t="e">
        <f>Index!W3</f>
        <v>#REF!</v>
      </c>
      <c r="U3" s="84" t="e">
        <f>Index!X3</f>
        <v>#REF!</v>
      </c>
      <c r="V3" s="84" t="e">
        <f>Index!Y3</f>
        <v>#REF!</v>
      </c>
      <c r="W3" s="84" t="e">
        <f>Index!Z3</f>
        <v>#REF!</v>
      </c>
      <c r="X3" s="84" t="e">
        <f>Index!AA3</f>
        <v>#REF!</v>
      </c>
      <c r="Y3" s="84" t="e">
        <f>Index!AB3</f>
        <v>#REF!</v>
      </c>
      <c r="Z3" s="84" t="e">
        <f>Index!AC3</f>
        <v>#REF!</v>
      </c>
      <c r="AA3" s="84" t="e">
        <f>Index!AD3</f>
        <v>#REF!</v>
      </c>
      <c r="AB3" s="84" t="e">
        <f>Index!AE3</f>
        <v>#REF!</v>
      </c>
      <c r="AC3" s="84" t="e">
        <f>Index!AF3</f>
        <v>#REF!</v>
      </c>
      <c r="AD3" s="84" t="e">
        <f>Index!AG3</f>
        <v>#REF!</v>
      </c>
      <c r="AE3" s="84" t="e">
        <f>Index!AH3</f>
        <v>#REF!</v>
      </c>
      <c r="AF3" s="84" t="e">
        <f>Index!AI3</f>
        <v>#REF!</v>
      </c>
      <c r="AG3" s="84" t="e">
        <f>Index!AJ3</f>
        <v>#REF!</v>
      </c>
      <c r="AH3" s="84" t="e">
        <f>Index!AK3</f>
        <v>#REF!</v>
      </c>
      <c r="AI3" s="84" t="e">
        <f>Index!AL3</f>
        <v>#REF!</v>
      </c>
      <c r="AJ3" s="84" t="e">
        <f>Index!AM3</f>
        <v>#REF!</v>
      </c>
      <c r="AK3" s="84" t="e">
        <f>Index!AN3</f>
        <v>#REF!</v>
      </c>
      <c r="AL3" s="84" t="e">
        <f>Index!AO3</f>
        <v>#REF!</v>
      </c>
      <c r="AM3" s="84" t="e">
        <f>Index!AP3</f>
        <v>#REF!</v>
      </c>
      <c r="AN3" s="84" t="e">
        <f>Index!AQ3</f>
        <v>#REF!</v>
      </c>
      <c r="AO3" s="84" t="e">
        <f>Index!AR3</f>
        <v>#REF!</v>
      </c>
      <c r="AP3" s="84" t="e">
        <f>Index!AS3</f>
        <v>#REF!</v>
      </c>
      <c r="AQ3" s="84" t="e">
        <f>Index!AT3</f>
        <v>#REF!</v>
      </c>
      <c r="AR3" s="84" t="e">
        <f>Index!AU3</f>
        <v>#REF!</v>
      </c>
      <c r="AS3" s="84" t="e">
        <f>Index!AV3</f>
        <v>#REF!</v>
      </c>
      <c r="AT3" s="84" t="e">
        <f>Index!AW3</f>
        <v>#REF!</v>
      </c>
      <c r="AU3" s="84" t="e">
        <f>Index!AX3</f>
        <v>#REF!</v>
      </c>
      <c r="AV3" s="84" t="e">
        <f>Index!AY3</f>
        <v>#REF!</v>
      </c>
      <c r="AW3" s="84" t="e">
        <f>Index!AZ3</f>
        <v>#REF!</v>
      </c>
      <c r="AX3" s="84" t="e">
        <f>Index!BA3</f>
        <v>#REF!</v>
      </c>
      <c r="AY3" s="84" t="e">
        <f>Index!BB3</f>
        <v>#REF!</v>
      </c>
      <c r="AZ3" s="84" t="e">
        <f>Index!BC3</f>
        <v>#REF!</v>
      </c>
      <c r="BA3" s="84" t="e">
        <f>Index!BD3</f>
        <v>#REF!</v>
      </c>
      <c r="BB3" s="84" t="e">
        <f>Index!BE3</f>
        <v>#REF!</v>
      </c>
      <c r="BC3" s="84" t="e">
        <f>Index!BF3</f>
        <v>#REF!</v>
      </c>
      <c r="BD3" s="84" t="e">
        <f>Index!BG3</f>
        <v>#REF!</v>
      </c>
      <c r="BE3" s="84" t="e">
        <f>Index!BH3</f>
        <v>#REF!</v>
      </c>
      <c r="BF3" s="84" t="e">
        <f>Index!BI3</f>
        <v>#REF!</v>
      </c>
      <c r="BG3" s="84" t="e">
        <f>Index!BJ3</f>
        <v>#REF!</v>
      </c>
      <c r="BH3" s="84" t="e">
        <f>Index!BK3</f>
        <v>#REF!</v>
      </c>
      <c r="BI3" s="84" t="e">
        <f>Index!BL3</f>
        <v>#REF!</v>
      </c>
      <c r="BJ3" s="84" t="e">
        <f>Index!BM3</f>
        <v>#REF!</v>
      </c>
      <c r="BK3" s="84" t="e">
        <f>Index!BN3</f>
        <v>#REF!</v>
      </c>
      <c r="BL3" s="84" t="e">
        <f>Index!BO3</f>
        <v>#REF!</v>
      </c>
      <c r="BM3" s="84" t="e">
        <f>Index!BP3</f>
        <v>#REF!</v>
      </c>
      <c r="BN3" s="84" t="e">
        <f>Index!BQ3</f>
        <v>#REF!</v>
      </c>
      <c r="BO3" s="84" t="e">
        <f>Index!BR3</f>
        <v>#REF!</v>
      </c>
      <c r="BP3" s="84" t="e">
        <f>Index!BS3</f>
        <v>#REF!</v>
      </c>
      <c r="BQ3" s="84" t="e">
        <f>Index!BT3</f>
        <v>#REF!</v>
      </c>
    </row>
    <row r="4" spans="1:69" outlineLevel="1">
      <c r="A4" s="1"/>
      <c r="B4" s="46" t="s">
        <v>29</v>
      </c>
      <c r="C4" s="8"/>
      <c r="D4" s="9"/>
      <c r="E4" s="8"/>
      <c r="F4" s="10" t="str">
        <f>Index!D6</f>
        <v>평가대상기간 여부</v>
      </c>
      <c r="G4" s="133" t="e">
        <f>Index!E6</f>
        <v>#REF!</v>
      </c>
      <c r="H4" s="134" t="e">
        <f>Index!J6</f>
        <v>#REF!</v>
      </c>
      <c r="I4" s="7" t="e">
        <f>Index!L6</f>
        <v>#REF!</v>
      </c>
      <c r="J4" s="7" t="e">
        <f>Index!M6</f>
        <v>#REF!</v>
      </c>
      <c r="K4" s="7" t="e">
        <f>Index!N6</f>
        <v>#REF!</v>
      </c>
      <c r="L4" s="7" t="e">
        <f>Index!O6</f>
        <v>#REF!</v>
      </c>
      <c r="M4" s="7" t="e">
        <f>Index!P6</f>
        <v>#REF!</v>
      </c>
      <c r="N4" s="7" t="e">
        <f>Index!Q6</f>
        <v>#REF!</v>
      </c>
      <c r="O4" s="7" t="e">
        <f>Index!R6</f>
        <v>#REF!</v>
      </c>
      <c r="P4" s="7" t="e">
        <f>Index!S6</f>
        <v>#REF!</v>
      </c>
      <c r="Q4" s="7" t="e">
        <f>Index!T6</f>
        <v>#REF!</v>
      </c>
      <c r="R4" s="7" t="e">
        <f>Index!U6</f>
        <v>#REF!</v>
      </c>
      <c r="S4" s="7" t="e">
        <f>Index!V6</f>
        <v>#REF!</v>
      </c>
      <c r="T4" s="7" t="e">
        <f>Index!W6</f>
        <v>#REF!</v>
      </c>
      <c r="U4" s="7" t="e">
        <f>Index!X6</f>
        <v>#REF!</v>
      </c>
      <c r="V4" s="7" t="e">
        <f>Index!Y6</f>
        <v>#REF!</v>
      </c>
      <c r="W4" s="7" t="e">
        <f>Index!Z6</f>
        <v>#REF!</v>
      </c>
      <c r="X4" s="7" t="e">
        <f>Index!AA6</f>
        <v>#REF!</v>
      </c>
      <c r="Y4" s="7" t="e">
        <f>Index!AB6</f>
        <v>#REF!</v>
      </c>
      <c r="Z4" s="7" t="e">
        <f>Index!AC6</f>
        <v>#REF!</v>
      </c>
      <c r="AA4" s="7" t="e">
        <f>Index!AD6</f>
        <v>#REF!</v>
      </c>
      <c r="AB4" s="7" t="e">
        <f>Index!AE6</f>
        <v>#REF!</v>
      </c>
      <c r="AC4" s="7" t="e">
        <f>Index!AF6</f>
        <v>#REF!</v>
      </c>
      <c r="AD4" s="7" t="e">
        <f>Index!AG6</f>
        <v>#REF!</v>
      </c>
      <c r="AE4" s="7" t="e">
        <f>Index!AH6</f>
        <v>#REF!</v>
      </c>
      <c r="AF4" s="7" t="e">
        <f>Index!AI6</f>
        <v>#REF!</v>
      </c>
      <c r="AG4" s="7" t="e">
        <f>Index!AJ6</f>
        <v>#REF!</v>
      </c>
      <c r="AH4" s="7" t="e">
        <f>Index!AK6</f>
        <v>#REF!</v>
      </c>
      <c r="AI4" s="7" t="e">
        <f>Index!AL6</f>
        <v>#REF!</v>
      </c>
      <c r="AJ4" s="7" t="e">
        <f>Index!AM6</f>
        <v>#REF!</v>
      </c>
      <c r="AK4" s="7" t="e">
        <f>Index!AN6</f>
        <v>#REF!</v>
      </c>
      <c r="AL4" s="7" t="e">
        <f>Index!AO6</f>
        <v>#REF!</v>
      </c>
      <c r="AM4" s="7" t="e">
        <f>Index!AP6</f>
        <v>#REF!</v>
      </c>
      <c r="AN4" s="7" t="e">
        <f>Index!AQ6</f>
        <v>#REF!</v>
      </c>
      <c r="AO4" s="7" t="e">
        <f>Index!AR6</f>
        <v>#REF!</v>
      </c>
      <c r="AP4" s="7" t="e">
        <f>Index!AS6</f>
        <v>#REF!</v>
      </c>
      <c r="AQ4" s="7" t="e">
        <f>Index!AT6</f>
        <v>#REF!</v>
      </c>
      <c r="AR4" s="7" t="e">
        <f>Index!AU6</f>
        <v>#REF!</v>
      </c>
      <c r="AS4" s="7" t="e">
        <f>Index!AV6</f>
        <v>#REF!</v>
      </c>
      <c r="AT4" s="7" t="e">
        <f>Index!AW6</f>
        <v>#REF!</v>
      </c>
      <c r="AU4" s="7" t="e">
        <f>Index!AX6</f>
        <v>#REF!</v>
      </c>
      <c r="AV4" s="7" t="e">
        <f>Index!AY6</f>
        <v>#REF!</v>
      </c>
      <c r="AW4" s="7" t="e">
        <f>Index!AZ6</f>
        <v>#REF!</v>
      </c>
      <c r="AX4" s="7" t="e">
        <f>Index!BA6</f>
        <v>#REF!</v>
      </c>
      <c r="AY4" s="7" t="e">
        <f>Index!BB6</f>
        <v>#REF!</v>
      </c>
      <c r="AZ4" s="7" t="e">
        <f>Index!BC6</f>
        <v>#REF!</v>
      </c>
      <c r="BA4" s="7" t="e">
        <f>Index!BD6</f>
        <v>#REF!</v>
      </c>
      <c r="BB4" s="7" t="e">
        <f>Index!BE6</f>
        <v>#REF!</v>
      </c>
      <c r="BC4" s="7" t="e">
        <f>Index!BF6</f>
        <v>#REF!</v>
      </c>
      <c r="BD4" s="7" t="e">
        <f>Index!BG6</f>
        <v>#REF!</v>
      </c>
      <c r="BE4" s="7" t="e">
        <f>Index!BH6</f>
        <v>#REF!</v>
      </c>
      <c r="BF4" s="7" t="e">
        <f>Index!BI6</f>
        <v>#REF!</v>
      </c>
      <c r="BG4" s="7" t="e">
        <f>Index!BJ6</f>
        <v>#REF!</v>
      </c>
      <c r="BH4" s="7" t="e">
        <f>Index!BK6</f>
        <v>#REF!</v>
      </c>
      <c r="BI4" s="7" t="e">
        <f>Index!BL6</f>
        <v>#REF!</v>
      </c>
      <c r="BJ4" s="7" t="e">
        <f>Index!BM6</f>
        <v>#REF!</v>
      </c>
      <c r="BK4" s="7" t="e">
        <f>Index!BN6</f>
        <v>#REF!</v>
      </c>
      <c r="BL4" s="7" t="e">
        <f>Index!BO6</f>
        <v>#REF!</v>
      </c>
      <c r="BM4" s="7" t="e">
        <f>Index!BP6</f>
        <v>#REF!</v>
      </c>
      <c r="BN4" s="7" t="e">
        <f>Index!BQ6</f>
        <v>#REF!</v>
      </c>
      <c r="BO4" s="7" t="e">
        <f>Index!BR6</f>
        <v>#REF!</v>
      </c>
      <c r="BP4" s="7" t="e">
        <f>Index!BS6</f>
        <v>#REF!</v>
      </c>
      <c r="BQ4" s="7" t="e">
        <f>Index!BT6</f>
        <v>#REF!</v>
      </c>
    </row>
    <row r="5" spans="1:69" outlineLevel="1">
      <c r="A5" s="1"/>
      <c r="B5" s="46"/>
      <c r="C5" s="8"/>
      <c r="D5" s="9"/>
      <c r="E5" s="8"/>
      <c r="F5" s="10" t="str">
        <f>Index!D8</f>
        <v>평가기준일 이후 사업년도</v>
      </c>
      <c r="G5" s="133"/>
      <c r="H5" s="134"/>
      <c r="I5" s="7" t="e">
        <f>Index!L8</f>
        <v>#REF!</v>
      </c>
      <c r="J5" s="7" t="e">
        <f>Index!M8</f>
        <v>#REF!</v>
      </c>
      <c r="K5" s="7" t="e">
        <f>Index!N8</f>
        <v>#REF!</v>
      </c>
      <c r="L5" s="7" t="e">
        <f>Index!O8</f>
        <v>#REF!</v>
      </c>
      <c r="M5" s="7" t="e">
        <f>Index!P8</f>
        <v>#REF!</v>
      </c>
      <c r="N5" s="7" t="e">
        <f>Index!Q8</f>
        <v>#REF!</v>
      </c>
      <c r="O5" s="7" t="e">
        <f>Index!R8</f>
        <v>#REF!</v>
      </c>
      <c r="P5" s="7" t="e">
        <f>Index!S8</f>
        <v>#REF!</v>
      </c>
      <c r="Q5" s="7" t="e">
        <f>Index!T8</f>
        <v>#REF!</v>
      </c>
      <c r="R5" s="7" t="e">
        <f>Index!U8</f>
        <v>#REF!</v>
      </c>
      <c r="S5" s="7" t="e">
        <f>Index!V8</f>
        <v>#REF!</v>
      </c>
      <c r="T5" s="7" t="e">
        <f>Index!W8</f>
        <v>#REF!</v>
      </c>
      <c r="U5" s="7" t="e">
        <f>Index!X8</f>
        <v>#REF!</v>
      </c>
      <c r="V5" s="7" t="e">
        <f>Index!Y8</f>
        <v>#REF!</v>
      </c>
      <c r="W5" s="7" t="e">
        <f>Index!Z8</f>
        <v>#REF!</v>
      </c>
      <c r="X5" s="7" t="e">
        <f>Index!AA8</f>
        <v>#REF!</v>
      </c>
      <c r="Y5" s="7" t="e">
        <f>Index!AB8</f>
        <v>#REF!</v>
      </c>
      <c r="Z5" s="7" t="e">
        <f>Index!AC8</f>
        <v>#REF!</v>
      </c>
      <c r="AA5" s="7" t="e">
        <f>Index!AD8</f>
        <v>#REF!</v>
      </c>
      <c r="AB5" s="7" t="e">
        <f>Index!AE8</f>
        <v>#REF!</v>
      </c>
      <c r="AC5" s="7" t="e">
        <f>Index!AF8</f>
        <v>#REF!</v>
      </c>
      <c r="AD5" s="7" t="e">
        <f>Index!AG8</f>
        <v>#REF!</v>
      </c>
      <c r="AE5" s="7" t="e">
        <f>Index!AH8</f>
        <v>#REF!</v>
      </c>
      <c r="AF5" s="7" t="e">
        <f>Index!AI8</f>
        <v>#REF!</v>
      </c>
      <c r="AG5" s="7" t="e">
        <f>Index!AJ8</f>
        <v>#REF!</v>
      </c>
      <c r="AH5" s="7" t="e">
        <f>Index!AK8</f>
        <v>#REF!</v>
      </c>
      <c r="AI5" s="7" t="e">
        <f>Index!AL8</f>
        <v>#REF!</v>
      </c>
      <c r="AJ5" s="7" t="e">
        <f>Index!AM8</f>
        <v>#REF!</v>
      </c>
      <c r="AK5" s="7" t="e">
        <f>Index!AN8</f>
        <v>#REF!</v>
      </c>
      <c r="AL5" s="7" t="e">
        <f>Index!AO8</f>
        <v>#REF!</v>
      </c>
      <c r="AM5" s="7" t="e">
        <f>Index!AP8</f>
        <v>#REF!</v>
      </c>
      <c r="AN5" s="7" t="e">
        <f>Index!AQ8</f>
        <v>#REF!</v>
      </c>
      <c r="AO5" s="7" t="e">
        <f>Index!AR8</f>
        <v>#REF!</v>
      </c>
      <c r="AP5" s="7" t="e">
        <f>Index!AS8</f>
        <v>#REF!</v>
      </c>
      <c r="AQ5" s="7" t="e">
        <f>Index!AT8</f>
        <v>#REF!</v>
      </c>
      <c r="AR5" s="7" t="e">
        <f>Index!AU8</f>
        <v>#REF!</v>
      </c>
      <c r="AS5" s="7" t="e">
        <f>Index!AV8</f>
        <v>#REF!</v>
      </c>
      <c r="AT5" s="7" t="e">
        <f>Index!AW8</f>
        <v>#REF!</v>
      </c>
      <c r="AU5" s="7" t="e">
        <f>Index!AX8</f>
        <v>#REF!</v>
      </c>
      <c r="AV5" s="7" t="e">
        <f>Index!AY8</f>
        <v>#REF!</v>
      </c>
      <c r="AW5" s="7" t="e">
        <f>Index!AZ8</f>
        <v>#REF!</v>
      </c>
      <c r="AX5" s="7" t="e">
        <f>Index!BA8</f>
        <v>#REF!</v>
      </c>
      <c r="AY5" s="7" t="e">
        <f>Index!BB8</f>
        <v>#REF!</v>
      </c>
      <c r="AZ5" s="7" t="e">
        <f>Index!BC8</f>
        <v>#REF!</v>
      </c>
      <c r="BA5" s="7" t="e">
        <f>Index!BD8</f>
        <v>#REF!</v>
      </c>
      <c r="BB5" s="7" t="e">
        <f>Index!BE8</f>
        <v>#REF!</v>
      </c>
      <c r="BC5" s="7" t="e">
        <f>Index!BF8</f>
        <v>#REF!</v>
      </c>
      <c r="BD5" s="7" t="e">
        <f>Index!BG8</f>
        <v>#REF!</v>
      </c>
      <c r="BE5" s="7" t="e">
        <f>Index!BH8</f>
        <v>#REF!</v>
      </c>
      <c r="BF5" s="7" t="e">
        <f>Index!BI8</f>
        <v>#REF!</v>
      </c>
      <c r="BG5" s="7" t="e">
        <f>Index!BJ8</f>
        <v>#REF!</v>
      </c>
      <c r="BH5" s="7" t="e">
        <f>Index!BK8</f>
        <v>#REF!</v>
      </c>
      <c r="BI5" s="7" t="e">
        <f>Index!BL8</f>
        <v>#REF!</v>
      </c>
      <c r="BJ5" s="7" t="e">
        <f>Index!BM8</f>
        <v>#REF!</v>
      </c>
      <c r="BK5" s="7" t="e">
        <f>Index!BN8</f>
        <v>#REF!</v>
      </c>
      <c r="BL5" s="7" t="e">
        <f>Index!BO8</f>
        <v>#REF!</v>
      </c>
      <c r="BM5" s="7" t="e">
        <f>Index!BP8</f>
        <v>#REF!</v>
      </c>
      <c r="BN5" s="7" t="e">
        <f>Index!BQ8</f>
        <v>#REF!</v>
      </c>
      <c r="BO5" s="7" t="e">
        <f>Index!BR8</f>
        <v>#REF!</v>
      </c>
      <c r="BP5" s="7" t="e">
        <f>Index!BS8</f>
        <v>#REF!</v>
      </c>
      <c r="BQ5" s="7" t="e">
        <f>Index!BT8</f>
        <v>#REF!</v>
      </c>
    </row>
    <row r="6" spans="1:69" outlineLevel="1">
      <c r="A6" s="1"/>
      <c r="B6" s="46"/>
      <c r="C6" s="8"/>
      <c r="D6" s="9"/>
      <c r="E6" s="8"/>
      <c r="F6" s="10" t="str">
        <f>Index!D9</f>
        <v>Year</v>
      </c>
      <c r="G6" s="12"/>
      <c r="H6" s="11"/>
      <c r="I6" s="53" t="e">
        <f>Index!L9</f>
        <v>#REF!</v>
      </c>
      <c r="J6" s="53" t="e">
        <f>Index!M9</f>
        <v>#REF!</v>
      </c>
      <c r="K6" s="53" t="e">
        <f>Index!N9</f>
        <v>#REF!</v>
      </c>
      <c r="L6" s="53" t="e">
        <f>Index!O9</f>
        <v>#REF!</v>
      </c>
      <c r="M6" s="53" t="e">
        <f>Index!P9</f>
        <v>#REF!</v>
      </c>
      <c r="N6" s="53" t="e">
        <f>Index!Q9</f>
        <v>#REF!</v>
      </c>
      <c r="O6" s="53" t="e">
        <f>Index!R9</f>
        <v>#REF!</v>
      </c>
      <c r="P6" s="53" t="e">
        <f>Index!S9</f>
        <v>#REF!</v>
      </c>
      <c r="Q6" s="53" t="e">
        <f>Index!T9</f>
        <v>#REF!</v>
      </c>
      <c r="R6" s="53" t="e">
        <f>Index!U9</f>
        <v>#REF!</v>
      </c>
      <c r="S6" s="53" t="e">
        <f>Index!V9</f>
        <v>#REF!</v>
      </c>
      <c r="T6" s="53" t="e">
        <f>Index!W9</f>
        <v>#REF!</v>
      </c>
      <c r="U6" s="53" t="e">
        <f>Index!X9</f>
        <v>#REF!</v>
      </c>
      <c r="V6" s="53" t="e">
        <f>Index!Y9</f>
        <v>#REF!</v>
      </c>
      <c r="W6" s="53" t="e">
        <f>Index!Z9</f>
        <v>#REF!</v>
      </c>
      <c r="X6" s="53" t="e">
        <f>Index!AA9</f>
        <v>#REF!</v>
      </c>
      <c r="Y6" s="53" t="e">
        <f>Index!AB9</f>
        <v>#REF!</v>
      </c>
      <c r="Z6" s="53" t="e">
        <f>Index!AC9</f>
        <v>#REF!</v>
      </c>
      <c r="AA6" s="53" t="e">
        <f>Index!AD9</f>
        <v>#REF!</v>
      </c>
      <c r="AB6" s="53" t="e">
        <f>Index!AE9</f>
        <v>#REF!</v>
      </c>
      <c r="AC6" s="53" t="e">
        <f>Index!AF9</f>
        <v>#REF!</v>
      </c>
      <c r="AD6" s="53" t="e">
        <f>Index!AG9</f>
        <v>#REF!</v>
      </c>
      <c r="AE6" s="53" t="e">
        <f>Index!AH9</f>
        <v>#REF!</v>
      </c>
      <c r="AF6" s="53" t="e">
        <f>Index!AI9</f>
        <v>#REF!</v>
      </c>
      <c r="AG6" s="53" t="e">
        <f>Index!AJ9</f>
        <v>#REF!</v>
      </c>
      <c r="AH6" s="53" t="e">
        <f>Index!AK9</f>
        <v>#REF!</v>
      </c>
      <c r="AI6" s="53" t="e">
        <f>Index!AL9</f>
        <v>#REF!</v>
      </c>
      <c r="AJ6" s="53" t="e">
        <f>Index!AM9</f>
        <v>#REF!</v>
      </c>
      <c r="AK6" s="53" t="e">
        <f>Index!AN9</f>
        <v>#REF!</v>
      </c>
      <c r="AL6" s="53" t="e">
        <f>Index!AO9</f>
        <v>#REF!</v>
      </c>
      <c r="AM6" s="53" t="e">
        <f>Index!AP9</f>
        <v>#REF!</v>
      </c>
      <c r="AN6" s="53" t="e">
        <f>Index!AQ9</f>
        <v>#REF!</v>
      </c>
      <c r="AO6" s="53" t="e">
        <f>Index!AR9</f>
        <v>#REF!</v>
      </c>
      <c r="AP6" s="53" t="e">
        <f>Index!AS9</f>
        <v>#REF!</v>
      </c>
      <c r="AQ6" s="53" t="e">
        <f>Index!AT9</f>
        <v>#REF!</v>
      </c>
      <c r="AR6" s="53" t="e">
        <f>Index!AU9</f>
        <v>#REF!</v>
      </c>
      <c r="AS6" s="53" t="e">
        <f>Index!AV9</f>
        <v>#REF!</v>
      </c>
      <c r="AT6" s="53" t="e">
        <f>Index!AW9</f>
        <v>#REF!</v>
      </c>
      <c r="AU6" s="53" t="e">
        <f>Index!AX9</f>
        <v>#REF!</v>
      </c>
      <c r="AV6" s="53" t="e">
        <f>Index!AY9</f>
        <v>#REF!</v>
      </c>
      <c r="AW6" s="53" t="e">
        <f>Index!AZ9</f>
        <v>#REF!</v>
      </c>
      <c r="AX6" s="53" t="e">
        <f>Index!BA9</f>
        <v>#REF!</v>
      </c>
      <c r="AY6" s="53" t="e">
        <f>Index!BB9</f>
        <v>#REF!</v>
      </c>
      <c r="AZ6" s="53" t="e">
        <f>Index!BC9</f>
        <v>#REF!</v>
      </c>
      <c r="BA6" s="53" t="e">
        <f>Index!BD9</f>
        <v>#REF!</v>
      </c>
      <c r="BB6" s="53" t="e">
        <f>Index!BE9</f>
        <v>#REF!</v>
      </c>
      <c r="BC6" s="53" t="e">
        <f>Index!BF9</f>
        <v>#REF!</v>
      </c>
      <c r="BD6" s="53" t="e">
        <f>Index!BG9</f>
        <v>#REF!</v>
      </c>
      <c r="BE6" s="53" t="e">
        <f>Index!BH9</f>
        <v>#REF!</v>
      </c>
      <c r="BF6" s="53" t="e">
        <f>Index!BI9</f>
        <v>#REF!</v>
      </c>
      <c r="BG6" s="53" t="e">
        <f>Index!BJ9</f>
        <v>#REF!</v>
      </c>
      <c r="BH6" s="53" t="e">
        <f>Index!BK9</f>
        <v>#REF!</v>
      </c>
      <c r="BI6" s="53" t="e">
        <f>Index!BL9</f>
        <v>#REF!</v>
      </c>
      <c r="BJ6" s="53" t="e">
        <f>Index!BM9</f>
        <v>#REF!</v>
      </c>
      <c r="BK6" s="53" t="e">
        <f>Index!BN9</f>
        <v>#REF!</v>
      </c>
      <c r="BL6" s="53" t="e">
        <f>Index!BO9</f>
        <v>#REF!</v>
      </c>
      <c r="BM6" s="53" t="e">
        <f>Index!BP9</f>
        <v>#REF!</v>
      </c>
      <c r="BN6" s="53" t="e">
        <f>Index!BQ9</f>
        <v>#REF!</v>
      </c>
      <c r="BO6" s="53" t="e">
        <f>Index!BR9</f>
        <v>#REF!</v>
      </c>
      <c r="BP6" s="53" t="e">
        <f>Index!BS9</f>
        <v>#REF!</v>
      </c>
      <c r="BQ6" s="7" t="e">
        <f>Index!BT9</f>
        <v>#REF!</v>
      </c>
    </row>
    <row r="7" spans="1:69" outlineLevel="1">
      <c r="A7" s="1"/>
      <c r="B7" s="46"/>
      <c r="C7" s="8"/>
      <c r="D7" s="9"/>
      <c r="E7" s="8"/>
      <c r="F7" s="10" t="str">
        <f>Index!D10</f>
        <v>Month</v>
      </c>
      <c r="G7" s="12"/>
      <c r="H7" s="11"/>
      <c r="I7" s="7" t="e">
        <f>Index!L10</f>
        <v>#REF!</v>
      </c>
      <c r="J7" s="7" t="e">
        <f>Index!M10</f>
        <v>#REF!</v>
      </c>
      <c r="K7" s="7" t="e">
        <f>Index!N10</f>
        <v>#REF!</v>
      </c>
      <c r="L7" s="7" t="e">
        <f>Index!O10</f>
        <v>#REF!</v>
      </c>
      <c r="M7" s="7" t="e">
        <f>Index!P10</f>
        <v>#REF!</v>
      </c>
      <c r="N7" s="7" t="e">
        <f>Index!Q10</f>
        <v>#REF!</v>
      </c>
      <c r="O7" s="7" t="e">
        <f>Index!R10</f>
        <v>#REF!</v>
      </c>
      <c r="P7" s="7" t="e">
        <f>Index!S10</f>
        <v>#REF!</v>
      </c>
      <c r="Q7" s="7" t="e">
        <f>Index!T10</f>
        <v>#REF!</v>
      </c>
      <c r="R7" s="7" t="e">
        <f>Index!U10</f>
        <v>#REF!</v>
      </c>
      <c r="S7" s="7" t="e">
        <f>Index!V10</f>
        <v>#REF!</v>
      </c>
      <c r="T7" s="7" t="e">
        <f>Index!W10</f>
        <v>#REF!</v>
      </c>
      <c r="U7" s="7" t="e">
        <f>Index!X10</f>
        <v>#REF!</v>
      </c>
      <c r="V7" s="7" t="e">
        <f>Index!Y10</f>
        <v>#REF!</v>
      </c>
      <c r="W7" s="7" t="e">
        <f>Index!Z10</f>
        <v>#REF!</v>
      </c>
      <c r="X7" s="7" t="e">
        <f>Index!AA10</f>
        <v>#REF!</v>
      </c>
      <c r="Y7" s="7" t="e">
        <f>Index!AB10</f>
        <v>#REF!</v>
      </c>
      <c r="Z7" s="7" t="e">
        <f>Index!AC10</f>
        <v>#REF!</v>
      </c>
      <c r="AA7" s="7" t="e">
        <f>Index!AD10</f>
        <v>#REF!</v>
      </c>
      <c r="AB7" s="7" t="e">
        <f>Index!AE10</f>
        <v>#REF!</v>
      </c>
      <c r="AC7" s="7" t="e">
        <f>Index!AF10</f>
        <v>#REF!</v>
      </c>
      <c r="AD7" s="7" t="e">
        <f>Index!AG10</f>
        <v>#REF!</v>
      </c>
      <c r="AE7" s="7" t="e">
        <f>Index!AH10</f>
        <v>#REF!</v>
      </c>
      <c r="AF7" s="7" t="e">
        <f>Index!AI10</f>
        <v>#REF!</v>
      </c>
      <c r="AG7" s="7" t="e">
        <f>Index!AJ10</f>
        <v>#REF!</v>
      </c>
      <c r="AH7" s="7" t="e">
        <f>Index!AK10</f>
        <v>#REF!</v>
      </c>
      <c r="AI7" s="7" t="e">
        <f>Index!AL10</f>
        <v>#REF!</v>
      </c>
      <c r="AJ7" s="7" t="e">
        <f>Index!AM10</f>
        <v>#REF!</v>
      </c>
      <c r="AK7" s="7" t="e">
        <f>Index!AN10</f>
        <v>#REF!</v>
      </c>
      <c r="AL7" s="7" t="e">
        <f>Index!AO10</f>
        <v>#REF!</v>
      </c>
      <c r="AM7" s="7" t="e">
        <f>Index!AP10</f>
        <v>#REF!</v>
      </c>
      <c r="AN7" s="7" t="e">
        <f>Index!AQ10</f>
        <v>#REF!</v>
      </c>
      <c r="AO7" s="7" t="e">
        <f>Index!AR10</f>
        <v>#REF!</v>
      </c>
      <c r="AP7" s="7" t="e">
        <f>Index!AS10</f>
        <v>#REF!</v>
      </c>
      <c r="AQ7" s="7" t="e">
        <f>Index!AT10</f>
        <v>#REF!</v>
      </c>
      <c r="AR7" s="7" t="e">
        <f>Index!AU10</f>
        <v>#REF!</v>
      </c>
      <c r="AS7" s="7" t="e">
        <f>Index!AV10</f>
        <v>#REF!</v>
      </c>
      <c r="AT7" s="7" t="e">
        <f>Index!AW10</f>
        <v>#REF!</v>
      </c>
      <c r="AU7" s="7" t="e">
        <f>Index!AX10</f>
        <v>#REF!</v>
      </c>
      <c r="AV7" s="7" t="e">
        <f>Index!AY10</f>
        <v>#REF!</v>
      </c>
      <c r="AW7" s="7" t="e">
        <f>Index!AZ10</f>
        <v>#REF!</v>
      </c>
      <c r="AX7" s="7" t="e">
        <f>Index!BA10</f>
        <v>#REF!</v>
      </c>
      <c r="AY7" s="7" t="e">
        <f>Index!BB10</f>
        <v>#REF!</v>
      </c>
      <c r="AZ7" s="7" t="e">
        <f>Index!BC10</f>
        <v>#REF!</v>
      </c>
      <c r="BA7" s="7" t="e">
        <f>Index!BD10</f>
        <v>#REF!</v>
      </c>
      <c r="BB7" s="7" t="e">
        <f>Index!BE10</f>
        <v>#REF!</v>
      </c>
      <c r="BC7" s="7" t="e">
        <f>Index!BF10</f>
        <v>#REF!</v>
      </c>
      <c r="BD7" s="7" t="e">
        <f>Index!BG10</f>
        <v>#REF!</v>
      </c>
      <c r="BE7" s="7" t="e">
        <f>Index!BH10</f>
        <v>#REF!</v>
      </c>
      <c r="BF7" s="7" t="e">
        <f>Index!BI10</f>
        <v>#REF!</v>
      </c>
      <c r="BG7" s="7" t="e">
        <f>Index!BJ10</f>
        <v>#REF!</v>
      </c>
      <c r="BH7" s="7" t="e">
        <f>Index!BK10</f>
        <v>#REF!</v>
      </c>
      <c r="BI7" s="7" t="e">
        <f>Index!BL10</f>
        <v>#REF!</v>
      </c>
      <c r="BJ7" s="7" t="e">
        <f>Index!BM10</f>
        <v>#REF!</v>
      </c>
      <c r="BK7" s="7" t="e">
        <f>Index!BN10</f>
        <v>#REF!</v>
      </c>
      <c r="BL7" s="7" t="e">
        <f>Index!BO10</f>
        <v>#REF!</v>
      </c>
      <c r="BM7" s="7" t="e">
        <f>Index!BP10</f>
        <v>#REF!</v>
      </c>
      <c r="BN7" s="7" t="e">
        <f>Index!BQ10</f>
        <v>#REF!</v>
      </c>
      <c r="BO7" s="7" t="e">
        <f>Index!BR10</f>
        <v>#REF!</v>
      </c>
      <c r="BP7" s="7" t="e">
        <f>Index!BS10</f>
        <v>#REF!</v>
      </c>
      <c r="BQ7" s="7" t="e">
        <f>Index!BT10</f>
        <v>#REF!</v>
      </c>
    </row>
    <row r="8" spans="1:69" outlineLevel="1">
      <c r="A8" s="1"/>
      <c r="B8" s="46"/>
      <c r="C8" s="8"/>
      <c r="D8" s="9"/>
      <c r="E8" s="8"/>
      <c r="F8" s="10" t="str">
        <f>Index!D15</f>
        <v>명목임금 상승률</v>
      </c>
      <c r="G8" s="12" t="s">
        <v>128</v>
      </c>
      <c r="H8" s="11"/>
      <c r="I8" s="54">
        <f>Index!L16</f>
        <v>0</v>
      </c>
      <c r="J8" s="54">
        <f>Index!M16</f>
        <v>0</v>
      </c>
      <c r="K8" s="54" t="e">
        <f>Index!N16</f>
        <v>#REF!</v>
      </c>
      <c r="L8" s="54" t="e">
        <f>Index!O16</f>
        <v>#REF!</v>
      </c>
      <c r="M8" s="54" t="e">
        <f>Index!P16</f>
        <v>#REF!</v>
      </c>
      <c r="N8" s="54" t="e">
        <f>Index!Q16</f>
        <v>#REF!</v>
      </c>
      <c r="O8" s="54" t="e">
        <f>Index!R16</f>
        <v>#REF!</v>
      </c>
      <c r="P8" s="54" t="e">
        <f>Index!S16</f>
        <v>#REF!</v>
      </c>
      <c r="Q8" s="54" t="e">
        <f>Index!T16</f>
        <v>#REF!</v>
      </c>
      <c r="R8" s="54" t="e">
        <f>Index!U16</f>
        <v>#REF!</v>
      </c>
      <c r="S8" s="54" t="e">
        <f>Index!V16</f>
        <v>#REF!</v>
      </c>
      <c r="T8" s="54" t="e">
        <f>Index!W16</f>
        <v>#REF!</v>
      </c>
      <c r="U8" s="54" t="e">
        <f>Index!X16</f>
        <v>#REF!</v>
      </c>
      <c r="V8" s="54" t="e">
        <f>Index!Y16</f>
        <v>#REF!</v>
      </c>
      <c r="W8" s="54" t="e">
        <f>Index!Z16</f>
        <v>#REF!</v>
      </c>
      <c r="X8" s="54" t="e">
        <f>Index!AA16</f>
        <v>#REF!</v>
      </c>
      <c r="Y8" s="54" t="e">
        <f>Index!AB16</f>
        <v>#REF!</v>
      </c>
      <c r="Z8" s="54" t="e">
        <f>Index!AC16</f>
        <v>#REF!</v>
      </c>
      <c r="AA8" s="54" t="e">
        <f>Index!AD16</f>
        <v>#REF!</v>
      </c>
      <c r="AB8" s="54" t="e">
        <f>Index!AE16</f>
        <v>#REF!</v>
      </c>
      <c r="AC8" s="54" t="e">
        <f>Index!AF16</f>
        <v>#REF!</v>
      </c>
      <c r="AD8" s="54" t="e">
        <f>Index!AG16</f>
        <v>#REF!</v>
      </c>
      <c r="AE8" s="54" t="e">
        <f>Index!AH16</f>
        <v>#REF!</v>
      </c>
      <c r="AF8" s="54" t="e">
        <f>Index!AI16</f>
        <v>#REF!</v>
      </c>
      <c r="AG8" s="54" t="e">
        <f>Index!AJ16</f>
        <v>#REF!</v>
      </c>
      <c r="AH8" s="54" t="e">
        <f>Index!AK16</f>
        <v>#REF!</v>
      </c>
      <c r="AI8" s="54" t="e">
        <f>Index!AL16</f>
        <v>#REF!</v>
      </c>
      <c r="AJ8" s="54" t="e">
        <f>Index!AM16</f>
        <v>#REF!</v>
      </c>
      <c r="AK8" s="54" t="e">
        <f>Index!AN16</f>
        <v>#REF!</v>
      </c>
      <c r="AL8" s="54" t="e">
        <f>Index!AO16</f>
        <v>#REF!</v>
      </c>
      <c r="AM8" s="54" t="e">
        <f>Index!AP16</f>
        <v>#REF!</v>
      </c>
      <c r="AN8" s="54" t="e">
        <f>Index!AQ16</f>
        <v>#REF!</v>
      </c>
      <c r="AO8" s="54" t="e">
        <f>Index!AR16</f>
        <v>#REF!</v>
      </c>
      <c r="AP8" s="54" t="e">
        <f>Index!AS16</f>
        <v>#REF!</v>
      </c>
      <c r="AQ8" s="54" t="e">
        <f>Index!AT16</f>
        <v>#REF!</v>
      </c>
      <c r="AR8" s="54" t="e">
        <f>Index!AU16</f>
        <v>#REF!</v>
      </c>
      <c r="AS8" s="54" t="e">
        <f>Index!AV16</f>
        <v>#REF!</v>
      </c>
      <c r="AT8" s="54" t="e">
        <f>Index!AW16</f>
        <v>#REF!</v>
      </c>
      <c r="AU8" s="54" t="e">
        <f>Index!AX16</f>
        <v>#REF!</v>
      </c>
      <c r="AV8" s="54" t="e">
        <f>Index!AY16</f>
        <v>#REF!</v>
      </c>
      <c r="AW8" s="54" t="e">
        <f>Index!AZ16</f>
        <v>#REF!</v>
      </c>
      <c r="AX8" s="54" t="e">
        <f>Index!BA16</f>
        <v>#REF!</v>
      </c>
      <c r="AY8" s="54" t="e">
        <f>Index!BB16</f>
        <v>#REF!</v>
      </c>
      <c r="AZ8" s="54" t="e">
        <f>Index!BC16</f>
        <v>#REF!</v>
      </c>
      <c r="BA8" s="54" t="e">
        <f>Index!BD16</f>
        <v>#REF!</v>
      </c>
      <c r="BB8" s="54" t="e">
        <f>Index!BE16</f>
        <v>#REF!</v>
      </c>
      <c r="BC8" s="54" t="e">
        <f>Index!BF16</f>
        <v>#REF!</v>
      </c>
      <c r="BD8" s="54" t="e">
        <f>Index!BG16</f>
        <v>#REF!</v>
      </c>
      <c r="BE8" s="54" t="e">
        <f>Index!BH16</f>
        <v>#REF!</v>
      </c>
      <c r="BF8" s="54" t="e">
        <f>Index!BI16</f>
        <v>#REF!</v>
      </c>
      <c r="BG8" s="54" t="e">
        <f>Index!BJ16</f>
        <v>#REF!</v>
      </c>
      <c r="BH8" s="54" t="e">
        <f>Index!BK16</f>
        <v>#REF!</v>
      </c>
      <c r="BI8" s="54" t="e">
        <f>Index!BL16</f>
        <v>#REF!</v>
      </c>
      <c r="BJ8" s="54" t="e">
        <f>Index!BM16</f>
        <v>#REF!</v>
      </c>
      <c r="BK8" s="54" t="e">
        <f>Index!BN16</f>
        <v>#REF!</v>
      </c>
      <c r="BL8" s="54" t="e">
        <f>Index!BO16</f>
        <v>#REF!</v>
      </c>
      <c r="BM8" s="54" t="e">
        <f>Index!BP16</f>
        <v>#REF!</v>
      </c>
      <c r="BN8" s="54" t="e">
        <f>Index!BQ16</f>
        <v>#REF!</v>
      </c>
      <c r="BO8" s="54" t="e">
        <f>Index!BR16</f>
        <v>#REF!</v>
      </c>
      <c r="BP8" s="54" t="e">
        <f>Index!BS16</f>
        <v>#REF!</v>
      </c>
      <c r="BQ8" s="54" t="e">
        <f>Index!BT16</f>
        <v>#REF!</v>
      </c>
    </row>
    <row r="9" spans="1:69" outlineLevel="1">
      <c r="A9" s="1"/>
      <c r="B9" s="46"/>
      <c r="C9" s="8"/>
      <c r="D9" s="9"/>
      <c r="E9" s="8"/>
      <c r="F9" s="10" t="str">
        <f>Index!D17</f>
        <v>소비자물가상승률</v>
      </c>
      <c r="G9" s="12" t="s">
        <v>128</v>
      </c>
      <c r="H9" s="11"/>
      <c r="I9" s="54">
        <f>Index!L18</f>
        <v>0</v>
      </c>
      <c r="J9" s="54">
        <f>Index!M18</f>
        <v>0</v>
      </c>
      <c r="K9" s="54" t="e">
        <f>Index!N18</f>
        <v>#REF!</v>
      </c>
      <c r="L9" s="54" t="e">
        <f>Index!O18</f>
        <v>#REF!</v>
      </c>
      <c r="M9" s="54" t="e">
        <f>Index!P18</f>
        <v>#REF!</v>
      </c>
      <c r="N9" s="54" t="e">
        <f>Index!Q18</f>
        <v>#REF!</v>
      </c>
      <c r="O9" s="54" t="e">
        <f>Index!R18</f>
        <v>#REF!</v>
      </c>
      <c r="P9" s="54" t="e">
        <f>Index!S18</f>
        <v>#REF!</v>
      </c>
      <c r="Q9" s="54" t="e">
        <f>Index!T18</f>
        <v>#REF!</v>
      </c>
      <c r="R9" s="54" t="e">
        <f>Index!U18</f>
        <v>#REF!</v>
      </c>
      <c r="S9" s="54" t="e">
        <f>Index!V18</f>
        <v>#REF!</v>
      </c>
      <c r="T9" s="54" t="e">
        <f>Index!W18</f>
        <v>#REF!</v>
      </c>
      <c r="U9" s="54" t="e">
        <f>Index!X18</f>
        <v>#REF!</v>
      </c>
      <c r="V9" s="54" t="e">
        <f>Index!Y18</f>
        <v>#REF!</v>
      </c>
      <c r="W9" s="54" t="e">
        <f>Index!Z18</f>
        <v>#REF!</v>
      </c>
      <c r="X9" s="54" t="e">
        <f>Index!AA18</f>
        <v>#REF!</v>
      </c>
      <c r="Y9" s="54" t="e">
        <f>Index!AB18</f>
        <v>#REF!</v>
      </c>
      <c r="Z9" s="54" t="e">
        <f>Index!AC18</f>
        <v>#REF!</v>
      </c>
      <c r="AA9" s="54" t="e">
        <f>Index!AD18</f>
        <v>#REF!</v>
      </c>
      <c r="AB9" s="54" t="e">
        <f>Index!AE18</f>
        <v>#REF!</v>
      </c>
      <c r="AC9" s="54" t="e">
        <f>Index!AF18</f>
        <v>#REF!</v>
      </c>
      <c r="AD9" s="54" t="e">
        <f>Index!AG18</f>
        <v>#REF!</v>
      </c>
      <c r="AE9" s="54" t="e">
        <f>Index!AH18</f>
        <v>#REF!</v>
      </c>
      <c r="AF9" s="54" t="e">
        <f>Index!AI18</f>
        <v>#REF!</v>
      </c>
      <c r="AG9" s="54" t="e">
        <f>Index!AJ18</f>
        <v>#REF!</v>
      </c>
      <c r="AH9" s="54" t="e">
        <f>Index!AK18</f>
        <v>#REF!</v>
      </c>
      <c r="AI9" s="54" t="e">
        <f>Index!AL18</f>
        <v>#REF!</v>
      </c>
      <c r="AJ9" s="54" t="e">
        <f>Index!AM18</f>
        <v>#REF!</v>
      </c>
      <c r="AK9" s="54" t="e">
        <f>Index!AN18</f>
        <v>#REF!</v>
      </c>
      <c r="AL9" s="54" t="e">
        <f>Index!AO18</f>
        <v>#REF!</v>
      </c>
      <c r="AM9" s="54" t="e">
        <f>Index!AP18</f>
        <v>#REF!</v>
      </c>
      <c r="AN9" s="54" t="e">
        <f>Index!AQ18</f>
        <v>#REF!</v>
      </c>
      <c r="AO9" s="54" t="e">
        <f>Index!AR18</f>
        <v>#REF!</v>
      </c>
      <c r="AP9" s="54" t="e">
        <f>Index!AS18</f>
        <v>#REF!</v>
      </c>
      <c r="AQ9" s="54" t="e">
        <f>Index!AT18</f>
        <v>#REF!</v>
      </c>
      <c r="AR9" s="54" t="e">
        <f>Index!AU18</f>
        <v>#REF!</v>
      </c>
      <c r="AS9" s="54" t="e">
        <f>Index!AV18</f>
        <v>#REF!</v>
      </c>
      <c r="AT9" s="54" t="e">
        <f>Index!AW18</f>
        <v>#REF!</v>
      </c>
      <c r="AU9" s="54" t="e">
        <f>Index!AX18</f>
        <v>#REF!</v>
      </c>
      <c r="AV9" s="54" t="e">
        <f>Index!AY18</f>
        <v>#REF!</v>
      </c>
      <c r="AW9" s="54" t="e">
        <f>Index!AZ18</f>
        <v>#REF!</v>
      </c>
      <c r="AX9" s="54" t="e">
        <f>Index!BA18</f>
        <v>#REF!</v>
      </c>
      <c r="AY9" s="54" t="e">
        <f>Index!BB18</f>
        <v>#REF!</v>
      </c>
      <c r="AZ9" s="54" t="e">
        <f>Index!BC18</f>
        <v>#REF!</v>
      </c>
      <c r="BA9" s="54" t="e">
        <f>Index!BD18</f>
        <v>#REF!</v>
      </c>
      <c r="BB9" s="54" t="e">
        <f>Index!BE18</f>
        <v>#REF!</v>
      </c>
      <c r="BC9" s="54" t="e">
        <f>Index!BF18</f>
        <v>#REF!</v>
      </c>
      <c r="BD9" s="54" t="e">
        <f>Index!BG18</f>
        <v>#REF!</v>
      </c>
      <c r="BE9" s="54" t="e">
        <f>Index!BH18</f>
        <v>#REF!</v>
      </c>
      <c r="BF9" s="54" t="e">
        <f>Index!BI18</f>
        <v>#REF!</v>
      </c>
      <c r="BG9" s="54" t="e">
        <f>Index!BJ18</f>
        <v>#REF!</v>
      </c>
      <c r="BH9" s="54" t="e">
        <f>Index!BK18</f>
        <v>#REF!</v>
      </c>
      <c r="BI9" s="54" t="e">
        <f>Index!BL18</f>
        <v>#REF!</v>
      </c>
      <c r="BJ9" s="54" t="e">
        <f>Index!BM18</f>
        <v>#REF!</v>
      </c>
      <c r="BK9" s="54" t="e">
        <f>Index!BN18</f>
        <v>#REF!</v>
      </c>
      <c r="BL9" s="54" t="e">
        <f>Index!BO18</f>
        <v>#REF!</v>
      </c>
      <c r="BM9" s="54" t="e">
        <f>Index!BP18</f>
        <v>#REF!</v>
      </c>
      <c r="BN9" s="54" t="e">
        <f>Index!BQ18</f>
        <v>#REF!</v>
      </c>
      <c r="BO9" s="54" t="e">
        <f>Index!BR18</f>
        <v>#REF!</v>
      </c>
      <c r="BP9" s="54" t="e">
        <f>Index!BS18</f>
        <v>#REF!</v>
      </c>
      <c r="BQ9" s="54" t="e">
        <f>Index!BT18</f>
        <v>#REF!</v>
      </c>
    </row>
    <row r="10" spans="1:69" outlineLevel="1">
      <c r="A10" s="1"/>
      <c r="B10" s="46"/>
      <c r="C10" s="8"/>
      <c r="D10" s="141"/>
      <c r="E10" s="8"/>
      <c r="F10" s="10" t="str">
        <f>Index!D28</f>
        <v>판매량 증가율</v>
      </c>
      <c r="G10" s="12" t="s">
        <v>136</v>
      </c>
      <c r="H10" s="11"/>
      <c r="I10" s="54">
        <f>Index!L29</f>
        <v>0</v>
      </c>
      <c r="J10" s="54">
        <f>Index!M29</f>
        <v>0</v>
      </c>
      <c r="K10" s="54" t="e">
        <f>Index!N29</f>
        <v>#REF!</v>
      </c>
      <c r="L10" s="54" t="e">
        <f>Index!O29</f>
        <v>#REF!</v>
      </c>
      <c r="M10" s="54" t="e">
        <f>Index!P29</f>
        <v>#REF!</v>
      </c>
      <c r="N10" s="54" t="e">
        <f>Index!Q29</f>
        <v>#REF!</v>
      </c>
      <c r="O10" s="54" t="e">
        <f>Index!R29</f>
        <v>#REF!</v>
      </c>
      <c r="P10" s="54" t="e">
        <f>Index!S29</f>
        <v>#REF!</v>
      </c>
      <c r="Q10" s="54" t="e">
        <f>Index!T29</f>
        <v>#REF!</v>
      </c>
      <c r="R10" s="54" t="e">
        <f>Index!U29</f>
        <v>#REF!</v>
      </c>
      <c r="S10" s="54" t="e">
        <f>Index!V29</f>
        <v>#REF!</v>
      </c>
      <c r="T10" s="54" t="e">
        <f>Index!W29</f>
        <v>#REF!</v>
      </c>
      <c r="U10" s="54" t="e">
        <f>Index!X29</f>
        <v>#REF!</v>
      </c>
      <c r="V10" s="54" t="e">
        <f>Index!Y29</f>
        <v>#REF!</v>
      </c>
      <c r="W10" s="54" t="e">
        <f>Index!Z29</f>
        <v>#REF!</v>
      </c>
      <c r="X10" s="54" t="e">
        <f>Index!AA29</f>
        <v>#REF!</v>
      </c>
      <c r="Y10" s="54" t="e">
        <f>Index!AB29</f>
        <v>#REF!</v>
      </c>
      <c r="Z10" s="54" t="e">
        <f>Index!AC29</f>
        <v>#REF!</v>
      </c>
      <c r="AA10" s="54" t="e">
        <f>Index!AD29</f>
        <v>#REF!</v>
      </c>
      <c r="AB10" s="54" t="e">
        <f>Index!AE29</f>
        <v>#REF!</v>
      </c>
      <c r="AC10" s="54" t="e">
        <f>Index!AF29</f>
        <v>#REF!</v>
      </c>
      <c r="AD10" s="54" t="e">
        <f>Index!AG29</f>
        <v>#REF!</v>
      </c>
      <c r="AE10" s="54" t="e">
        <f>Index!AH29</f>
        <v>#REF!</v>
      </c>
      <c r="AF10" s="54" t="e">
        <f>Index!AI29</f>
        <v>#REF!</v>
      </c>
      <c r="AG10" s="54" t="e">
        <f>Index!AJ29</f>
        <v>#REF!</v>
      </c>
      <c r="AH10" s="54" t="e">
        <f>Index!AK29</f>
        <v>#REF!</v>
      </c>
      <c r="AI10" s="54" t="e">
        <f>Index!AL29</f>
        <v>#REF!</v>
      </c>
      <c r="AJ10" s="54" t="e">
        <f>Index!AM29</f>
        <v>#REF!</v>
      </c>
      <c r="AK10" s="54" t="e">
        <f>Index!AN29</f>
        <v>#REF!</v>
      </c>
      <c r="AL10" s="54" t="e">
        <f>Index!AO29</f>
        <v>#REF!</v>
      </c>
      <c r="AM10" s="54" t="e">
        <f>Index!AP29</f>
        <v>#REF!</v>
      </c>
      <c r="AN10" s="54" t="e">
        <f>Index!AQ29</f>
        <v>#REF!</v>
      </c>
      <c r="AO10" s="54" t="e">
        <f>Index!AR29</f>
        <v>#REF!</v>
      </c>
      <c r="AP10" s="54" t="e">
        <f>Index!AS29</f>
        <v>#REF!</v>
      </c>
      <c r="AQ10" s="54" t="e">
        <f>Index!AT29</f>
        <v>#REF!</v>
      </c>
      <c r="AR10" s="54" t="e">
        <f>Index!AU29</f>
        <v>#REF!</v>
      </c>
      <c r="AS10" s="54" t="e">
        <f>Index!AV29</f>
        <v>#REF!</v>
      </c>
      <c r="AT10" s="54" t="e">
        <f>Index!AW29</f>
        <v>#REF!</v>
      </c>
      <c r="AU10" s="54" t="e">
        <f>Index!AX29</f>
        <v>#REF!</v>
      </c>
      <c r="AV10" s="54" t="e">
        <f>Index!AY29</f>
        <v>#REF!</v>
      </c>
      <c r="AW10" s="54" t="e">
        <f>Index!AZ29</f>
        <v>#REF!</v>
      </c>
      <c r="AX10" s="54" t="e">
        <f>Index!BA29</f>
        <v>#REF!</v>
      </c>
      <c r="AY10" s="54" t="e">
        <f>Index!BB29</f>
        <v>#REF!</v>
      </c>
      <c r="AZ10" s="54" t="e">
        <f>Index!BC29</f>
        <v>#REF!</v>
      </c>
      <c r="BA10" s="54" t="e">
        <f>Index!BD29</f>
        <v>#REF!</v>
      </c>
      <c r="BB10" s="54" t="e">
        <f>Index!BE29</f>
        <v>#REF!</v>
      </c>
      <c r="BC10" s="54" t="e">
        <f>Index!BF29</f>
        <v>#REF!</v>
      </c>
      <c r="BD10" s="54" t="e">
        <f>Index!BG29</f>
        <v>#REF!</v>
      </c>
      <c r="BE10" s="54" t="e">
        <f>Index!BH29</f>
        <v>#REF!</v>
      </c>
      <c r="BF10" s="54" t="e">
        <f>Index!BI29</f>
        <v>#REF!</v>
      </c>
      <c r="BG10" s="54" t="e">
        <f>Index!BJ29</f>
        <v>#REF!</v>
      </c>
      <c r="BH10" s="54" t="e">
        <f>Index!BK29</f>
        <v>#REF!</v>
      </c>
      <c r="BI10" s="54" t="e">
        <f>Index!BL29</f>
        <v>#REF!</v>
      </c>
      <c r="BJ10" s="54" t="e">
        <f>Index!BM29</f>
        <v>#REF!</v>
      </c>
      <c r="BK10" s="54" t="e">
        <f>Index!BN29</f>
        <v>#REF!</v>
      </c>
      <c r="BL10" s="54" t="e">
        <f>Index!BO29</f>
        <v>#REF!</v>
      </c>
      <c r="BM10" s="54" t="e">
        <f>Index!BP29</f>
        <v>#REF!</v>
      </c>
      <c r="BN10" s="54" t="e">
        <f>Index!BQ29</f>
        <v>#REF!</v>
      </c>
      <c r="BO10" s="54" t="e">
        <f>Index!BR29</f>
        <v>#REF!</v>
      </c>
      <c r="BP10" s="54" t="e">
        <f>Index!BS29</f>
        <v>#REF!</v>
      </c>
      <c r="BQ10" s="54" t="e">
        <f>Index!BT29</f>
        <v>#REF!</v>
      </c>
    </row>
    <row r="11" spans="1:69" outlineLevel="1">
      <c r="A11" s="1"/>
      <c r="B11" s="46"/>
      <c r="C11" s="8"/>
      <c r="D11" s="9"/>
      <c r="E11" s="8"/>
      <c r="F11" s="10" t="str">
        <f>Index!D33</f>
        <v>인원수 추정</v>
      </c>
      <c r="G11" s="12" t="s">
        <v>136</v>
      </c>
      <c r="H11" s="134"/>
      <c r="I11" s="7">
        <f>Index!L33</f>
        <v>0</v>
      </c>
      <c r="J11" s="7">
        <f>Index!M33</f>
        <v>0</v>
      </c>
      <c r="K11" s="7">
        <f>Index!N33</f>
        <v>0</v>
      </c>
      <c r="L11" s="7">
        <f>Index!O33</f>
        <v>0</v>
      </c>
      <c r="M11" s="7">
        <f>Index!P33</f>
        <v>0</v>
      </c>
      <c r="N11" s="7">
        <f>Index!Q33</f>
        <v>0</v>
      </c>
      <c r="O11" s="7">
        <f>Index!R33</f>
        <v>0</v>
      </c>
      <c r="P11" s="7">
        <f>Index!S33</f>
        <v>0</v>
      </c>
      <c r="Q11" s="7">
        <f>Index!T33</f>
        <v>0</v>
      </c>
      <c r="R11" s="7">
        <f>Index!U33</f>
        <v>0</v>
      </c>
      <c r="S11" s="7">
        <f>Index!V33</f>
        <v>0</v>
      </c>
      <c r="T11" s="7">
        <f>Index!W33</f>
        <v>0</v>
      </c>
      <c r="U11" s="7">
        <f>Index!X33</f>
        <v>0</v>
      </c>
      <c r="V11" s="7">
        <f>Index!Y33</f>
        <v>0</v>
      </c>
      <c r="W11" s="7">
        <f>Index!Z33</f>
        <v>0</v>
      </c>
      <c r="X11" s="7">
        <f>Index!AA33</f>
        <v>0</v>
      </c>
      <c r="Y11" s="7">
        <f>Index!AB33</f>
        <v>0</v>
      </c>
      <c r="Z11" s="7">
        <f>Index!AC33</f>
        <v>0</v>
      </c>
      <c r="AA11" s="7">
        <f>Index!AD33</f>
        <v>0</v>
      </c>
      <c r="AB11" s="7">
        <f>Index!AE33</f>
        <v>0</v>
      </c>
      <c r="AC11" s="7">
        <f>Index!AF33</f>
        <v>0</v>
      </c>
      <c r="AD11" s="7">
        <f>Index!AG33</f>
        <v>0</v>
      </c>
      <c r="AE11" s="7">
        <f>Index!AH33</f>
        <v>0</v>
      </c>
      <c r="AF11" s="7">
        <f>Index!AI33</f>
        <v>0</v>
      </c>
      <c r="AG11" s="7">
        <f>Index!AJ33</f>
        <v>0</v>
      </c>
      <c r="AH11" s="7">
        <f>Index!AK33</f>
        <v>0</v>
      </c>
      <c r="AI11" s="7">
        <f>Index!AL33</f>
        <v>0</v>
      </c>
      <c r="AJ11" s="7">
        <f>Index!AM33</f>
        <v>0</v>
      </c>
      <c r="AK11" s="7">
        <f>Index!AN33</f>
        <v>0</v>
      </c>
      <c r="AL11" s="7">
        <f>Index!AO33</f>
        <v>0</v>
      </c>
      <c r="AM11" s="7">
        <f>Index!AP33</f>
        <v>0</v>
      </c>
      <c r="AN11" s="7">
        <f>Index!AQ33</f>
        <v>0</v>
      </c>
      <c r="AO11" s="7">
        <f>Index!AR33</f>
        <v>0</v>
      </c>
      <c r="AP11" s="7">
        <f>Index!AS33</f>
        <v>0</v>
      </c>
      <c r="AQ11" s="7">
        <f>Index!AT33</f>
        <v>0</v>
      </c>
      <c r="AR11" s="7">
        <f>Index!AU33</f>
        <v>0</v>
      </c>
      <c r="AS11" s="7">
        <f>Index!AV33</f>
        <v>0</v>
      </c>
      <c r="AT11" s="7">
        <f>Index!AW33</f>
        <v>0</v>
      </c>
      <c r="AU11" s="7">
        <f>Index!AX33</f>
        <v>0</v>
      </c>
      <c r="AV11" s="7">
        <f>Index!AY33</f>
        <v>0</v>
      </c>
      <c r="AW11" s="7">
        <f>Index!AZ33</f>
        <v>0</v>
      </c>
      <c r="AX11" s="7">
        <f>Index!BA33</f>
        <v>0</v>
      </c>
      <c r="AY11" s="7">
        <f>Index!BB33</f>
        <v>0</v>
      </c>
      <c r="AZ11" s="7">
        <f>Index!BC33</f>
        <v>0</v>
      </c>
      <c r="BA11" s="7">
        <f>Index!BD33</f>
        <v>0</v>
      </c>
      <c r="BB11" s="7">
        <f>Index!BE33</f>
        <v>0</v>
      </c>
      <c r="BC11" s="7">
        <f>Index!BF33</f>
        <v>0</v>
      </c>
      <c r="BD11" s="7">
        <f>Index!BG33</f>
        <v>0</v>
      </c>
      <c r="BE11" s="7">
        <f>Index!BH33</f>
        <v>0</v>
      </c>
      <c r="BF11" s="7">
        <f>Index!BI33</f>
        <v>0</v>
      </c>
      <c r="BG11" s="7">
        <f>Index!BJ33</f>
        <v>0</v>
      </c>
      <c r="BH11" s="7">
        <f>Index!BK33</f>
        <v>0</v>
      </c>
      <c r="BI11" s="7">
        <f>Index!BL33</f>
        <v>0</v>
      </c>
      <c r="BJ11" s="7">
        <f>Index!BM33</f>
        <v>0</v>
      </c>
      <c r="BK11" s="7">
        <f>Index!BN33</f>
        <v>0</v>
      </c>
      <c r="BL11" s="7">
        <f>Index!BO33</f>
        <v>0</v>
      </c>
      <c r="BM11" s="7">
        <f>Index!BP33</f>
        <v>0</v>
      </c>
      <c r="BN11" s="7">
        <f>Index!BQ33</f>
        <v>0</v>
      </c>
      <c r="BO11" s="7">
        <f>Index!BR33</f>
        <v>0</v>
      </c>
      <c r="BP11" s="7">
        <f>Index!BS33</f>
        <v>0</v>
      </c>
      <c r="BQ11" s="7">
        <f>Index!BT33</f>
        <v>0</v>
      </c>
    </row>
    <row r="12" spans="1:69" outlineLevel="1">
      <c r="A12" s="1"/>
      <c r="B12" s="46"/>
      <c r="C12" s="8"/>
      <c r="D12" s="9"/>
      <c r="E12" s="8"/>
      <c r="F12" s="10" t="str">
        <f>Index!D34</f>
        <v>광고체감지수</v>
      </c>
      <c r="G12" s="12" t="s">
        <v>136</v>
      </c>
      <c r="H12" s="134"/>
      <c r="I12" s="7">
        <f>Index!L34</f>
        <v>0</v>
      </c>
      <c r="J12" s="7">
        <f>Index!M34</f>
        <v>0</v>
      </c>
      <c r="K12" s="7">
        <f>Index!N34</f>
        <v>0</v>
      </c>
      <c r="L12" s="7">
        <f>Index!O34</f>
        <v>0</v>
      </c>
      <c r="M12" s="7">
        <f>Index!P34</f>
        <v>0</v>
      </c>
      <c r="N12" s="7">
        <f>Index!Q34</f>
        <v>0</v>
      </c>
      <c r="O12" s="7">
        <f>Index!R34</f>
        <v>0</v>
      </c>
      <c r="P12" s="7">
        <f>Index!S34</f>
        <v>0</v>
      </c>
      <c r="Q12" s="7">
        <f>Index!T34</f>
        <v>0</v>
      </c>
      <c r="R12" s="7">
        <f>Index!U34</f>
        <v>0</v>
      </c>
      <c r="S12" s="7">
        <f>Index!V34</f>
        <v>0</v>
      </c>
      <c r="T12" s="7">
        <f>Index!W34</f>
        <v>0</v>
      </c>
      <c r="U12" s="7">
        <f>Index!X34</f>
        <v>0</v>
      </c>
      <c r="V12" s="7">
        <f>Index!Y34</f>
        <v>0</v>
      </c>
      <c r="W12" s="7">
        <f>Index!Z34</f>
        <v>0</v>
      </c>
      <c r="X12" s="7">
        <f>Index!AA34</f>
        <v>0</v>
      </c>
      <c r="Y12" s="7">
        <f>Index!AB34</f>
        <v>0</v>
      </c>
      <c r="Z12" s="7">
        <f>Index!AC34</f>
        <v>0</v>
      </c>
      <c r="AA12" s="7">
        <f>Index!AD34</f>
        <v>0</v>
      </c>
      <c r="AB12" s="7">
        <f>Index!AE34</f>
        <v>0</v>
      </c>
      <c r="AC12" s="7">
        <f>Index!AF34</f>
        <v>0</v>
      </c>
      <c r="AD12" s="7">
        <f>Index!AG34</f>
        <v>0</v>
      </c>
      <c r="AE12" s="7">
        <f>Index!AH34</f>
        <v>0</v>
      </c>
      <c r="AF12" s="7">
        <f>Index!AI34</f>
        <v>0</v>
      </c>
      <c r="AG12" s="7">
        <f>Index!AJ34</f>
        <v>0</v>
      </c>
      <c r="AH12" s="7">
        <f>Index!AK34</f>
        <v>0</v>
      </c>
      <c r="AI12" s="7">
        <f>Index!AL34</f>
        <v>0</v>
      </c>
      <c r="AJ12" s="7">
        <f>Index!AM34</f>
        <v>0</v>
      </c>
      <c r="AK12" s="7">
        <f>Index!AN34</f>
        <v>0</v>
      </c>
      <c r="AL12" s="7">
        <f>Index!AO34</f>
        <v>0</v>
      </c>
      <c r="AM12" s="7">
        <f>Index!AP34</f>
        <v>0</v>
      </c>
      <c r="AN12" s="7">
        <f>Index!AQ34</f>
        <v>0</v>
      </c>
      <c r="AO12" s="7">
        <f>Index!AR34</f>
        <v>0</v>
      </c>
      <c r="AP12" s="7">
        <f>Index!AS34</f>
        <v>0</v>
      </c>
      <c r="AQ12" s="7">
        <f>Index!AT34</f>
        <v>0</v>
      </c>
      <c r="AR12" s="7">
        <f>Index!AU34</f>
        <v>0</v>
      </c>
      <c r="AS12" s="7">
        <f>Index!AV34</f>
        <v>0</v>
      </c>
      <c r="AT12" s="7">
        <f>Index!AW34</f>
        <v>0</v>
      </c>
      <c r="AU12" s="7">
        <f>Index!AX34</f>
        <v>0</v>
      </c>
      <c r="AV12" s="7">
        <f>Index!AY34</f>
        <v>0</v>
      </c>
      <c r="AW12" s="7">
        <f>Index!AZ34</f>
        <v>0</v>
      </c>
      <c r="AX12" s="7">
        <f>Index!BA34</f>
        <v>0</v>
      </c>
      <c r="AY12" s="7">
        <f>Index!BB34</f>
        <v>0</v>
      </c>
      <c r="AZ12" s="7">
        <f>Index!BC34</f>
        <v>0</v>
      </c>
      <c r="BA12" s="7">
        <f>Index!BD34</f>
        <v>0</v>
      </c>
      <c r="BB12" s="7">
        <f>Index!BE34</f>
        <v>0</v>
      </c>
      <c r="BC12" s="7">
        <f>Index!BF34</f>
        <v>0</v>
      </c>
      <c r="BD12" s="7">
        <f>Index!BG34</f>
        <v>0</v>
      </c>
      <c r="BE12" s="7">
        <f>Index!BH34</f>
        <v>0</v>
      </c>
      <c r="BF12" s="7">
        <f>Index!BI34</f>
        <v>0</v>
      </c>
      <c r="BG12" s="7">
        <f>Index!BJ34</f>
        <v>0</v>
      </c>
      <c r="BH12" s="7">
        <f>Index!BK34</f>
        <v>0</v>
      </c>
      <c r="BI12" s="7">
        <f>Index!BL34</f>
        <v>0</v>
      </c>
      <c r="BJ12" s="7">
        <f>Index!BM34</f>
        <v>0</v>
      </c>
      <c r="BK12" s="7">
        <f>Index!BN34</f>
        <v>0</v>
      </c>
      <c r="BL12" s="7">
        <f>Index!BO34</f>
        <v>0</v>
      </c>
      <c r="BM12" s="7">
        <f>Index!BP34</f>
        <v>0</v>
      </c>
      <c r="BN12" s="7">
        <f>Index!BQ34</f>
        <v>0</v>
      </c>
      <c r="BO12" s="7">
        <f>Index!BR34</f>
        <v>0</v>
      </c>
      <c r="BP12" s="7">
        <f>Index!BS34</f>
        <v>0</v>
      </c>
      <c r="BQ12" s="7">
        <f>Index!BT34</f>
        <v>0</v>
      </c>
    </row>
    <row r="13" spans="1:69" outlineLevel="1">
      <c r="A13" s="1"/>
      <c r="B13" s="46"/>
      <c r="C13" s="8"/>
      <c r="D13" s="9"/>
      <c r="E13" s="8"/>
      <c r="F13" s="10" t="str">
        <f>Index!D36</f>
        <v>접대비/지급수수료체감지수</v>
      </c>
      <c r="G13" s="12" t="s">
        <v>136</v>
      </c>
      <c r="H13" s="134"/>
      <c r="I13" s="7">
        <f>Index!L36</f>
        <v>0</v>
      </c>
      <c r="J13" s="7">
        <f>Index!M36</f>
        <v>0</v>
      </c>
      <c r="K13" s="7">
        <f>Index!N36</f>
        <v>0</v>
      </c>
      <c r="L13" s="7">
        <f>Index!O36</f>
        <v>0</v>
      </c>
      <c r="M13" s="7">
        <f>Index!P36</f>
        <v>0</v>
      </c>
      <c r="N13" s="7">
        <f>Index!Q36</f>
        <v>0</v>
      </c>
      <c r="O13" s="7">
        <f>Index!R36</f>
        <v>0</v>
      </c>
      <c r="P13" s="7">
        <f>Index!S36</f>
        <v>0</v>
      </c>
      <c r="Q13" s="7">
        <f>Index!T36</f>
        <v>0</v>
      </c>
      <c r="R13" s="7">
        <f>Index!U36</f>
        <v>0</v>
      </c>
      <c r="S13" s="7">
        <f>Index!V36</f>
        <v>0</v>
      </c>
      <c r="T13" s="7">
        <f>Index!W36</f>
        <v>0</v>
      </c>
      <c r="U13" s="7">
        <f>Index!X36</f>
        <v>0</v>
      </c>
      <c r="V13" s="7">
        <f>Index!Y36</f>
        <v>0</v>
      </c>
      <c r="W13" s="7">
        <f>Index!Z36</f>
        <v>0</v>
      </c>
      <c r="X13" s="7">
        <f>Index!AA36</f>
        <v>0</v>
      </c>
      <c r="Y13" s="7">
        <f>Index!AB36</f>
        <v>0</v>
      </c>
      <c r="Z13" s="7">
        <f>Index!AC36</f>
        <v>0</v>
      </c>
      <c r="AA13" s="7">
        <f>Index!AD36</f>
        <v>0</v>
      </c>
      <c r="AB13" s="7">
        <f>Index!AE36</f>
        <v>0</v>
      </c>
      <c r="AC13" s="7">
        <f>Index!AF36</f>
        <v>0</v>
      </c>
      <c r="AD13" s="7">
        <f>Index!AG36</f>
        <v>0</v>
      </c>
      <c r="AE13" s="7">
        <f>Index!AH36</f>
        <v>0</v>
      </c>
      <c r="AF13" s="7">
        <f>Index!AI36</f>
        <v>0</v>
      </c>
      <c r="AG13" s="7">
        <f>Index!AJ36</f>
        <v>0</v>
      </c>
      <c r="AH13" s="7">
        <f>Index!AK36</f>
        <v>0</v>
      </c>
      <c r="AI13" s="7">
        <f>Index!AL36</f>
        <v>0</v>
      </c>
      <c r="AJ13" s="7">
        <f>Index!AM36</f>
        <v>0</v>
      </c>
      <c r="AK13" s="7">
        <f>Index!AN36</f>
        <v>0</v>
      </c>
      <c r="AL13" s="7">
        <f>Index!AO36</f>
        <v>0</v>
      </c>
      <c r="AM13" s="7">
        <f>Index!AP36</f>
        <v>0</v>
      </c>
      <c r="AN13" s="7">
        <f>Index!AQ36</f>
        <v>0</v>
      </c>
      <c r="AO13" s="7">
        <f>Index!AR36</f>
        <v>0</v>
      </c>
      <c r="AP13" s="7">
        <f>Index!AS36</f>
        <v>0</v>
      </c>
      <c r="AQ13" s="7">
        <f>Index!AT36</f>
        <v>0</v>
      </c>
      <c r="AR13" s="7">
        <f>Index!AU36</f>
        <v>0</v>
      </c>
      <c r="AS13" s="7">
        <f>Index!AV36</f>
        <v>0</v>
      </c>
      <c r="AT13" s="7">
        <f>Index!AW36</f>
        <v>0</v>
      </c>
      <c r="AU13" s="7">
        <f>Index!AX36</f>
        <v>0</v>
      </c>
      <c r="AV13" s="7">
        <f>Index!AY36</f>
        <v>0</v>
      </c>
      <c r="AW13" s="7">
        <f>Index!AZ36</f>
        <v>0</v>
      </c>
      <c r="AX13" s="7">
        <f>Index!BA36</f>
        <v>0</v>
      </c>
      <c r="AY13" s="7">
        <f>Index!BB36</f>
        <v>0</v>
      </c>
      <c r="AZ13" s="7">
        <f>Index!BC36</f>
        <v>0</v>
      </c>
      <c r="BA13" s="7">
        <f>Index!BD36</f>
        <v>0</v>
      </c>
      <c r="BB13" s="7">
        <f>Index!BE36</f>
        <v>0</v>
      </c>
      <c r="BC13" s="7">
        <f>Index!BF36</f>
        <v>0</v>
      </c>
      <c r="BD13" s="7">
        <f>Index!BG36</f>
        <v>0</v>
      </c>
      <c r="BE13" s="7">
        <f>Index!BH36</f>
        <v>0</v>
      </c>
      <c r="BF13" s="7">
        <f>Index!BI36</f>
        <v>0</v>
      </c>
      <c r="BG13" s="7">
        <f>Index!BJ36</f>
        <v>0</v>
      </c>
      <c r="BH13" s="7">
        <f>Index!BK36</f>
        <v>0</v>
      </c>
      <c r="BI13" s="7">
        <f>Index!BL36</f>
        <v>0</v>
      </c>
      <c r="BJ13" s="7">
        <f>Index!BM36</f>
        <v>0</v>
      </c>
      <c r="BK13" s="7">
        <f>Index!BN36</f>
        <v>0</v>
      </c>
      <c r="BL13" s="7">
        <f>Index!BO36</f>
        <v>0</v>
      </c>
      <c r="BM13" s="7">
        <f>Index!BP36</f>
        <v>0</v>
      </c>
      <c r="BN13" s="7">
        <f>Index!BQ36</f>
        <v>0</v>
      </c>
      <c r="BO13" s="7">
        <f>Index!BR36</f>
        <v>0</v>
      </c>
      <c r="BP13" s="7">
        <f>Index!BS36</f>
        <v>0</v>
      </c>
      <c r="BQ13" s="7">
        <f>Index!BT36</f>
        <v>0</v>
      </c>
    </row>
    <row r="14" spans="1:69" outlineLevel="1">
      <c r="A14" s="1"/>
      <c r="B14" s="46"/>
      <c r="C14" s="8"/>
      <c r="D14" s="141"/>
      <c r="E14" s="8"/>
      <c r="F14" s="10" t="str">
        <f>Index!D35</f>
        <v>매출증가율</v>
      </c>
      <c r="G14" s="12" t="s">
        <v>136</v>
      </c>
      <c r="H14" s="11"/>
      <c r="I14" s="54">
        <f>Index!L35</f>
        <v>0</v>
      </c>
      <c r="J14" s="54" t="e">
        <f>Index!M35</f>
        <v>#REF!</v>
      </c>
      <c r="K14" s="54" t="e">
        <f>Index!N35</f>
        <v>#REF!</v>
      </c>
      <c r="L14" s="54" t="e">
        <f>Index!O35</f>
        <v>#REF!</v>
      </c>
      <c r="M14" s="54" t="e">
        <f>Index!P35</f>
        <v>#REF!</v>
      </c>
      <c r="N14" s="54" t="e">
        <f>Index!Q35</f>
        <v>#REF!</v>
      </c>
      <c r="O14" s="54" t="e">
        <f>Index!R35</f>
        <v>#REF!</v>
      </c>
      <c r="P14" s="54" t="e">
        <f>Index!S35</f>
        <v>#REF!</v>
      </c>
      <c r="Q14" s="54" t="e">
        <f>Index!T35</f>
        <v>#REF!</v>
      </c>
      <c r="R14" s="54" t="e">
        <f>Index!U35</f>
        <v>#REF!</v>
      </c>
      <c r="S14" s="54" t="e">
        <f>Index!V35</f>
        <v>#REF!</v>
      </c>
      <c r="T14" s="54" t="e">
        <f>Index!W35</f>
        <v>#REF!</v>
      </c>
      <c r="U14" s="54" t="e">
        <f>Index!X35</f>
        <v>#REF!</v>
      </c>
      <c r="V14" s="54" t="e">
        <f>Index!Y35</f>
        <v>#REF!</v>
      </c>
      <c r="W14" s="54" t="e">
        <f>Index!Z35</f>
        <v>#REF!</v>
      </c>
      <c r="X14" s="54" t="e">
        <f>Index!AA35</f>
        <v>#REF!</v>
      </c>
      <c r="Y14" s="54" t="e">
        <f>Index!AB35</f>
        <v>#REF!</v>
      </c>
      <c r="Z14" s="54" t="e">
        <f>Index!AC35</f>
        <v>#REF!</v>
      </c>
      <c r="AA14" s="54" t="e">
        <f>Index!AD35</f>
        <v>#REF!</v>
      </c>
      <c r="AB14" s="54" t="e">
        <f>Index!AE35</f>
        <v>#REF!</v>
      </c>
      <c r="AC14" s="54" t="e">
        <f>Index!AF35</f>
        <v>#REF!</v>
      </c>
      <c r="AD14" s="54" t="e">
        <f>Index!AG35</f>
        <v>#REF!</v>
      </c>
      <c r="AE14" s="54" t="e">
        <f>Index!AH35</f>
        <v>#REF!</v>
      </c>
      <c r="AF14" s="54" t="e">
        <f>Index!AI35</f>
        <v>#REF!</v>
      </c>
      <c r="AG14" s="54" t="e">
        <f>Index!AJ35</f>
        <v>#REF!</v>
      </c>
      <c r="AH14" s="54" t="e">
        <f>Index!AK35</f>
        <v>#REF!</v>
      </c>
      <c r="AI14" s="54" t="e">
        <f>Index!AL35</f>
        <v>#REF!</v>
      </c>
      <c r="AJ14" s="54" t="e">
        <f>Index!AM35</f>
        <v>#REF!</v>
      </c>
      <c r="AK14" s="54" t="e">
        <f>Index!AN35</f>
        <v>#REF!</v>
      </c>
      <c r="AL14" s="54" t="e">
        <f>Index!AO35</f>
        <v>#REF!</v>
      </c>
      <c r="AM14" s="54" t="e">
        <f>Index!AP35</f>
        <v>#REF!</v>
      </c>
      <c r="AN14" s="54" t="e">
        <f>Index!AQ35</f>
        <v>#REF!</v>
      </c>
      <c r="AO14" s="54" t="e">
        <f>Index!AR35</f>
        <v>#REF!</v>
      </c>
      <c r="AP14" s="54" t="e">
        <f>Index!AS35</f>
        <v>#REF!</v>
      </c>
      <c r="AQ14" s="54" t="e">
        <f>Index!AT35</f>
        <v>#REF!</v>
      </c>
      <c r="AR14" s="54" t="e">
        <f>Index!AU35</f>
        <v>#REF!</v>
      </c>
      <c r="AS14" s="54" t="e">
        <f>Index!AV35</f>
        <v>#REF!</v>
      </c>
      <c r="AT14" s="54" t="e">
        <f>Index!AW35</f>
        <v>#REF!</v>
      </c>
      <c r="AU14" s="54" t="e">
        <f>Index!AX35</f>
        <v>#REF!</v>
      </c>
      <c r="AV14" s="54" t="e">
        <f>Index!AY35</f>
        <v>#REF!</v>
      </c>
      <c r="AW14" s="54" t="e">
        <f>Index!AZ35</f>
        <v>#REF!</v>
      </c>
      <c r="AX14" s="54" t="e">
        <f>Index!BA35</f>
        <v>#REF!</v>
      </c>
      <c r="AY14" s="54" t="e">
        <f>Index!BB35</f>
        <v>#REF!</v>
      </c>
      <c r="AZ14" s="54" t="e">
        <f>Index!BC35</f>
        <v>#REF!</v>
      </c>
      <c r="BA14" s="54" t="e">
        <f>Index!BD35</f>
        <v>#REF!</v>
      </c>
      <c r="BB14" s="54" t="e">
        <f>Index!BE35</f>
        <v>#REF!</v>
      </c>
      <c r="BC14" s="54" t="e">
        <f>Index!BF35</f>
        <v>#REF!</v>
      </c>
      <c r="BD14" s="54" t="e">
        <f>Index!BG35</f>
        <v>#REF!</v>
      </c>
      <c r="BE14" s="54" t="e">
        <f>Index!BH35</f>
        <v>#REF!</v>
      </c>
      <c r="BF14" s="54" t="e">
        <f>Index!BI35</f>
        <v>#REF!</v>
      </c>
      <c r="BG14" s="54" t="e">
        <f>Index!BJ35</f>
        <v>#REF!</v>
      </c>
      <c r="BH14" s="54" t="e">
        <f>Index!BK35</f>
        <v>#REF!</v>
      </c>
      <c r="BI14" s="54" t="e">
        <f>Index!BL35</f>
        <v>#REF!</v>
      </c>
      <c r="BJ14" s="54" t="e">
        <f>Index!BM35</f>
        <v>#REF!</v>
      </c>
      <c r="BK14" s="54" t="e">
        <f>Index!BN35</f>
        <v>#REF!</v>
      </c>
      <c r="BL14" s="54" t="e">
        <f>Index!BO35</f>
        <v>#REF!</v>
      </c>
      <c r="BM14" s="54" t="e">
        <f>Index!BP35</f>
        <v>#REF!</v>
      </c>
      <c r="BN14" s="54" t="e">
        <f>Index!BQ35</f>
        <v>#REF!</v>
      </c>
      <c r="BO14" s="54" t="e">
        <f>Index!BR35</f>
        <v>#REF!</v>
      </c>
      <c r="BP14" s="54" t="e">
        <f>Index!BS35</f>
        <v>#REF!</v>
      </c>
      <c r="BQ14" s="54" t="e">
        <f>Index!BT35</f>
        <v>#REF!</v>
      </c>
    </row>
    <row r="15" spans="1:69" outlineLevel="1">
      <c r="A15" s="1"/>
      <c r="B15" s="46"/>
      <c r="C15" s="8"/>
      <c r="D15" s="9"/>
      <c r="E15" s="8"/>
      <c r="F15" s="10" t="str">
        <f>Index!D19</f>
        <v>순운전자본-매출채권</v>
      </c>
      <c r="G15" s="12" t="s">
        <v>136</v>
      </c>
      <c r="H15" s="134"/>
      <c r="I15" s="7">
        <f>Index!L19</f>
        <v>0</v>
      </c>
      <c r="J15" s="7">
        <f>Index!M19</f>
        <v>0</v>
      </c>
      <c r="K15" s="7">
        <f>Index!N19</f>
        <v>0</v>
      </c>
      <c r="L15" s="7">
        <f>Index!O19</f>
        <v>0</v>
      </c>
      <c r="M15" s="7">
        <f>Index!P19</f>
        <v>0</v>
      </c>
      <c r="N15" s="7">
        <f>Index!Q19</f>
        <v>0</v>
      </c>
      <c r="O15" s="7">
        <f>Index!R19</f>
        <v>0</v>
      </c>
      <c r="P15" s="7">
        <f>Index!S19</f>
        <v>0</v>
      </c>
      <c r="Q15" s="7">
        <f>Index!T19</f>
        <v>0</v>
      </c>
      <c r="R15" s="7">
        <f>Index!U19</f>
        <v>0</v>
      </c>
      <c r="S15" s="7">
        <f>Index!V19</f>
        <v>0</v>
      </c>
      <c r="T15" s="7">
        <f>Index!W19</f>
        <v>0</v>
      </c>
      <c r="U15" s="7">
        <f>Index!X19</f>
        <v>0</v>
      </c>
      <c r="V15" s="7">
        <f>Index!Y19</f>
        <v>0</v>
      </c>
      <c r="W15" s="7">
        <f>Index!Z19</f>
        <v>0</v>
      </c>
      <c r="X15" s="7">
        <f>Index!AA19</f>
        <v>0</v>
      </c>
      <c r="Y15" s="7">
        <f>Index!AB19</f>
        <v>0</v>
      </c>
      <c r="Z15" s="7">
        <f>Index!AC19</f>
        <v>0</v>
      </c>
      <c r="AA15" s="7">
        <f>Index!AD19</f>
        <v>0</v>
      </c>
      <c r="AB15" s="7">
        <f>Index!AE19</f>
        <v>0</v>
      </c>
      <c r="AC15" s="7">
        <f>Index!AF19</f>
        <v>0</v>
      </c>
      <c r="AD15" s="7">
        <f>Index!AG19</f>
        <v>0</v>
      </c>
      <c r="AE15" s="7">
        <f>Index!AH19</f>
        <v>0</v>
      </c>
      <c r="AF15" s="7">
        <f>Index!AI19</f>
        <v>0</v>
      </c>
      <c r="AG15" s="7">
        <f>Index!AJ19</f>
        <v>0</v>
      </c>
      <c r="AH15" s="7">
        <f>Index!AK19</f>
        <v>0</v>
      </c>
      <c r="AI15" s="7">
        <f>Index!AL19</f>
        <v>0</v>
      </c>
      <c r="AJ15" s="7">
        <f>Index!AM19</f>
        <v>0</v>
      </c>
      <c r="AK15" s="7">
        <f>Index!AN19</f>
        <v>0</v>
      </c>
      <c r="AL15" s="7">
        <f>Index!AO19</f>
        <v>0</v>
      </c>
      <c r="AM15" s="7">
        <f>Index!AP19</f>
        <v>0</v>
      </c>
      <c r="AN15" s="7">
        <f>Index!AQ19</f>
        <v>0</v>
      </c>
      <c r="AO15" s="7">
        <f>Index!AR19</f>
        <v>0</v>
      </c>
      <c r="AP15" s="7">
        <f>Index!AS19</f>
        <v>0</v>
      </c>
      <c r="AQ15" s="7">
        <f>Index!AT19</f>
        <v>0</v>
      </c>
      <c r="AR15" s="7">
        <f>Index!AU19</f>
        <v>0</v>
      </c>
      <c r="AS15" s="7">
        <f>Index!AV19</f>
        <v>0</v>
      </c>
      <c r="AT15" s="7">
        <f>Index!AW19</f>
        <v>0</v>
      </c>
      <c r="AU15" s="7">
        <f>Index!AX19</f>
        <v>0</v>
      </c>
      <c r="AV15" s="7">
        <f>Index!AY19</f>
        <v>0</v>
      </c>
      <c r="AW15" s="7">
        <f>Index!AZ19</f>
        <v>0</v>
      </c>
      <c r="AX15" s="7">
        <f>Index!BA19</f>
        <v>0</v>
      </c>
      <c r="AY15" s="7">
        <f>Index!BB19</f>
        <v>0</v>
      </c>
      <c r="AZ15" s="7">
        <f>Index!BC19</f>
        <v>0</v>
      </c>
      <c r="BA15" s="7">
        <f>Index!BD19</f>
        <v>0</v>
      </c>
      <c r="BB15" s="7">
        <f>Index!BE19</f>
        <v>0</v>
      </c>
      <c r="BC15" s="7">
        <f>Index!BF19</f>
        <v>0</v>
      </c>
      <c r="BD15" s="7">
        <f>Index!BG19</f>
        <v>0</v>
      </c>
      <c r="BE15" s="7">
        <f>Index!BH19</f>
        <v>0</v>
      </c>
      <c r="BF15" s="7">
        <f>Index!BI19</f>
        <v>0</v>
      </c>
      <c r="BG15" s="7">
        <f>Index!BJ19</f>
        <v>0</v>
      </c>
      <c r="BH15" s="7">
        <f>Index!BK19</f>
        <v>0</v>
      </c>
      <c r="BI15" s="7">
        <f>Index!BL19</f>
        <v>0</v>
      </c>
      <c r="BJ15" s="7">
        <f>Index!BM19</f>
        <v>0</v>
      </c>
      <c r="BK15" s="7">
        <f>Index!BN19</f>
        <v>0</v>
      </c>
      <c r="BL15" s="7">
        <f>Index!BO19</f>
        <v>0</v>
      </c>
      <c r="BM15" s="7">
        <f>Index!BP19</f>
        <v>0</v>
      </c>
      <c r="BN15" s="7">
        <f>Index!BQ19</f>
        <v>0</v>
      </c>
      <c r="BO15" s="7">
        <f>Index!BR19</f>
        <v>0</v>
      </c>
      <c r="BP15" s="7">
        <f>Index!BS19</f>
        <v>0</v>
      </c>
      <c r="BQ15" s="7">
        <f>Index!BT19</f>
        <v>0</v>
      </c>
    </row>
    <row r="17" spans="2:69">
      <c r="B17" s="85" t="s">
        <v>11</v>
      </c>
      <c r="C17" s="86"/>
      <c r="D17" s="86"/>
      <c r="E17" s="87"/>
      <c r="F17" s="83" t="s">
        <v>42</v>
      </c>
      <c r="G17" s="83"/>
      <c r="H17" s="88"/>
      <c r="I17" s="89" t="e">
        <f>Index!L8</f>
        <v>#REF!</v>
      </c>
      <c r="J17" s="89" t="e">
        <f>Index!M8</f>
        <v>#REF!</v>
      </c>
      <c r="K17" s="89" t="e">
        <f>Index!N8</f>
        <v>#REF!</v>
      </c>
      <c r="L17" s="89" t="e">
        <f>Index!O8</f>
        <v>#REF!</v>
      </c>
      <c r="M17" s="89" t="e">
        <f>Index!P8</f>
        <v>#REF!</v>
      </c>
      <c r="N17" s="89" t="e">
        <f>Index!Q8</f>
        <v>#REF!</v>
      </c>
      <c r="O17" s="89" t="e">
        <f>Index!R8</f>
        <v>#REF!</v>
      </c>
      <c r="P17" s="89" t="e">
        <f>Index!S8</f>
        <v>#REF!</v>
      </c>
      <c r="Q17" s="89" t="e">
        <f>Index!T8</f>
        <v>#REF!</v>
      </c>
      <c r="R17" s="89" t="e">
        <f>Index!U8</f>
        <v>#REF!</v>
      </c>
      <c r="S17" s="89" t="e">
        <f>Index!V8</f>
        <v>#REF!</v>
      </c>
      <c r="T17" s="89" t="e">
        <f>Index!W8</f>
        <v>#REF!</v>
      </c>
      <c r="U17" s="89" t="e">
        <f>Index!X8</f>
        <v>#REF!</v>
      </c>
      <c r="V17" s="89" t="e">
        <f>Index!Y8</f>
        <v>#REF!</v>
      </c>
      <c r="W17" s="89" t="e">
        <f>Index!Z8</f>
        <v>#REF!</v>
      </c>
      <c r="X17" s="89" t="e">
        <f>Index!AA8</f>
        <v>#REF!</v>
      </c>
      <c r="Y17" s="89" t="e">
        <f>Index!AB8</f>
        <v>#REF!</v>
      </c>
      <c r="Z17" s="89" t="e">
        <f>Index!AC8</f>
        <v>#REF!</v>
      </c>
      <c r="AA17" s="89" t="e">
        <f>Index!AD8</f>
        <v>#REF!</v>
      </c>
      <c r="AB17" s="89" t="e">
        <f>Index!AE8</f>
        <v>#REF!</v>
      </c>
      <c r="AC17" s="89" t="e">
        <f>Index!AF8</f>
        <v>#REF!</v>
      </c>
      <c r="AD17" s="89" t="e">
        <f>Index!AG8</f>
        <v>#REF!</v>
      </c>
      <c r="AE17" s="89" t="e">
        <f>Index!AH8</f>
        <v>#REF!</v>
      </c>
      <c r="AF17" s="89" t="e">
        <f>Index!AI8</f>
        <v>#REF!</v>
      </c>
      <c r="AG17" s="89" t="e">
        <f>Index!AJ8</f>
        <v>#REF!</v>
      </c>
      <c r="AH17" s="89" t="e">
        <f>Index!AK8</f>
        <v>#REF!</v>
      </c>
      <c r="AI17" s="89" t="e">
        <f>Index!AL8</f>
        <v>#REF!</v>
      </c>
      <c r="AJ17" s="89" t="e">
        <f>Index!AM8</f>
        <v>#REF!</v>
      </c>
      <c r="AK17" s="89" t="e">
        <f>Index!AN8</f>
        <v>#REF!</v>
      </c>
      <c r="AL17" s="89" t="e">
        <f>Index!AO8</f>
        <v>#REF!</v>
      </c>
      <c r="AM17" s="89" t="e">
        <f>Index!AP8</f>
        <v>#REF!</v>
      </c>
      <c r="AN17" s="89" t="e">
        <f>Index!AQ8</f>
        <v>#REF!</v>
      </c>
      <c r="AO17" s="89" t="e">
        <f>Index!AR8</f>
        <v>#REF!</v>
      </c>
      <c r="AP17" s="89" t="e">
        <f>Index!AS8</f>
        <v>#REF!</v>
      </c>
      <c r="AQ17" s="89" t="e">
        <f>Index!AT8</f>
        <v>#REF!</v>
      </c>
      <c r="AR17" s="89" t="e">
        <f>Index!AU8</f>
        <v>#REF!</v>
      </c>
      <c r="AS17" s="89" t="e">
        <f>Index!AV8</f>
        <v>#REF!</v>
      </c>
      <c r="AT17" s="89" t="e">
        <f>Index!AW8</f>
        <v>#REF!</v>
      </c>
      <c r="AU17" s="89" t="e">
        <f>Index!AX8</f>
        <v>#REF!</v>
      </c>
      <c r="AV17" s="89" t="e">
        <f>Index!AY8</f>
        <v>#REF!</v>
      </c>
      <c r="AW17" s="89" t="e">
        <f>Index!AZ8</f>
        <v>#REF!</v>
      </c>
      <c r="AX17" s="89" t="e">
        <f>Index!BA8</f>
        <v>#REF!</v>
      </c>
      <c r="AY17" s="89" t="e">
        <f>Index!BB8</f>
        <v>#REF!</v>
      </c>
      <c r="AZ17" s="89" t="e">
        <f>Index!BC8</f>
        <v>#REF!</v>
      </c>
      <c r="BA17" s="89" t="e">
        <f>Index!BD8</f>
        <v>#REF!</v>
      </c>
      <c r="BB17" s="89" t="e">
        <f>Index!BE8</f>
        <v>#REF!</v>
      </c>
      <c r="BC17" s="89" t="e">
        <f>Index!BF8</f>
        <v>#REF!</v>
      </c>
      <c r="BD17" s="89" t="e">
        <f>Index!BG8</f>
        <v>#REF!</v>
      </c>
      <c r="BE17" s="89" t="e">
        <f>Index!BH8</f>
        <v>#REF!</v>
      </c>
      <c r="BF17" s="89" t="e">
        <f>Index!BI8</f>
        <v>#REF!</v>
      </c>
      <c r="BG17" s="89" t="e">
        <f>Index!BJ8</f>
        <v>#REF!</v>
      </c>
      <c r="BH17" s="89" t="e">
        <f>Index!BK8</f>
        <v>#REF!</v>
      </c>
      <c r="BI17" s="89" t="e">
        <f>Index!BL8</f>
        <v>#REF!</v>
      </c>
      <c r="BJ17" s="89" t="e">
        <f>Index!BM8</f>
        <v>#REF!</v>
      </c>
      <c r="BK17" s="89" t="e">
        <f>Index!BN8</f>
        <v>#REF!</v>
      </c>
      <c r="BL17" s="89" t="e">
        <f>Index!BO8</f>
        <v>#REF!</v>
      </c>
      <c r="BM17" s="89" t="e">
        <f>Index!BP8</f>
        <v>#REF!</v>
      </c>
      <c r="BN17" s="89" t="e">
        <f>Index!BQ8</f>
        <v>#REF!</v>
      </c>
      <c r="BO17" s="89" t="e">
        <f>Index!BR8</f>
        <v>#REF!</v>
      </c>
      <c r="BP17" s="89" t="e">
        <f>Index!BS8</f>
        <v>#REF!</v>
      </c>
      <c r="BQ17" s="89" t="e">
        <f>Index!BT8</f>
        <v>#REF!</v>
      </c>
    </row>
    <row r="18" spans="2:69">
      <c r="B18" s="90"/>
      <c r="C18" s="91"/>
      <c r="D18" s="91"/>
      <c r="E18" s="92"/>
      <c r="F18" s="83"/>
      <c r="G18" s="83"/>
      <c r="H18" s="88"/>
      <c r="I18" s="93" t="e">
        <f>YEAR(I19)</f>
        <v>#REF!</v>
      </c>
      <c r="J18" s="93" t="e">
        <f t="shared" ref="J18:BQ18" si="0">YEAR(J19)</f>
        <v>#REF!</v>
      </c>
      <c r="K18" s="93" t="e">
        <f t="shared" si="0"/>
        <v>#REF!</v>
      </c>
      <c r="L18" s="93" t="e">
        <f t="shared" si="0"/>
        <v>#REF!</v>
      </c>
      <c r="M18" s="93" t="e">
        <f t="shared" si="0"/>
        <v>#REF!</v>
      </c>
      <c r="N18" s="93" t="e">
        <f t="shared" si="0"/>
        <v>#REF!</v>
      </c>
      <c r="O18" s="93" t="e">
        <f t="shared" si="0"/>
        <v>#REF!</v>
      </c>
      <c r="P18" s="93" t="e">
        <f t="shared" si="0"/>
        <v>#REF!</v>
      </c>
      <c r="Q18" s="93" t="e">
        <f t="shared" si="0"/>
        <v>#REF!</v>
      </c>
      <c r="R18" s="93" t="e">
        <f t="shared" si="0"/>
        <v>#REF!</v>
      </c>
      <c r="S18" s="93" t="e">
        <f t="shared" si="0"/>
        <v>#REF!</v>
      </c>
      <c r="T18" s="93" t="e">
        <f t="shared" si="0"/>
        <v>#REF!</v>
      </c>
      <c r="U18" s="93" t="e">
        <f t="shared" si="0"/>
        <v>#REF!</v>
      </c>
      <c r="V18" s="93" t="e">
        <f t="shared" si="0"/>
        <v>#REF!</v>
      </c>
      <c r="W18" s="93" t="e">
        <f t="shared" si="0"/>
        <v>#REF!</v>
      </c>
      <c r="X18" s="93" t="e">
        <f t="shared" si="0"/>
        <v>#REF!</v>
      </c>
      <c r="Y18" s="93" t="e">
        <f t="shared" si="0"/>
        <v>#REF!</v>
      </c>
      <c r="Z18" s="93" t="e">
        <f t="shared" si="0"/>
        <v>#REF!</v>
      </c>
      <c r="AA18" s="93" t="e">
        <f t="shared" si="0"/>
        <v>#REF!</v>
      </c>
      <c r="AB18" s="93" t="e">
        <f t="shared" si="0"/>
        <v>#REF!</v>
      </c>
      <c r="AC18" s="93" t="e">
        <f t="shared" si="0"/>
        <v>#REF!</v>
      </c>
      <c r="AD18" s="93" t="e">
        <f t="shared" si="0"/>
        <v>#REF!</v>
      </c>
      <c r="AE18" s="93" t="e">
        <f t="shared" si="0"/>
        <v>#REF!</v>
      </c>
      <c r="AF18" s="93" t="e">
        <f t="shared" si="0"/>
        <v>#REF!</v>
      </c>
      <c r="AG18" s="93" t="e">
        <f t="shared" si="0"/>
        <v>#REF!</v>
      </c>
      <c r="AH18" s="93" t="e">
        <f t="shared" si="0"/>
        <v>#REF!</v>
      </c>
      <c r="AI18" s="93" t="e">
        <f t="shared" si="0"/>
        <v>#REF!</v>
      </c>
      <c r="AJ18" s="93" t="e">
        <f t="shared" si="0"/>
        <v>#REF!</v>
      </c>
      <c r="AK18" s="93" t="e">
        <f t="shared" si="0"/>
        <v>#REF!</v>
      </c>
      <c r="AL18" s="93" t="e">
        <f t="shared" si="0"/>
        <v>#REF!</v>
      </c>
      <c r="AM18" s="93" t="e">
        <f t="shared" si="0"/>
        <v>#REF!</v>
      </c>
      <c r="AN18" s="93" t="e">
        <f t="shared" si="0"/>
        <v>#REF!</v>
      </c>
      <c r="AO18" s="93" t="e">
        <f t="shared" si="0"/>
        <v>#REF!</v>
      </c>
      <c r="AP18" s="93" t="e">
        <f t="shared" si="0"/>
        <v>#REF!</v>
      </c>
      <c r="AQ18" s="93" t="e">
        <f t="shared" si="0"/>
        <v>#REF!</v>
      </c>
      <c r="AR18" s="93" t="e">
        <f t="shared" si="0"/>
        <v>#REF!</v>
      </c>
      <c r="AS18" s="93" t="e">
        <f t="shared" si="0"/>
        <v>#REF!</v>
      </c>
      <c r="AT18" s="93" t="e">
        <f t="shared" si="0"/>
        <v>#REF!</v>
      </c>
      <c r="AU18" s="93" t="e">
        <f t="shared" si="0"/>
        <v>#REF!</v>
      </c>
      <c r="AV18" s="93" t="e">
        <f t="shared" si="0"/>
        <v>#REF!</v>
      </c>
      <c r="AW18" s="93" t="e">
        <f t="shared" si="0"/>
        <v>#REF!</v>
      </c>
      <c r="AX18" s="93" t="e">
        <f t="shared" si="0"/>
        <v>#REF!</v>
      </c>
      <c r="AY18" s="93" t="e">
        <f t="shared" si="0"/>
        <v>#REF!</v>
      </c>
      <c r="AZ18" s="93" t="e">
        <f t="shared" si="0"/>
        <v>#REF!</v>
      </c>
      <c r="BA18" s="93" t="e">
        <f t="shared" si="0"/>
        <v>#REF!</v>
      </c>
      <c r="BB18" s="93" t="e">
        <f t="shared" si="0"/>
        <v>#REF!</v>
      </c>
      <c r="BC18" s="93" t="e">
        <f t="shared" si="0"/>
        <v>#REF!</v>
      </c>
      <c r="BD18" s="93" t="e">
        <f t="shared" si="0"/>
        <v>#REF!</v>
      </c>
      <c r="BE18" s="93" t="e">
        <f t="shared" si="0"/>
        <v>#REF!</v>
      </c>
      <c r="BF18" s="93" t="e">
        <f t="shared" si="0"/>
        <v>#REF!</v>
      </c>
      <c r="BG18" s="93" t="e">
        <f t="shared" si="0"/>
        <v>#REF!</v>
      </c>
      <c r="BH18" s="93" t="e">
        <f t="shared" si="0"/>
        <v>#REF!</v>
      </c>
      <c r="BI18" s="93" t="e">
        <f t="shared" si="0"/>
        <v>#REF!</v>
      </c>
      <c r="BJ18" s="93" t="e">
        <f t="shared" si="0"/>
        <v>#REF!</v>
      </c>
      <c r="BK18" s="93" t="e">
        <f t="shared" si="0"/>
        <v>#REF!</v>
      </c>
      <c r="BL18" s="93" t="e">
        <f>YEAR(BL19)</f>
        <v>#REF!</v>
      </c>
      <c r="BM18" s="93" t="e">
        <f t="shared" si="0"/>
        <v>#REF!</v>
      </c>
      <c r="BN18" s="93" t="e">
        <f t="shared" si="0"/>
        <v>#REF!</v>
      </c>
      <c r="BO18" s="93" t="e">
        <f t="shared" si="0"/>
        <v>#REF!</v>
      </c>
      <c r="BP18" s="93" t="e">
        <f t="shared" si="0"/>
        <v>#REF!</v>
      </c>
      <c r="BQ18" s="93" t="e">
        <f t="shared" si="0"/>
        <v>#REF!</v>
      </c>
    </row>
    <row r="19" spans="2:69">
      <c r="B19" s="94"/>
      <c r="C19" s="95"/>
      <c r="D19" s="95"/>
      <c r="E19" s="96"/>
      <c r="F19" s="97" t="s">
        <v>26</v>
      </c>
      <c r="G19" s="97" t="s">
        <v>27</v>
      </c>
      <c r="H19" s="84" t="s">
        <v>10</v>
      </c>
      <c r="I19" s="84" t="e">
        <f>Index!L3</f>
        <v>#REF!</v>
      </c>
      <c r="J19" s="84" t="e">
        <f>Index!M3</f>
        <v>#REF!</v>
      </c>
      <c r="K19" s="84" t="e">
        <f>Index!N3</f>
        <v>#REF!</v>
      </c>
      <c r="L19" s="84" t="e">
        <f>Index!O3</f>
        <v>#REF!</v>
      </c>
      <c r="M19" s="84" t="e">
        <f>Index!P3</f>
        <v>#REF!</v>
      </c>
      <c r="N19" s="84" t="e">
        <f>Index!Q3</f>
        <v>#REF!</v>
      </c>
      <c r="O19" s="84" t="e">
        <f>Index!R3</f>
        <v>#REF!</v>
      </c>
      <c r="P19" s="84" t="e">
        <f>Index!S3</f>
        <v>#REF!</v>
      </c>
      <c r="Q19" s="84" t="e">
        <f>Index!T3</f>
        <v>#REF!</v>
      </c>
      <c r="R19" s="84" t="e">
        <f>Index!U3</f>
        <v>#REF!</v>
      </c>
      <c r="S19" s="84" t="e">
        <f>Index!V3</f>
        <v>#REF!</v>
      </c>
      <c r="T19" s="84" t="e">
        <f>Index!W3</f>
        <v>#REF!</v>
      </c>
      <c r="U19" s="84" t="e">
        <f>Index!X3</f>
        <v>#REF!</v>
      </c>
      <c r="V19" s="84" t="e">
        <f>Index!Y3</f>
        <v>#REF!</v>
      </c>
      <c r="W19" s="84" t="e">
        <f>Index!Z3</f>
        <v>#REF!</v>
      </c>
      <c r="X19" s="84" t="e">
        <f>Index!AA3</f>
        <v>#REF!</v>
      </c>
      <c r="Y19" s="84" t="e">
        <f>Index!AB3</f>
        <v>#REF!</v>
      </c>
      <c r="Z19" s="84" t="e">
        <f>Index!AC3</f>
        <v>#REF!</v>
      </c>
      <c r="AA19" s="84" t="e">
        <f>Index!AD3</f>
        <v>#REF!</v>
      </c>
      <c r="AB19" s="84" t="e">
        <f>Index!AE3</f>
        <v>#REF!</v>
      </c>
      <c r="AC19" s="84" t="e">
        <f>Index!AF3</f>
        <v>#REF!</v>
      </c>
      <c r="AD19" s="84" t="e">
        <f>Index!AG3</f>
        <v>#REF!</v>
      </c>
      <c r="AE19" s="84" t="e">
        <f>Index!AH3</f>
        <v>#REF!</v>
      </c>
      <c r="AF19" s="84" t="e">
        <f>Index!AI3</f>
        <v>#REF!</v>
      </c>
      <c r="AG19" s="84" t="e">
        <f>Index!AJ3</f>
        <v>#REF!</v>
      </c>
      <c r="AH19" s="84" t="e">
        <f>Index!AK3</f>
        <v>#REF!</v>
      </c>
      <c r="AI19" s="84" t="e">
        <f>Index!AL3</f>
        <v>#REF!</v>
      </c>
      <c r="AJ19" s="84" t="e">
        <f>Index!AM3</f>
        <v>#REF!</v>
      </c>
      <c r="AK19" s="84" t="e">
        <f>Index!AN3</f>
        <v>#REF!</v>
      </c>
      <c r="AL19" s="84" t="e">
        <f>Index!AO3</f>
        <v>#REF!</v>
      </c>
      <c r="AM19" s="84" t="e">
        <f>Index!AP3</f>
        <v>#REF!</v>
      </c>
      <c r="AN19" s="84" t="e">
        <f>Index!AQ3</f>
        <v>#REF!</v>
      </c>
      <c r="AO19" s="84" t="e">
        <f>Index!AR3</f>
        <v>#REF!</v>
      </c>
      <c r="AP19" s="84" t="e">
        <f>Index!AS3</f>
        <v>#REF!</v>
      </c>
      <c r="AQ19" s="84" t="e">
        <f>Index!AT3</f>
        <v>#REF!</v>
      </c>
      <c r="AR19" s="84" t="e">
        <f>Index!AU3</f>
        <v>#REF!</v>
      </c>
      <c r="AS19" s="84" t="e">
        <f>Index!AV3</f>
        <v>#REF!</v>
      </c>
      <c r="AT19" s="84" t="e">
        <f>Index!AW3</f>
        <v>#REF!</v>
      </c>
      <c r="AU19" s="84" t="e">
        <f>Index!AX3</f>
        <v>#REF!</v>
      </c>
      <c r="AV19" s="84" t="e">
        <f>Index!AY3</f>
        <v>#REF!</v>
      </c>
      <c r="AW19" s="84" t="e">
        <f>Index!AZ3</f>
        <v>#REF!</v>
      </c>
      <c r="AX19" s="84" t="e">
        <f>Index!BA3</f>
        <v>#REF!</v>
      </c>
      <c r="AY19" s="84" t="e">
        <f>Index!BB3</f>
        <v>#REF!</v>
      </c>
      <c r="AZ19" s="84" t="e">
        <f>Index!BC3</f>
        <v>#REF!</v>
      </c>
      <c r="BA19" s="84" t="e">
        <f>Index!BD3</f>
        <v>#REF!</v>
      </c>
      <c r="BB19" s="84" t="e">
        <f>Index!BE3</f>
        <v>#REF!</v>
      </c>
      <c r="BC19" s="84" t="e">
        <f>Index!BF3</f>
        <v>#REF!</v>
      </c>
      <c r="BD19" s="84" t="e">
        <f>Index!BG3</f>
        <v>#REF!</v>
      </c>
      <c r="BE19" s="84" t="e">
        <f>Index!BH3</f>
        <v>#REF!</v>
      </c>
      <c r="BF19" s="84" t="e">
        <f>Index!BI3</f>
        <v>#REF!</v>
      </c>
      <c r="BG19" s="84" t="e">
        <f>Index!BJ3</f>
        <v>#REF!</v>
      </c>
      <c r="BH19" s="84" t="e">
        <f>Index!BK3</f>
        <v>#REF!</v>
      </c>
      <c r="BI19" s="84" t="e">
        <f>Index!BL3</f>
        <v>#REF!</v>
      </c>
      <c r="BJ19" s="84" t="e">
        <f>Index!BM3</f>
        <v>#REF!</v>
      </c>
      <c r="BK19" s="84" t="e">
        <f>Index!BN3</f>
        <v>#REF!</v>
      </c>
      <c r="BL19" s="84" t="e">
        <f>Index!BO3</f>
        <v>#REF!</v>
      </c>
      <c r="BM19" s="84" t="e">
        <f>Index!BP3</f>
        <v>#REF!</v>
      </c>
      <c r="BN19" s="84" t="e">
        <f>Index!BQ3</f>
        <v>#REF!</v>
      </c>
      <c r="BO19" s="84" t="e">
        <f>Index!BR3</f>
        <v>#REF!</v>
      </c>
      <c r="BP19" s="84" t="e">
        <f>Index!BS3</f>
        <v>#REF!</v>
      </c>
      <c r="BQ19" s="84" t="e">
        <f>Index!BT3</f>
        <v>#REF!</v>
      </c>
    </row>
    <row r="20" spans="2:69">
      <c r="B20" s="98" t="s">
        <v>9</v>
      </c>
      <c r="C20" s="99"/>
      <c r="D20" s="99"/>
      <c r="E20" s="99"/>
      <c r="F20" s="100"/>
      <c r="G20" s="100"/>
      <c r="H20" s="101"/>
      <c r="I20" s="98"/>
      <c r="J20" s="98"/>
      <c r="K20" s="98"/>
      <c r="L20" s="98"/>
      <c r="M20" s="98"/>
      <c r="N20" s="98"/>
      <c r="O20" s="98"/>
      <c r="P20" s="98"/>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c r="BD20" s="98"/>
      <c r="BE20" s="98"/>
      <c r="BF20" s="98"/>
      <c r="BG20" s="98"/>
      <c r="BH20" s="98"/>
      <c r="BI20" s="98"/>
      <c r="BJ20" s="98"/>
      <c r="BK20" s="98"/>
      <c r="BL20" s="98"/>
      <c r="BM20" s="98"/>
      <c r="BN20" s="98"/>
      <c r="BO20" s="98"/>
      <c r="BP20" s="98"/>
      <c r="BQ20" s="98"/>
    </row>
    <row r="21" spans="2:69">
      <c r="B21" s="102"/>
      <c r="C21" s="102"/>
      <c r="D21" s="103"/>
      <c r="E21" s="103"/>
      <c r="F21" s="104"/>
      <c r="G21" s="104"/>
      <c r="H21" s="105"/>
      <c r="I21" s="102"/>
      <c r="J21" s="102"/>
      <c r="K21" s="102"/>
      <c r="L21" s="102"/>
      <c r="M21" s="102"/>
      <c r="N21" s="102"/>
      <c r="O21" s="102"/>
      <c r="P21" s="102"/>
      <c r="Q21" s="102"/>
      <c r="R21" s="102"/>
      <c r="S21" s="102"/>
      <c r="T21" s="102"/>
      <c r="U21" s="102"/>
      <c r="V21" s="102"/>
      <c r="W21" s="102"/>
      <c r="X21" s="102"/>
      <c r="Y21" s="102"/>
      <c r="Z21" s="102"/>
      <c r="AA21" s="102"/>
      <c r="AB21" s="102"/>
      <c r="AC21" s="102"/>
      <c r="AD21" s="102"/>
      <c r="AE21" s="102"/>
      <c r="AF21" s="102"/>
      <c r="AG21" s="102"/>
      <c r="AH21" s="102"/>
      <c r="AI21" s="102"/>
      <c r="AJ21" s="102"/>
      <c r="AK21" s="102"/>
      <c r="AL21" s="102"/>
      <c r="AM21" s="102"/>
      <c r="AN21" s="102"/>
      <c r="AO21" s="102"/>
      <c r="AP21" s="102"/>
      <c r="AQ21" s="102"/>
      <c r="AR21" s="102"/>
      <c r="AS21" s="102"/>
      <c r="AT21" s="102"/>
      <c r="AU21" s="102"/>
      <c r="AV21" s="102"/>
      <c r="AW21" s="102"/>
      <c r="AX21" s="102"/>
      <c r="AY21" s="102"/>
      <c r="AZ21" s="102"/>
      <c r="BA21" s="102"/>
      <c r="BB21" s="102"/>
      <c r="BC21" s="102"/>
      <c r="BD21" s="102"/>
      <c r="BE21" s="102"/>
      <c r="BF21" s="102"/>
      <c r="BG21" s="102"/>
      <c r="BH21" s="102"/>
      <c r="BI21" s="102"/>
      <c r="BJ21" s="102"/>
      <c r="BK21" s="102"/>
      <c r="BL21" s="102"/>
      <c r="BM21" s="102"/>
      <c r="BN21" s="102"/>
      <c r="BO21" s="102"/>
      <c r="BP21" s="102"/>
      <c r="BQ21" s="102"/>
    </row>
    <row r="22" spans="2:69">
      <c r="B22" s="53"/>
      <c r="C22" s="53" t="s">
        <v>129</v>
      </c>
      <c r="D22" s="106"/>
      <c r="E22" s="106"/>
      <c r="F22" s="107"/>
      <c r="G22" s="108"/>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row>
    <row r="23" spans="2:69">
      <c r="B23" s="53"/>
      <c r="C23" s="53"/>
      <c r="D23" s="106" t="s">
        <v>142</v>
      </c>
      <c r="E23" s="144" t="e">
        <f>#REF!*(단위기간/회계기간)/화폐단위</f>
        <v>#REF!</v>
      </c>
      <c r="F23" s="107" t="e">
        <f>#REF!*(단위기간/회계기간)</f>
        <v>#REF!</v>
      </c>
      <c r="G23" s="109" t="e">
        <f>#REF!/화폐단위</f>
        <v>#REF!</v>
      </c>
      <c r="H23" s="7" t="e">
        <f t="shared" ref="H23:H28" si="1">SUM(I23:BQ23)</f>
        <v>#REF!</v>
      </c>
      <c r="I23" s="7"/>
      <c r="J23" s="7" t="e">
        <f>$F23*J$10*$G23</f>
        <v>#REF!</v>
      </c>
      <c r="K23" s="7" t="e">
        <f t="shared" ref="K23:BQ26" si="2">$F23*K$10*$G23</f>
        <v>#REF!</v>
      </c>
      <c r="L23" s="7" t="e">
        <f t="shared" si="2"/>
        <v>#REF!</v>
      </c>
      <c r="M23" s="7" t="e">
        <f t="shared" si="2"/>
        <v>#REF!</v>
      </c>
      <c r="N23" s="7" t="e">
        <f t="shared" si="2"/>
        <v>#REF!</v>
      </c>
      <c r="O23" s="7" t="e">
        <f t="shared" si="2"/>
        <v>#REF!</v>
      </c>
      <c r="P23" s="7" t="e">
        <f t="shared" si="2"/>
        <v>#REF!</v>
      </c>
      <c r="Q23" s="7" t="e">
        <f t="shared" si="2"/>
        <v>#REF!</v>
      </c>
      <c r="R23" s="7" t="e">
        <f t="shared" si="2"/>
        <v>#REF!</v>
      </c>
      <c r="S23" s="7" t="e">
        <f t="shared" si="2"/>
        <v>#REF!</v>
      </c>
      <c r="T23" s="7" t="e">
        <f t="shared" si="2"/>
        <v>#REF!</v>
      </c>
      <c r="U23" s="7" t="e">
        <f t="shared" si="2"/>
        <v>#REF!</v>
      </c>
      <c r="V23" s="7" t="e">
        <f t="shared" si="2"/>
        <v>#REF!</v>
      </c>
      <c r="W23" s="7" t="e">
        <f t="shared" si="2"/>
        <v>#REF!</v>
      </c>
      <c r="X23" s="7" t="e">
        <f t="shared" si="2"/>
        <v>#REF!</v>
      </c>
      <c r="Y23" s="7" t="e">
        <f t="shared" si="2"/>
        <v>#REF!</v>
      </c>
      <c r="Z23" s="7" t="e">
        <f t="shared" si="2"/>
        <v>#REF!</v>
      </c>
      <c r="AA23" s="7" t="e">
        <f t="shared" si="2"/>
        <v>#REF!</v>
      </c>
      <c r="AB23" s="7" t="e">
        <f t="shared" si="2"/>
        <v>#REF!</v>
      </c>
      <c r="AC23" s="7" t="e">
        <f t="shared" si="2"/>
        <v>#REF!</v>
      </c>
      <c r="AD23" s="7" t="e">
        <f t="shared" si="2"/>
        <v>#REF!</v>
      </c>
      <c r="AE23" s="7" t="e">
        <f t="shared" si="2"/>
        <v>#REF!</v>
      </c>
      <c r="AF23" s="7" t="e">
        <f t="shared" si="2"/>
        <v>#REF!</v>
      </c>
      <c r="AG23" s="7" t="e">
        <f t="shared" si="2"/>
        <v>#REF!</v>
      </c>
      <c r="AH23" s="7" t="e">
        <f t="shared" si="2"/>
        <v>#REF!</v>
      </c>
      <c r="AI23" s="7" t="e">
        <f t="shared" si="2"/>
        <v>#REF!</v>
      </c>
      <c r="AJ23" s="7" t="e">
        <f t="shared" si="2"/>
        <v>#REF!</v>
      </c>
      <c r="AK23" s="7" t="e">
        <f t="shared" si="2"/>
        <v>#REF!</v>
      </c>
      <c r="AL23" s="7" t="e">
        <f t="shared" si="2"/>
        <v>#REF!</v>
      </c>
      <c r="AM23" s="7" t="e">
        <f t="shared" si="2"/>
        <v>#REF!</v>
      </c>
      <c r="AN23" s="7" t="e">
        <f t="shared" si="2"/>
        <v>#REF!</v>
      </c>
      <c r="AO23" s="7" t="e">
        <f t="shared" si="2"/>
        <v>#REF!</v>
      </c>
      <c r="AP23" s="7" t="e">
        <f t="shared" si="2"/>
        <v>#REF!</v>
      </c>
      <c r="AQ23" s="7" t="e">
        <f t="shared" si="2"/>
        <v>#REF!</v>
      </c>
      <c r="AR23" s="7" t="e">
        <f t="shared" si="2"/>
        <v>#REF!</v>
      </c>
      <c r="AS23" s="7" t="e">
        <f t="shared" si="2"/>
        <v>#REF!</v>
      </c>
      <c r="AT23" s="7" t="e">
        <f t="shared" si="2"/>
        <v>#REF!</v>
      </c>
      <c r="AU23" s="7" t="e">
        <f t="shared" si="2"/>
        <v>#REF!</v>
      </c>
      <c r="AV23" s="7" t="e">
        <f t="shared" si="2"/>
        <v>#REF!</v>
      </c>
      <c r="AW23" s="7" t="e">
        <f t="shared" si="2"/>
        <v>#REF!</v>
      </c>
      <c r="AX23" s="7" t="e">
        <f t="shared" si="2"/>
        <v>#REF!</v>
      </c>
      <c r="AY23" s="7" t="e">
        <f t="shared" si="2"/>
        <v>#REF!</v>
      </c>
      <c r="AZ23" s="7" t="e">
        <f t="shared" si="2"/>
        <v>#REF!</v>
      </c>
      <c r="BA23" s="7" t="e">
        <f t="shared" si="2"/>
        <v>#REF!</v>
      </c>
      <c r="BB23" s="7" t="e">
        <f t="shared" si="2"/>
        <v>#REF!</v>
      </c>
      <c r="BC23" s="7" t="e">
        <f t="shared" si="2"/>
        <v>#REF!</v>
      </c>
      <c r="BD23" s="7" t="e">
        <f t="shared" si="2"/>
        <v>#REF!</v>
      </c>
      <c r="BE23" s="7" t="e">
        <f t="shared" si="2"/>
        <v>#REF!</v>
      </c>
      <c r="BF23" s="7" t="e">
        <f>$F23*BF$10*$G23</f>
        <v>#REF!</v>
      </c>
      <c r="BG23" s="7" t="e">
        <f t="shared" si="2"/>
        <v>#REF!</v>
      </c>
      <c r="BH23" s="7" t="e">
        <f t="shared" si="2"/>
        <v>#REF!</v>
      </c>
      <c r="BI23" s="7" t="e">
        <f t="shared" si="2"/>
        <v>#REF!</v>
      </c>
      <c r="BJ23" s="7" t="e">
        <f t="shared" si="2"/>
        <v>#REF!</v>
      </c>
      <c r="BK23" s="7" t="e">
        <f t="shared" si="2"/>
        <v>#REF!</v>
      </c>
      <c r="BL23" s="7" t="e">
        <f t="shared" si="2"/>
        <v>#REF!</v>
      </c>
      <c r="BM23" s="7" t="e">
        <f t="shared" si="2"/>
        <v>#REF!</v>
      </c>
      <c r="BN23" s="7" t="e">
        <f t="shared" si="2"/>
        <v>#REF!</v>
      </c>
      <c r="BO23" s="7" t="e">
        <f t="shared" si="2"/>
        <v>#REF!</v>
      </c>
      <c r="BP23" s="7" t="e">
        <f t="shared" si="2"/>
        <v>#REF!</v>
      </c>
      <c r="BQ23" s="7" t="e">
        <f t="shared" si="2"/>
        <v>#REF!</v>
      </c>
    </row>
    <row r="24" spans="2:69">
      <c r="B24" s="53"/>
      <c r="C24" s="53"/>
      <c r="D24" s="106" t="s">
        <v>143</v>
      </c>
      <c r="E24" s="144" t="e">
        <f>#REF!*(단위기간/회계기간)/화폐단위</f>
        <v>#REF!</v>
      </c>
      <c r="F24" s="107" t="e">
        <f>#REF!*(단위기간/회계기간)</f>
        <v>#REF!</v>
      </c>
      <c r="G24" s="109" t="e">
        <f>#REF!/화폐단위</f>
        <v>#REF!</v>
      </c>
      <c r="H24" s="7" t="e">
        <f t="shared" si="1"/>
        <v>#REF!</v>
      </c>
      <c r="I24" s="7"/>
      <c r="J24" s="7" t="e">
        <f>$F24*J$10*$G24</f>
        <v>#REF!</v>
      </c>
      <c r="K24" s="7" t="e">
        <f t="shared" si="2"/>
        <v>#REF!</v>
      </c>
      <c r="L24" s="7" t="e">
        <f t="shared" si="2"/>
        <v>#REF!</v>
      </c>
      <c r="M24" s="7" t="e">
        <f t="shared" si="2"/>
        <v>#REF!</v>
      </c>
      <c r="N24" s="7" t="e">
        <f t="shared" si="2"/>
        <v>#REF!</v>
      </c>
      <c r="O24" s="7" t="e">
        <f t="shared" si="2"/>
        <v>#REF!</v>
      </c>
      <c r="P24" s="7" t="e">
        <f t="shared" si="2"/>
        <v>#REF!</v>
      </c>
      <c r="Q24" s="7" t="e">
        <f t="shared" si="2"/>
        <v>#REF!</v>
      </c>
      <c r="R24" s="7" t="e">
        <f t="shared" si="2"/>
        <v>#REF!</v>
      </c>
      <c r="S24" s="7" t="e">
        <f t="shared" si="2"/>
        <v>#REF!</v>
      </c>
      <c r="T24" s="7" t="e">
        <f t="shared" si="2"/>
        <v>#REF!</v>
      </c>
      <c r="U24" s="7" t="e">
        <f t="shared" si="2"/>
        <v>#REF!</v>
      </c>
      <c r="V24" s="7" t="e">
        <f t="shared" si="2"/>
        <v>#REF!</v>
      </c>
      <c r="W24" s="7" t="e">
        <f t="shared" si="2"/>
        <v>#REF!</v>
      </c>
      <c r="X24" s="7" t="e">
        <f t="shared" si="2"/>
        <v>#REF!</v>
      </c>
      <c r="Y24" s="7" t="e">
        <f t="shared" si="2"/>
        <v>#REF!</v>
      </c>
      <c r="Z24" s="7" t="e">
        <f t="shared" si="2"/>
        <v>#REF!</v>
      </c>
      <c r="AA24" s="7" t="e">
        <f t="shared" si="2"/>
        <v>#REF!</v>
      </c>
      <c r="AB24" s="7" t="e">
        <f t="shared" si="2"/>
        <v>#REF!</v>
      </c>
      <c r="AC24" s="7" t="e">
        <f t="shared" si="2"/>
        <v>#REF!</v>
      </c>
      <c r="AD24" s="7" t="e">
        <f t="shared" si="2"/>
        <v>#REF!</v>
      </c>
      <c r="AE24" s="7" t="e">
        <f t="shared" si="2"/>
        <v>#REF!</v>
      </c>
      <c r="AF24" s="7" t="e">
        <f t="shared" si="2"/>
        <v>#REF!</v>
      </c>
      <c r="AG24" s="7" t="e">
        <f t="shared" si="2"/>
        <v>#REF!</v>
      </c>
      <c r="AH24" s="7" t="e">
        <f t="shared" si="2"/>
        <v>#REF!</v>
      </c>
      <c r="AI24" s="7" t="e">
        <f t="shared" si="2"/>
        <v>#REF!</v>
      </c>
      <c r="AJ24" s="7" t="e">
        <f t="shared" si="2"/>
        <v>#REF!</v>
      </c>
      <c r="AK24" s="7" t="e">
        <f t="shared" si="2"/>
        <v>#REF!</v>
      </c>
      <c r="AL24" s="7" t="e">
        <f t="shared" si="2"/>
        <v>#REF!</v>
      </c>
      <c r="AM24" s="7" t="e">
        <f t="shared" si="2"/>
        <v>#REF!</v>
      </c>
      <c r="AN24" s="7" t="e">
        <f t="shared" si="2"/>
        <v>#REF!</v>
      </c>
      <c r="AO24" s="7" t="e">
        <f t="shared" si="2"/>
        <v>#REF!</v>
      </c>
      <c r="AP24" s="7" t="e">
        <f t="shared" si="2"/>
        <v>#REF!</v>
      </c>
      <c r="AQ24" s="7" t="e">
        <f t="shared" si="2"/>
        <v>#REF!</v>
      </c>
      <c r="AR24" s="7" t="e">
        <f t="shared" si="2"/>
        <v>#REF!</v>
      </c>
      <c r="AS24" s="7" t="e">
        <f t="shared" si="2"/>
        <v>#REF!</v>
      </c>
      <c r="AT24" s="7" t="e">
        <f t="shared" si="2"/>
        <v>#REF!</v>
      </c>
      <c r="AU24" s="7" t="e">
        <f t="shared" si="2"/>
        <v>#REF!</v>
      </c>
      <c r="AV24" s="7" t="e">
        <f t="shared" si="2"/>
        <v>#REF!</v>
      </c>
      <c r="AW24" s="7" t="e">
        <f t="shared" si="2"/>
        <v>#REF!</v>
      </c>
      <c r="AX24" s="7" t="e">
        <f t="shared" si="2"/>
        <v>#REF!</v>
      </c>
      <c r="AY24" s="7" t="e">
        <f t="shared" si="2"/>
        <v>#REF!</v>
      </c>
      <c r="AZ24" s="7" t="e">
        <f t="shared" si="2"/>
        <v>#REF!</v>
      </c>
      <c r="BA24" s="7" t="e">
        <f t="shared" si="2"/>
        <v>#REF!</v>
      </c>
      <c r="BB24" s="7" t="e">
        <f t="shared" si="2"/>
        <v>#REF!</v>
      </c>
      <c r="BC24" s="7" t="e">
        <f t="shared" si="2"/>
        <v>#REF!</v>
      </c>
      <c r="BD24" s="7" t="e">
        <f t="shared" si="2"/>
        <v>#REF!</v>
      </c>
      <c r="BE24" s="7" t="e">
        <f t="shared" si="2"/>
        <v>#REF!</v>
      </c>
      <c r="BF24" s="7" t="e">
        <f>$F24*BF$10*$G24</f>
        <v>#REF!</v>
      </c>
      <c r="BG24" s="7" t="e">
        <f t="shared" si="2"/>
        <v>#REF!</v>
      </c>
      <c r="BH24" s="7" t="e">
        <f t="shared" si="2"/>
        <v>#REF!</v>
      </c>
      <c r="BI24" s="7" t="e">
        <f t="shared" si="2"/>
        <v>#REF!</v>
      </c>
      <c r="BJ24" s="7" t="e">
        <f t="shared" si="2"/>
        <v>#REF!</v>
      </c>
      <c r="BK24" s="7" t="e">
        <f t="shared" si="2"/>
        <v>#REF!</v>
      </c>
      <c r="BL24" s="7" t="e">
        <f t="shared" si="2"/>
        <v>#REF!</v>
      </c>
      <c r="BM24" s="7" t="e">
        <f t="shared" si="2"/>
        <v>#REF!</v>
      </c>
      <c r="BN24" s="7" t="e">
        <f t="shared" si="2"/>
        <v>#REF!</v>
      </c>
      <c r="BO24" s="7" t="e">
        <f t="shared" si="2"/>
        <v>#REF!</v>
      </c>
      <c r="BP24" s="7" t="e">
        <f t="shared" si="2"/>
        <v>#REF!</v>
      </c>
      <c r="BQ24" s="7" t="e">
        <f t="shared" si="2"/>
        <v>#REF!</v>
      </c>
    </row>
    <row r="25" spans="2:69">
      <c r="B25" s="53"/>
      <c r="C25" s="53"/>
      <c r="D25" s="106" t="s">
        <v>130</v>
      </c>
      <c r="E25" s="144" t="e">
        <f>#REF!*(단위기간/회계기간)/화폐단위</f>
        <v>#REF!</v>
      </c>
      <c r="F25" s="107" t="e">
        <f>#REF!*(단위기간/회계기간)</f>
        <v>#REF!</v>
      </c>
      <c r="G25" s="109" t="e">
        <f>#REF!/화폐단위</f>
        <v>#REF!</v>
      </c>
      <c r="H25" s="7" t="e">
        <f t="shared" si="1"/>
        <v>#REF!</v>
      </c>
      <c r="I25" s="7"/>
      <c r="J25" s="7" t="e">
        <f>$F25*J$10*$G25</f>
        <v>#REF!</v>
      </c>
      <c r="K25" s="7" t="e">
        <f t="shared" si="2"/>
        <v>#REF!</v>
      </c>
      <c r="L25" s="7" t="e">
        <f t="shared" si="2"/>
        <v>#REF!</v>
      </c>
      <c r="M25" s="7" t="e">
        <f t="shared" si="2"/>
        <v>#REF!</v>
      </c>
      <c r="N25" s="7" t="e">
        <f t="shared" si="2"/>
        <v>#REF!</v>
      </c>
      <c r="O25" s="7" t="e">
        <f t="shared" si="2"/>
        <v>#REF!</v>
      </c>
      <c r="P25" s="7" t="e">
        <f t="shared" si="2"/>
        <v>#REF!</v>
      </c>
      <c r="Q25" s="7" t="e">
        <f t="shared" si="2"/>
        <v>#REF!</v>
      </c>
      <c r="R25" s="7" t="e">
        <f t="shared" si="2"/>
        <v>#REF!</v>
      </c>
      <c r="S25" s="7" t="e">
        <f t="shared" si="2"/>
        <v>#REF!</v>
      </c>
      <c r="T25" s="7" t="e">
        <f t="shared" si="2"/>
        <v>#REF!</v>
      </c>
      <c r="U25" s="7" t="e">
        <f t="shared" si="2"/>
        <v>#REF!</v>
      </c>
      <c r="V25" s="7" t="e">
        <f t="shared" si="2"/>
        <v>#REF!</v>
      </c>
      <c r="W25" s="7" t="e">
        <f t="shared" si="2"/>
        <v>#REF!</v>
      </c>
      <c r="X25" s="7" t="e">
        <f t="shared" si="2"/>
        <v>#REF!</v>
      </c>
      <c r="Y25" s="7" t="e">
        <f t="shared" si="2"/>
        <v>#REF!</v>
      </c>
      <c r="Z25" s="7" t="e">
        <f t="shared" si="2"/>
        <v>#REF!</v>
      </c>
      <c r="AA25" s="7" t="e">
        <f t="shared" si="2"/>
        <v>#REF!</v>
      </c>
      <c r="AB25" s="7" t="e">
        <f t="shared" si="2"/>
        <v>#REF!</v>
      </c>
      <c r="AC25" s="7" t="e">
        <f t="shared" si="2"/>
        <v>#REF!</v>
      </c>
      <c r="AD25" s="7" t="e">
        <f t="shared" si="2"/>
        <v>#REF!</v>
      </c>
      <c r="AE25" s="7" t="e">
        <f t="shared" si="2"/>
        <v>#REF!</v>
      </c>
      <c r="AF25" s="7" t="e">
        <f t="shared" si="2"/>
        <v>#REF!</v>
      </c>
      <c r="AG25" s="7" t="e">
        <f t="shared" si="2"/>
        <v>#REF!</v>
      </c>
      <c r="AH25" s="7" t="e">
        <f t="shared" si="2"/>
        <v>#REF!</v>
      </c>
      <c r="AI25" s="7" t="e">
        <f t="shared" si="2"/>
        <v>#REF!</v>
      </c>
      <c r="AJ25" s="7" t="e">
        <f t="shared" si="2"/>
        <v>#REF!</v>
      </c>
      <c r="AK25" s="7" t="e">
        <f t="shared" si="2"/>
        <v>#REF!</v>
      </c>
      <c r="AL25" s="7" t="e">
        <f t="shared" si="2"/>
        <v>#REF!</v>
      </c>
      <c r="AM25" s="7" t="e">
        <f t="shared" si="2"/>
        <v>#REF!</v>
      </c>
      <c r="AN25" s="7" t="e">
        <f t="shared" si="2"/>
        <v>#REF!</v>
      </c>
      <c r="AO25" s="7" t="e">
        <f t="shared" si="2"/>
        <v>#REF!</v>
      </c>
      <c r="AP25" s="7" t="e">
        <f t="shared" si="2"/>
        <v>#REF!</v>
      </c>
      <c r="AQ25" s="7" t="e">
        <f t="shared" si="2"/>
        <v>#REF!</v>
      </c>
      <c r="AR25" s="7" t="e">
        <f t="shared" si="2"/>
        <v>#REF!</v>
      </c>
      <c r="AS25" s="7" t="e">
        <f t="shared" si="2"/>
        <v>#REF!</v>
      </c>
      <c r="AT25" s="7" t="e">
        <f t="shared" si="2"/>
        <v>#REF!</v>
      </c>
      <c r="AU25" s="7" t="e">
        <f t="shared" si="2"/>
        <v>#REF!</v>
      </c>
      <c r="AV25" s="7" t="e">
        <f t="shared" si="2"/>
        <v>#REF!</v>
      </c>
      <c r="AW25" s="7" t="e">
        <f t="shared" si="2"/>
        <v>#REF!</v>
      </c>
      <c r="AX25" s="7" t="e">
        <f t="shared" si="2"/>
        <v>#REF!</v>
      </c>
      <c r="AY25" s="7" t="e">
        <f t="shared" si="2"/>
        <v>#REF!</v>
      </c>
      <c r="AZ25" s="7" t="e">
        <f t="shared" si="2"/>
        <v>#REF!</v>
      </c>
      <c r="BA25" s="7" t="e">
        <f t="shared" si="2"/>
        <v>#REF!</v>
      </c>
      <c r="BB25" s="7" t="e">
        <f t="shared" si="2"/>
        <v>#REF!</v>
      </c>
      <c r="BC25" s="7" t="e">
        <f t="shared" si="2"/>
        <v>#REF!</v>
      </c>
      <c r="BD25" s="7" t="e">
        <f t="shared" si="2"/>
        <v>#REF!</v>
      </c>
      <c r="BE25" s="7" t="e">
        <f t="shared" si="2"/>
        <v>#REF!</v>
      </c>
      <c r="BF25" s="7" t="e">
        <f>$F25*BF$10*$G25</f>
        <v>#REF!</v>
      </c>
      <c r="BG25" s="7" t="e">
        <f t="shared" si="2"/>
        <v>#REF!</v>
      </c>
      <c r="BH25" s="7" t="e">
        <f t="shared" si="2"/>
        <v>#REF!</v>
      </c>
      <c r="BI25" s="7" t="e">
        <f t="shared" si="2"/>
        <v>#REF!</v>
      </c>
      <c r="BJ25" s="7" t="e">
        <f t="shared" si="2"/>
        <v>#REF!</v>
      </c>
      <c r="BK25" s="7" t="e">
        <f t="shared" si="2"/>
        <v>#REF!</v>
      </c>
      <c r="BL25" s="7" t="e">
        <f t="shared" si="2"/>
        <v>#REF!</v>
      </c>
      <c r="BM25" s="7" t="e">
        <f t="shared" si="2"/>
        <v>#REF!</v>
      </c>
      <c r="BN25" s="7" t="e">
        <f t="shared" si="2"/>
        <v>#REF!</v>
      </c>
      <c r="BO25" s="7" t="e">
        <f t="shared" si="2"/>
        <v>#REF!</v>
      </c>
      <c r="BP25" s="7" t="e">
        <f t="shared" si="2"/>
        <v>#REF!</v>
      </c>
      <c r="BQ25" s="7" t="e">
        <f t="shared" si="2"/>
        <v>#REF!</v>
      </c>
    </row>
    <row r="26" spans="2:69" ht="27">
      <c r="B26" s="53"/>
      <c r="C26" s="53"/>
      <c r="D26" s="146" t="s">
        <v>144</v>
      </c>
      <c r="E26" s="144" t="e">
        <f>#REF!*(단위기간/회계기간)/화폐단위</f>
        <v>#REF!</v>
      </c>
      <c r="F26" s="107" t="e">
        <f>#REF!*(단위기간/회계기간)</f>
        <v>#REF!</v>
      </c>
      <c r="G26" s="109" t="e">
        <f>#REF!/화폐단위</f>
        <v>#REF!</v>
      </c>
      <c r="H26" s="7" t="e">
        <f t="shared" si="1"/>
        <v>#REF!</v>
      </c>
      <c r="I26" s="7"/>
      <c r="J26" s="7" t="e">
        <f>$F26*J$10*$G26</f>
        <v>#REF!</v>
      </c>
      <c r="K26" s="7" t="e">
        <f t="shared" si="2"/>
        <v>#REF!</v>
      </c>
      <c r="L26" s="7" t="e">
        <f t="shared" si="2"/>
        <v>#REF!</v>
      </c>
      <c r="M26" s="7" t="e">
        <f t="shared" si="2"/>
        <v>#REF!</v>
      </c>
      <c r="N26" s="7" t="e">
        <f t="shared" si="2"/>
        <v>#REF!</v>
      </c>
      <c r="O26" s="7" t="e">
        <f t="shared" si="2"/>
        <v>#REF!</v>
      </c>
      <c r="P26" s="7" t="e">
        <f t="shared" si="2"/>
        <v>#REF!</v>
      </c>
      <c r="Q26" s="7" t="e">
        <f t="shared" si="2"/>
        <v>#REF!</v>
      </c>
      <c r="R26" s="7" t="e">
        <f t="shared" si="2"/>
        <v>#REF!</v>
      </c>
      <c r="S26" s="7" t="e">
        <f t="shared" si="2"/>
        <v>#REF!</v>
      </c>
      <c r="T26" s="7" t="e">
        <f t="shared" si="2"/>
        <v>#REF!</v>
      </c>
      <c r="U26" s="7" t="e">
        <f t="shared" si="2"/>
        <v>#REF!</v>
      </c>
      <c r="V26" s="7" t="e">
        <f t="shared" si="2"/>
        <v>#REF!</v>
      </c>
      <c r="W26" s="7" t="e">
        <f t="shared" si="2"/>
        <v>#REF!</v>
      </c>
      <c r="X26" s="7" t="e">
        <f t="shared" si="2"/>
        <v>#REF!</v>
      </c>
      <c r="Y26" s="7" t="e">
        <f t="shared" si="2"/>
        <v>#REF!</v>
      </c>
      <c r="Z26" s="7" t="e">
        <f t="shared" si="2"/>
        <v>#REF!</v>
      </c>
      <c r="AA26" s="7" t="e">
        <f t="shared" si="2"/>
        <v>#REF!</v>
      </c>
      <c r="AB26" s="7" t="e">
        <f t="shared" si="2"/>
        <v>#REF!</v>
      </c>
      <c r="AC26" s="7" t="e">
        <f t="shared" si="2"/>
        <v>#REF!</v>
      </c>
      <c r="AD26" s="7" t="e">
        <f t="shared" si="2"/>
        <v>#REF!</v>
      </c>
      <c r="AE26" s="7" t="e">
        <f t="shared" si="2"/>
        <v>#REF!</v>
      </c>
      <c r="AF26" s="7" t="e">
        <f t="shared" si="2"/>
        <v>#REF!</v>
      </c>
      <c r="AG26" s="7" t="e">
        <f t="shared" si="2"/>
        <v>#REF!</v>
      </c>
      <c r="AH26" s="7" t="e">
        <f t="shared" si="2"/>
        <v>#REF!</v>
      </c>
      <c r="AI26" s="7" t="e">
        <f t="shared" si="2"/>
        <v>#REF!</v>
      </c>
      <c r="AJ26" s="7" t="e">
        <f t="shared" si="2"/>
        <v>#REF!</v>
      </c>
      <c r="AK26" s="7" t="e">
        <f t="shared" si="2"/>
        <v>#REF!</v>
      </c>
      <c r="AL26" s="7" t="e">
        <f t="shared" si="2"/>
        <v>#REF!</v>
      </c>
      <c r="AM26" s="7" t="e">
        <f t="shared" si="2"/>
        <v>#REF!</v>
      </c>
      <c r="AN26" s="7" t="e">
        <f t="shared" si="2"/>
        <v>#REF!</v>
      </c>
      <c r="AO26" s="7" t="e">
        <f t="shared" si="2"/>
        <v>#REF!</v>
      </c>
      <c r="AP26" s="7" t="e">
        <f t="shared" si="2"/>
        <v>#REF!</v>
      </c>
      <c r="AQ26" s="7" t="e">
        <f t="shared" si="2"/>
        <v>#REF!</v>
      </c>
      <c r="AR26" s="7" t="e">
        <f t="shared" si="2"/>
        <v>#REF!</v>
      </c>
      <c r="AS26" s="7" t="e">
        <f t="shared" si="2"/>
        <v>#REF!</v>
      </c>
      <c r="AT26" s="7" t="e">
        <f t="shared" si="2"/>
        <v>#REF!</v>
      </c>
      <c r="AU26" s="7" t="e">
        <f t="shared" si="2"/>
        <v>#REF!</v>
      </c>
      <c r="AV26" s="7" t="e">
        <f t="shared" si="2"/>
        <v>#REF!</v>
      </c>
      <c r="AW26" s="7" t="e">
        <f t="shared" si="2"/>
        <v>#REF!</v>
      </c>
      <c r="AX26" s="7" t="e">
        <f t="shared" si="2"/>
        <v>#REF!</v>
      </c>
      <c r="AY26" s="7" t="e">
        <f t="shared" si="2"/>
        <v>#REF!</v>
      </c>
      <c r="AZ26" s="7" t="e">
        <f t="shared" si="2"/>
        <v>#REF!</v>
      </c>
      <c r="BA26" s="7" t="e">
        <f t="shared" si="2"/>
        <v>#REF!</v>
      </c>
      <c r="BB26" s="7" t="e">
        <f t="shared" si="2"/>
        <v>#REF!</v>
      </c>
      <c r="BC26" s="7" t="e">
        <f t="shared" si="2"/>
        <v>#REF!</v>
      </c>
      <c r="BD26" s="7" t="e">
        <f t="shared" si="2"/>
        <v>#REF!</v>
      </c>
      <c r="BE26" s="7" t="e">
        <f t="shared" si="2"/>
        <v>#REF!</v>
      </c>
      <c r="BF26" s="7" t="e">
        <f>$F26*BF$10*$G26</f>
        <v>#REF!</v>
      </c>
      <c r="BG26" s="7" t="e">
        <f t="shared" si="2"/>
        <v>#REF!</v>
      </c>
      <c r="BH26" s="7" t="e">
        <f t="shared" si="2"/>
        <v>#REF!</v>
      </c>
      <c r="BI26" s="7" t="e">
        <f t="shared" si="2"/>
        <v>#REF!</v>
      </c>
      <c r="BJ26" s="7" t="e">
        <f t="shared" si="2"/>
        <v>#REF!</v>
      </c>
      <c r="BK26" s="7" t="e">
        <f t="shared" si="2"/>
        <v>#REF!</v>
      </c>
      <c r="BL26" s="7" t="e">
        <f t="shared" si="2"/>
        <v>#REF!</v>
      </c>
      <c r="BM26" s="7" t="e">
        <f t="shared" si="2"/>
        <v>#REF!</v>
      </c>
      <c r="BN26" s="7" t="e">
        <f t="shared" si="2"/>
        <v>#REF!</v>
      </c>
      <c r="BO26" s="7" t="e">
        <f t="shared" si="2"/>
        <v>#REF!</v>
      </c>
      <c r="BP26" s="7" t="e">
        <f t="shared" si="2"/>
        <v>#REF!</v>
      </c>
      <c r="BQ26" s="7" t="e">
        <f t="shared" si="2"/>
        <v>#REF!</v>
      </c>
    </row>
    <row r="27" spans="2:69">
      <c r="B27" s="53"/>
      <c r="C27" s="53" t="s">
        <v>131</v>
      </c>
      <c r="D27" s="106"/>
      <c r="E27" s="106"/>
      <c r="F27" s="107"/>
      <c r="G27" s="109"/>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row>
    <row r="28" spans="2:69">
      <c r="B28" s="53"/>
      <c r="C28" s="53"/>
      <c r="D28" s="106" t="s">
        <v>145</v>
      </c>
      <c r="E28" s="144" t="e">
        <f>#REF!*(단위기간/회계기간)/화폐단위</f>
        <v>#REF!</v>
      </c>
      <c r="F28" s="107" t="e">
        <f>#REF!*(단위기간/회계기간)</f>
        <v>#REF!</v>
      </c>
      <c r="G28" s="109" t="e">
        <f>#REF!/화폐단위</f>
        <v>#REF!</v>
      </c>
      <c r="H28" s="7" t="e">
        <f t="shared" si="1"/>
        <v>#REF!</v>
      </c>
      <c r="I28" s="7"/>
      <c r="J28" s="7" t="e">
        <f>$F28*J$10*$G28</f>
        <v>#REF!</v>
      </c>
      <c r="K28" s="7" t="e">
        <f t="shared" ref="K28:BQ28" si="3">$F28*K$10*$G28</f>
        <v>#REF!</v>
      </c>
      <c r="L28" s="7" t="e">
        <f t="shared" si="3"/>
        <v>#REF!</v>
      </c>
      <c r="M28" s="7" t="e">
        <f t="shared" si="3"/>
        <v>#REF!</v>
      </c>
      <c r="N28" s="7" t="e">
        <f t="shared" si="3"/>
        <v>#REF!</v>
      </c>
      <c r="O28" s="7" t="e">
        <f t="shared" si="3"/>
        <v>#REF!</v>
      </c>
      <c r="P28" s="7" t="e">
        <f t="shared" si="3"/>
        <v>#REF!</v>
      </c>
      <c r="Q28" s="7" t="e">
        <f t="shared" si="3"/>
        <v>#REF!</v>
      </c>
      <c r="R28" s="7" t="e">
        <f t="shared" si="3"/>
        <v>#REF!</v>
      </c>
      <c r="S28" s="7" t="e">
        <f t="shared" si="3"/>
        <v>#REF!</v>
      </c>
      <c r="T28" s="7" t="e">
        <f t="shared" si="3"/>
        <v>#REF!</v>
      </c>
      <c r="U28" s="7" t="e">
        <f t="shared" si="3"/>
        <v>#REF!</v>
      </c>
      <c r="V28" s="7" t="e">
        <f t="shared" si="3"/>
        <v>#REF!</v>
      </c>
      <c r="W28" s="7" t="e">
        <f t="shared" si="3"/>
        <v>#REF!</v>
      </c>
      <c r="X28" s="7" t="e">
        <f t="shared" si="3"/>
        <v>#REF!</v>
      </c>
      <c r="Y28" s="7" t="e">
        <f t="shared" si="3"/>
        <v>#REF!</v>
      </c>
      <c r="Z28" s="7" t="e">
        <f t="shared" si="3"/>
        <v>#REF!</v>
      </c>
      <c r="AA28" s="7" t="e">
        <f t="shared" si="3"/>
        <v>#REF!</v>
      </c>
      <c r="AB28" s="7" t="e">
        <f t="shared" si="3"/>
        <v>#REF!</v>
      </c>
      <c r="AC28" s="7" t="e">
        <f t="shared" si="3"/>
        <v>#REF!</v>
      </c>
      <c r="AD28" s="7" t="e">
        <f t="shared" si="3"/>
        <v>#REF!</v>
      </c>
      <c r="AE28" s="7" t="e">
        <f t="shared" si="3"/>
        <v>#REF!</v>
      </c>
      <c r="AF28" s="7" t="e">
        <f t="shared" si="3"/>
        <v>#REF!</v>
      </c>
      <c r="AG28" s="7" t="e">
        <f t="shared" si="3"/>
        <v>#REF!</v>
      </c>
      <c r="AH28" s="7" t="e">
        <f t="shared" si="3"/>
        <v>#REF!</v>
      </c>
      <c r="AI28" s="7" t="e">
        <f t="shared" si="3"/>
        <v>#REF!</v>
      </c>
      <c r="AJ28" s="7" t="e">
        <f t="shared" si="3"/>
        <v>#REF!</v>
      </c>
      <c r="AK28" s="7" t="e">
        <f t="shared" si="3"/>
        <v>#REF!</v>
      </c>
      <c r="AL28" s="7" t="e">
        <f t="shared" si="3"/>
        <v>#REF!</v>
      </c>
      <c r="AM28" s="7" t="e">
        <f t="shared" si="3"/>
        <v>#REF!</v>
      </c>
      <c r="AN28" s="7" t="e">
        <f t="shared" si="3"/>
        <v>#REF!</v>
      </c>
      <c r="AO28" s="7" t="e">
        <f t="shared" si="3"/>
        <v>#REF!</v>
      </c>
      <c r="AP28" s="7" t="e">
        <f t="shared" si="3"/>
        <v>#REF!</v>
      </c>
      <c r="AQ28" s="7" t="e">
        <f t="shared" si="3"/>
        <v>#REF!</v>
      </c>
      <c r="AR28" s="7" t="e">
        <f t="shared" si="3"/>
        <v>#REF!</v>
      </c>
      <c r="AS28" s="7" t="e">
        <f t="shared" si="3"/>
        <v>#REF!</v>
      </c>
      <c r="AT28" s="7" t="e">
        <f t="shared" si="3"/>
        <v>#REF!</v>
      </c>
      <c r="AU28" s="7" t="e">
        <f t="shared" si="3"/>
        <v>#REF!</v>
      </c>
      <c r="AV28" s="7" t="e">
        <f t="shared" si="3"/>
        <v>#REF!</v>
      </c>
      <c r="AW28" s="7" t="e">
        <f t="shared" si="3"/>
        <v>#REF!</v>
      </c>
      <c r="AX28" s="7" t="e">
        <f t="shared" si="3"/>
        <v>#REF!</v>
      </c>
      <c r="AY28" s="7" t="e">
        <f t="shared" si="3"/>
        <v>#REF!</v>
      </c>
      <c r="AZ28" s="7" t="e">
        <f t="shared" si="3"/>
        <v>#REF!</v>
      </c>
      <c r="BA28" s="7" t="e">
        <f t="shared" si="3"/>
        <v>#REF!</v>
      </c>
      <c r="BB28" s="7" t="e">
        <f t="shared" si="3"/>
        <v>#REF!</v>
      </c>
      <c r="BC28" s="7" t="e">
        <f t="shared" si="3"/>
        <v>#REF!</v>
      </c>
      <c r="BD28" s="7" t="e">
        <f t="shared" si="3"/>
        <v>#REF!</v>
      </c>
      <c r="BE28" s="7" t="e">
        <f t="shared" si="3"/>
        <v>#REF!</v>
      </c>
      <c r="BF28" s="7" t="e">
        <f>$F28*BF$10*$G28</f>
        <v>#REF!</v>
      </c>
      <c r="BG28" s="7" t="e">
        <f t="shared" si="3"/>
        <v>#REF!</v>
      </c>
      <c r="BH28" s="7" t="e">
        <f t="shared" si="3"/>
        <v>#REF!</v>
      </c>
      <c r="BI28" s="7" t="e">
        <f t="shared" si="3"/>
        <v>#REF!</v>
      </c>
      <c r="BJ28" s="7" t="e">
        <f t="shared" si="3"/>
        <v>#REF!</v>
      </c>
      <c r="BK28" s="7" t="e">
        <f t="shared" si="3"/>
        <v>#REF!</v>
      </c>
      <c r="BL28" s="7" t="e">
        <f t="shared" si="3"/>
        <v>#REF!</v>
      </c>
      <c r="BM28" s="7" t="e">
        <f t="shared" si="3"/>
        <v>#REF!</v>
      </c>
      <c r="BN28" s="7" t="e">
        <f t="shared" si="3"/>
        <v>#REF!</v>
      </c>
      <c r="BO28" s="7" t="e">
        <f t="shared" si="3"/>
        <v>#REF!</v>
      </c>
      <c r="BP28" s="7" t="e">
        <f t="shared" si="3"/>
        <v>#REF!</v>
      </c>
      <c r="BQ28" s="7" t="e">
        <f t="shared" si="3"/>
        <v>#REF!</v>
      </c>
    </row>
    <row r="29" spans="2:69">
      <c r="B29" s="53"/>
      <c r="C29" s="71" t="s">
        <v>10</v>
      </c>
      <c r="D29" s="110"/>
      <c r="E29" s="145" t="e">
        <f>SUM(E23:E28)</f>
        <v>#REF!</v>
      </c>
      <c r="F29" s="111"/>
      <c r="G29" s="111"/>
      <c r="H29" s="112" t="e">
        <f>SUM(H22:H28)</f>
        <v>#REF!</v>
      </c>
      <c r="I29" s="112"/>
      <c r="J29" s="112" t="e">
        <f t="shared" ref="J29:BQ29" si="4">SUM(J22:J28)</f>
        <v>#REF!</v>
      </c>
      <c r="K29" s="112" t="e">
        <f t="shared" si="4"/>
        <v>#REF!</v>
      </c>
      <c r="L29" s="112" t="e">
        <f t="shared" si="4"/>
        <v>#REF!</v>
      </c>
      <c r="M29" s="112" t="e">
        <f t="shared" si="4"/>
        <v>#REF!</v>
      </c>
      <c r="N29" s="112" t="e">
        <f t="shared" si="4"/>
        <v>#REF!</v>
      </c>
      <c r="O29" s="112" t="e">
        <f t="shared" si="4"/>
        <v>#REF!</v>
      </c>
      <c r="P29" s="112" t="e">
        <f t="shared" si="4"/>
        <v>#REF!</v>
      </c>
      <c r="Q29" s="112" t="e">
        <f t="shared" si="4"/>
        <v>#REF!</v>
      </c>
      <c r="R29" s="112" t="e">
        <f t="shared" si="4"/>
        <v>#REF!</v>
      </c>
      <c r="S29" s="112" t="e">
        <f t="shared" si="4"/>
        <v>#REF!</v>
      </c>
      <c r="T29" s="112" t="e">
        <f t="shared" si="4"/>
        <v>#REF!</v>
      </c>
      <c r="U29" s="112" t="e">
        <f t="shared" si="4"/>
        <v>#REF!</v>
      </c>
      <c r="V29" s="112" t="e">
        <f t="shared" si="4"/>
        <v>#REF!</v>
      </c>
      <c r="W29" s="112" t="e">
        <f t="shared" si="4"/>
        <v>#REF!</v>
      </c>
      <c r="X29" s="112" t="e">
        <f t="shared" si="4"/>
        <v>#REF!</v>
      </c>
      <c r="Y29" s="112" t="e">
        <f t="shared" si="4"/>
        <v>#REF!</v>
      </c>
      <c r="Z29" s="112" t="e">
        <f t="shared" si="4"/>
        <v>#REF!</v>
      </c>
      <c r="AA29" s="112" t="e">
        <f t="shared" si="4"/>
        <v>#REF!</v>
      </c>
      <c r="AB29" s="112" t="e">
        <f t="shared" si="4"/>
        <v>#REF!</v>
      </c>
      <c r="AC29" s="112" t="e">
        <f t="shared" si="4"/>
        <v>#REF!</v>
      </c>
      <c r="AD29" s="112" t="e">
        <f t="shared" si="4"/>
        <v>#REF!</v>
      </c>
      <c r="AE29" s="112" t="e">
        <f t="shared" si="4"/>
        <v>#REF!</v>
      </c>
      <c r="AF29" s="112" t="e">
        <f t="shared" si="4"/>
        <v>#REF!</v>
      </c>
      <c r="AG29" s="112" t="e">
        <f t="shared" si="4"/>
        <v>#REF!</v>
      </c>
      <c r="AH29" s="112" t="e">
        <f t="shared" si="4"/>
        <v>#REF!</v>
      </c>
      <c r="AI29" s="112" t="e">
        <f t="shared" si="4"/>
        <v>#REF!</v>
      </c>
      <c r="AJ29" s="112" t="e">
        <f t="shared" si="4"/>
        <v>#REF!</v>
      </c>
      <c r="AK29" s="112" t="e">
        <f t="shared" si="4"/>
        <v>#REF!</v>
      </c>
      <c r="AL29" s="112" t="e">
        <f t="shared" si="4"/>
        <v>#REF!</v>
      </c>
      <c r="AM29" s="112" t="e">
        <f t="shared" si="4"/>
        <v>#REF!</v>
      </c>
      <c r="AN29" s="112" t="e">
        <f t="shared" si="4"/>
        <v>#REF!</v>
      </c>
      <c r="AO29" s="112" t="e">
        <f t="shared" si="4"/>
        <v>#REF!</v>
      </c>
      <c r="AP29" s="112" t="e">
        <f t="shared" si="4"/>
        <v>#REF!</v>
      </c>
      <c r="AQ29" s="112" t="e">
        <f t="shared" si="4"/>
        <v>#REF!</v>
      </c>
      <c r="AR29" s="112" t="e">
        <f t="shared" si="4"/>
        <v>#REF!</v>
      </c>
      <c r="AS29" s="112" t="e">
        <f t="shared" si="4"/>
        <v>#REF!</v>
      </c>
      <c r="AT29" s="112" t="e">
        <f t="shared" si="4"/>
        <v>#REF!</v>
      </c>
      <c r="AU29" s="112" t="e">
        <f t="shared" si="4"/>
        <v>#REF!</v>
      </c>
      <c r="AV29" s="112" t="e">
        <f t="shared" si="4"/>
        <v>#REF!</v>
      </c>
      <c r="AW29" s="112" t="e">
        <f t="shared" si="4"/>
        <v>#REF!</v>
      </c>
      <c r="AX29" s="112" t="e">
        <f t="shared" si="4"/>
        <v>#REF!</v>
      </c>
      <c r="AY29" s="112" t="e">
        <f t="shared" si="4"/>
        <v>#REF!</v>
      </c>
      <c r="AZ29" s="112" t="e">
        <f t="shared" si="4"/>
        <v>#REF!</v>
      </c>
      <c r="BA29" s="112" t="e">
        <f t="shared" si="4"/>
        <v>#REF!</v>
      </c>
      <c r="BB29" s="112" t="e">
        <f t="shared" si="4"/>
        <v>#REF!</v>
      </c>
      <c r="BC29" s="112" t="e">
        <f t="shared" si="4"/>
        <v>#REF!</v>
      </c>
      <c r="BD29" s="112" t="e">
        <f t="shared" si="4"/>
        <v>#REF!</v>
      </c>
      <c r="BE29" s="112" t="e">
        <f t="shared" si="4"/>
        <v>#REF!</v>
      </c>
      <c r="BF29" s="112" t="e">
        <f>SUM(BF22:BF28)</f>
        <v>#REF!</v>
      </c>
      <c r="BG29" s="112" t="e">
        <f t="shared" si="4"/>
        <v>#REF!</v>
      </c>
      <c r="BH29" s="112" t="e">
        <f t="shared" si="4"/>
        <v>#REF!</v>
      </c>
      <c r="BI29" s="112" t="e">
        <f t="shared" si="4"/>
        <v>#REF!</v>
      </c>
      <c r="BJ29" s="112" t="e">
        <f t="shared" si="4"/>
        <v>#REF!</v>
      </c>
      <c r="BK29" s="112" t="e">
        <f t="shared" si="4"/>
        <v>#REF!</v>
      </c>
      <c r="BL29" s="112" t="e">
        <f t="shared" si="4"/>
        <v>#REF!</v>
      </c>
      <c r="BM29" s="112" t="e">
        <f t="shared" si="4"/>
        <v>#REF!</v>
      </c>
      <c r="BN29" s="112" t="e">
        <f t="shared" si="4"/>
        <v>#REF!</v>
      </c>
      <c r="BO29" s="112" t="e">
        <f t="shared" si="4"/>
        <v>#REF!</v>
      </c>
      <c r="BP29" s="112" t="e">
        <f t="shared" si="4"/>
        <v>#REF!</v>
      </c>
      <c r="BQ29" s="112" t="e">
        <f t="shared" si="4"/>
        <v>#REF!</v>
      </c>
    </row>
    <row r="30" spans="2:69">
      <c r="B30" s="53"/>
      <c r="C30" s="53"/>
      <c r="D30" s="113"/>
      <c r="E30" s="113"/>
      <c r="F30" s="114"/>
      <c r="G30" s="114"/>
      <c r="H30" s="7"/>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row>
    <row r="31" spans="2:69">
      <c r="B31" s="98" t="s">
        <v>8</v>
      </c>
      <c r="C31" s="98"/>
      <c r="D31" s="99"/>
      <c r="E31" s="99"/>
      <c r="F31" s="76"/>
      <c r="G31" s="76"/>
      <c r="H31" s="115"/>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c r="BJ31" s="98"/>
      <c r="BK31" s="98"/>
      <c r="BL31" s="98"/>
      <c r="BM31" s="98"/>
      <c r="BN31" s="98"/>
      <c r="BO31" s="98"/>
      <c r="BP31" s="98"/>
      <c r="BQ31" s="98"/>
    </row>
    <row r="33" spans="2:69">
      <c r="B33" s="102" t="s">
        <v>132</v>
      </c>
      <c r="C33" s="102"/>
      <c r="D33" s="103"/>
      <c r="E33" s="103"/>
      <c r="F33" s="116"/>
      <c r="G33" s="117"/>
      <c r="H33" s="105"/>
      <c r="I33" s="102"/>
      <c r="J33" s="102"/>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2"/>
      <c r="AY33" s="102"/>
      <c r="AZ33" s="102"/>
      <c r="BA33" s="102"/>
      <c r="BB33" s="102"/>
      <c r="BC33" s="102"/>
      <c r="BD33" s="102"/>
      <c r="BE33" s="102"/>
      <c r="BF33" s="102"/>
      <c r="BG33" s="102"/>
      <c r="BH33" s="102"/>
      <c r="BI33" s="102"/>
      <c r="BJ33" s="102"/>
      <c r="BK33" s="102"/>
      <c r="BL33" s="102"/>
      <c r="BM33" s="102"/>
      <c r="BN33" s="102"/>
      <c r="BO33" s="102"/>
      <c r="BP33" s="102"/>
      <c r="BQ33" s="102"/>
    </row>
    <row r="34" spans="2:69">
      <c r="B34" s="53"/>
      <c r="C34" s="104"/>
      <c r="D34" s="118" t="s">
        <v>132</v>
      </c>
      <c r="E34" s="118"/>
      <c r="F34" s="119"/>
      <c r="G34" s="120" t="e">
        <f>#REF!</f>
        <v>#REF!</v>
      </c>
      <c r="H34" s="7" t="e">
        <f>SUM(I34:BQ34)</f>
        <v>#REF!</v>
      </c>
      <c r="I34" s="7"/>
      <c r="J34" s="7" t="e">
        <f>$G34*J$29</f>
        <v>#REF!</v>
      </c>
      <c r="K34" s="7" t="e">
        <f t="shared" ref="K34:BQ34" si="5">$G34*K$29</f>
        <v>#REF!</v>
      </c>
      <c r="L34" s="7" t="e">
        <f t="shared" si="5"/>
        <v>#REF!</v>
      </c>
      <c r="M34" s="7" t="e">
        <f t="shared" si="5"/>
        <v>#REF!</v>
      </c>
      <c r="N34" s="7" t="e">
        <f t="shared" si="5"/>
        <v>#REF!</v>
      </c>
      <c r="O34" s="7" t="e">
        <f t="shared" si="5"/>
        <v>#REF!</v>
      </c>
      <c r="P34" s="7" t="e">
        <f t="shared" si="5"/>
        <v>#REF!</v>
      </c>
      <c r="Q34" s="7" t="e">
        <f t="shared" si="5"/>
        <v>#REF!</v>
      </c>
      <c r="R34" s="7" t="e">
        <f t="shared" si="5"/>
        <v>#REF!</v>
      </c>
      <c r="S34" s="7" t="e">
        <f t="shared" si="5"/>
        <v>#REF!</v>
      </c>
      <c r="T34" s="7" t="e">
        <f t="shared" si="5"/>
        <v>#REF!</v>
      </c>
      <c r="U34" s="7" t="e">
        <f t="shared" si="5"/>
        <v>#REF!</v>
      </c>
      <c r="V34" s="7" t="e">
        <f t="shared" si="5"/>
        <v>#REF!</v>
      </c>
      <c r="W34" s="7" t="e">
        <f t="shared" si="5"/>
        <v>#REF!</v>
      </c>
      <c r="X34" s="7" t="e">
        <f t="shared" si="5"/>
        <v>#REF!</v>
      </c>
      <c r="Y34" s="7" t="e">
        <f t="shared" si="5"/>
        <v>#REF!</v>
      </c>
      <c r="Z34" s="7" t="e">
        <f t="shared" si="5"/>
        <v>#REF!</v>
      </c>
      <c r="AA34" s="7" t="e">
        <f t="shared" si="5"/>
        <v>#REF!</v>
      </c>
      <c r="AB34" s="7" t="e">
        <f t="shared" si="5"/>
        <v>#REF!</v>
      </c>
      <c r="AC34" s="7" t="e">
        <f t="shared" si="5"/>
        <v>#REF!</v>
      </c>
      <c r="AD34" s="7" t="e">
        <f t="shared" si="5"/>
        <v>#REF!</v>
      </c>
      <c r="AE34" s="7" t="e">
        <f t="shared" si="5"/>
        <v>#REF!</v>
      </c>
      <c r="AF34" s="7" t="e">
        <f t="shared" si="5"/>
        <v>#REF!</v>
      </c>
      <c r="AG34" s="7" t="e">
        <f t="shared" si="5"/>
        <v>#REF!</v>
      </c>
      <c r="AH34" s="7" t="e">
        <f t="shared" si="5"/>
        <v>#REF!</v>
      </c>
      <c r="AI34" s="7" t="e">
        <f t="shared" si="5"/>
        <v>#REF!</v>
      </c>
      <c r="AJ34" s="7" t="e">
        <f t="shared" si="5"/>
        <v>#REF!</v>
      </c>
      <c r="AK34" s="7" t="e">
        <f t="shared" si="5"/>
        <v>#REF!</v>
      </c>
      <c r="AL34" s="7" t="e">
        <f t="shared" si="5"/>
        <v>#REF!</v>
      </c>
      <c r="AM34" s="7" t="e">
        <f t="shared" si="5"/>
        <v>#REF!</v>
      </c>
      <c r="AN34" s="7" t="e">
        <f t="shared" si="5"/>
        <v>#REF!</v>
      </c>
      <c r="AO34" s="7" t="e">
        <f t="shared" si="5"/>
        <v>#REF!</v>
      </c>
      <c r="AP34" s="7" t="e">
        <f t="shared" si="5"/>
        <v>#REF!</v>
      </c>
      <c r="AQ34" s="7" t="e">
        <f t="shared" si="5"/>
        <v>#REF!</v>
      </c>
      <c r="AR34" s="7" t="e">
        <f t="shared" si="5"/>
        <v>#REF!</v>
      </c>
      <c r="AS34" s="7" t="e">
        <f t="shared" si="5"/>
        <v>#REF!</v>
      </c>
      <c r="AT34" s="7" t="e">
        <f t="shared" si="5"/>
        <v>#REF!</v>
      </c>
      <c r="AU34" s="7" t="e">
        <f t="shared" si="5"/>
        <v>#REF!</v>
      </c>
      <c r="AV34" s="7" t="e">
        <f t="shared" si="5"/>
        <v>#REF!</v>
      </c>
      <c r="AW34" s="7" t="e">
        <f t="shared" si="5"/>
        <v>#REF!</v>
      </c>
      <c r="AX34" s="7" t="e">
        <f t="shared" si="5"/>
        <v>#REF!</v>
      </c>
      <c r="AY34" s="7" t="e">
        <f t="shared" si="5"/>
        <v>#REF!</v>
      </c>
      <c r="AZ34" s="7" t="e">
        <f t="shared" si="5"/>
        <v>#REF!</v>
      </c>
      <c r="BA34" s="7" t="e">
        <f t="shared" si="5"/>
        <v>#REF!</v>
      </c>
      <c r="BB34" s="7" t="e">
        <f t="shared" si="5"/>
        <v>#REF!</v>
      </c>
      <c r="BC34" s="7" t="e">
        <f t="shared" si="5"/>
        <v>#REF!</v>
      </c>
      <c r="BD34" s="7" t="e">
        <f t="shared" si="5"/>
        <v>#REF!</v>
      </c>
      <c r="BE34" s="7" t="e">
        <f t="shared" si="5"/>
        <v>#REF!</v>
      </c>
      <c r="BF34" s="7" t="e">
        <f t="shared" si="5"/>
        <v>#REF!</v>
      </c>
      <c r="BG34" s="7" t="e">
        <f t="shared" si="5"/>
        <v>#REF!</v>
      </c>
      <c r="BH34" s="7" t="e">
        <f t="shared" si="5"/>
        <v>#REF!</v>
      </c>
      <c r="BI34" s="7" t="e">
        <f t="shared" si="5"/>
        <v>#REF!</v>
      </c>
      <c r="BJ34" s="7" t="e">
        <f t="shared" si="5"/>
        <v>#REF!</v>
      </c>
      <c r="BK34" s="7" t="e">
        <f t="shared" si="5"/>
        <v>#REF!</v>
      </c>
      <c r="BL34" s="7" t="e">
        <f t="shared" si="5"/>
        <v>#REF!</v>
      </c>
      <c r="BM34" s="7" t="e">
        <f t="shared" si="5"/>
        <v>#REF!</v>
      </c>
      <c r="BN34" s="7" t="e">
        <f t="shared" si="5"/>
        <v>#REF!</v>
      </c>
      <c r="BO34" s="7" t="e">
        <f t="shared" si="5"/>
        <v>#REF!</v>
      </c>
      <c r="BP34" s="7" t="e">
        <f t="shared" si="5"/>
        <v>#REF!</v>
      </c>
      <c r="BQ34" s="7" t="e">
        <f t="shared" si="5"/>
        <v>#REF!</v>
      </c>
    </row>
    <row r="35" spans="2:69">
      <c r="B35" s="102"/>
      <c r="C35" s="104"/>
      <c r="D35" s="118"/>
      <c r="E35" s="118"/>
      <c r="F35" s="121"/>
      <c r="G35" s="120"/>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row>
    <row r="36" spans="2:69">
      <c r="B36" s="102" t="s">
        <v>133</v>
      </c>
      <c r="C36" s="104"/>
      <c r="D36" s="118"/>
      <c r="E36" s="118"/>
      <c r="F36" s="121"/>
      <c r="G36" s="120"/>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row>
    <row r="37" spans="2:69">
      <c r="B37" s="53"/>
      <c r="C37" s="104"/>
      <c r="D37" s="118" t="e">
        <f>#REF!</f>
        <v>#REF!</v>
      </c>
      <c r="E37" s="118" t="s">
        <v>100</v>
      </c>
      <c r="F37" s="120" t="str">
        <f>F8</f>
        <v>명목임금 상승률</v>
      </c>
      <c r="G37" s="119" t="e">
        <f>#REF!/화폐단위*(단위기간/회계기간)</f>
        <v>#REF!</v>
      </c>
      <c r="H37" s="7" t="e">
        <f>SUM(I37:BQ37)</f>
        <v>#REF!</v>
      </c>
      <c r="I37" s="7"/>
      <c r="J37" s="7" t="e">
        <f>$G37*J$8*J$11</f>
        <v>#REF!</v>
      </c>
      <c r="K37" s="7" t="e">
        <f t="shared" ref="K37:BQ37" si="6">$G37*K$8*K$11</f>
        <v>#REF!</v>
      </c>
      <c r="L37" s="7" t="e">
        <f t="shared" si="6"/>
        <v>#REF!</v>
      </c>
      <c r="M37" s="7" t="e">
        <f t="shared" si="6"/>
        <v>#REF!</v>
      </c>
      <c r="N37" s="7" t="e">
        <f t="shared" si="6"/>
        <v>#REF!</v>
      </c>
      <c r="O37" s="7" t="e">
        <f t="shared" si="6"/>
        <v>#REF!</v>
      </c>
      <c r="P37" s="7" t="e">
        <f t="shared" si="6"/>
        <v>#REF!</v>
      </c>
      <c r="Q37" s="7" t="e">
        <f t="shared" si="6"/>
        <v>#REF!</v>
      </c>
      <c r="R37" s="7" t="e">
        <f t="shared" si="6"/>
        <v>#REF!</v>
      </c>
      <c r="S37" s="7" t="e">
        <f t="shared" si="6"/>
        <v>#REF!</v>
      </c>
      <c r="T37" s="7" t="e">
        <f t="shared" si="6"/>
        <v>#REF!</v>
      </c>
      <c r="U37" s="7" t="e">
        <f t="shared" si="6"/>
        <v>#REF!</v>
      </c>
      <c r="V37" s="7" t="e">
        <f t="shared" si="6"/>
        <v>#REF!</v>
      </c>
      <c r="W37" s="7" t="e">
        <f t="shared" si="6"/>
        <v>#REF!</v>
      </c>
      <c r="X37" s="7" t="e">
        <f t="shared" si="6"/>
        <v>#REF!</v>
      </c>
      <c r="Y37" s="7" t="e">
        <f t="shared" si="6"/>
        <v>#REF!</v>
      </c>
      <c r="Z37" s="7" t="e">
        <f t="shared" si="6"/>
        <v>#REF!</v>
      </c>
      <c r="AA37" s="7" t="e">
        <f t="shared" si="6"/>
        <v>#REF!</v>
      </c>
      <c r="AB37" s="7" t="e">
        <f t="shared" si="6"/>
        <v>#REF!</v>
      </c>
      <c r="AC37" s="7" t="e">
        <f t="shared" si="6"/>
        <v>#REF!</v>
      </c>
      <c r="AD37" s="7" t="e">
        <f t="shared" si="6"/>
        <v>#REF!</v>
      </c>
      <c r="AE37" s="7" t="e">
        <f t="shared" si="6"/>
        <v>#REF!</v>
      </c>
      <c r="AF37" s="7" t="e">
        <f t="shared" si="6"/>
        <v>#REF!</v>
      </c>
      <c r="AG37" s="7" t="e">
        <f t="shared" si="6"/>
        <v>#REF!</v>
      </c>
      <c r="AH37" s="7" t="e">
        <f t="shared" si="6"/>
        <v>#REF!</v>
      </c>
      <c r="AI37" s="7" t="e">
        <f t="shared" si="6"/>
        <v>#REF!</v>
      </c>
      <c r="AJ37" s="7" t="e">
        <f t="shared" si="6"/>
        <v>#REF!</v>
      </c>
      <c r="AK37" s="7" t="e">
        <f t="shared" si="6"/>
        <v>#REF!</v>
      </c>
      <c r="AL37" s="7" t="e">
        <f t="shared" si="6"/>
        <v>#REF!</v>
      </c>
      <c r="AM37" s="7" t="e">
        <f t="shared" si="6"/>
        <v>#REF!</v>
      </c>
      <c r="AN37" s="7" t="e">
        <f t="shared" si="6"/>
        <v>#REF!</v>
      </c>
      <c r="AO37" s="7" t="e">
        <f t="shared" si="6"/>
        <v>#REF!</v>
      </c>
      <c r="AP37" s="7" t="e">
        <f t="shared" si="6"/>
        <v>#REF!</v>
      </c>
      <c r="AQ37" s="7" t="e">
        <f t="shared" si="6"/>
        <v>#REF!</v>
      </c>
      <c r="AR37" s="7" t="e">
        <f t="shared" si="6"/>
        <v>#REF!</v>
      </c>
      <c r="AS37" s="7" t="e">
        <f t="shared" si="6"/>
        <v>#REF!</v>
      </c>
      <c r="AT37" s="7" t="e">
        <f t="shared" si="6"/>
        <v>#REF!</v>
      </c>
      <c r="AU37" s="7" t="e">
        <f t="shared" si="6"/>
        <v>#REF!</v>
      </c>
      <c r="AV37" s="7" t="e">
        <f t="shared" si="6"/>
        <v>#REF!</v>
      </c>
      <c r="AW37" s="7" t="e">
        <f t="shared" si="6"/>
        <v>#REF!</v>
      </c>
      <c r="AX37" s="7" t="e">
        <f t="shared" si="6"/>
        <v>#REF!</v>
      </c>
      <c r="AY37" s="7" t="e">
        <f t="shared" si="6"/>
        <v>#REF!</v>
      </c>
      <c r="AZ37" s="7" t="e">
        <f t="shared" si="6"/>
        <v>#REF!</v>
      </c>
      <c r="BA37" s="7" t="e">
        <f t="shared" si="6"/>
        <v>#REF!</v>
      </c>
      <c r="BB37" s="7" t="e">
        <f t="shared" si="6"/>
        <v>#REF!</v>
      </c>
      <c r="BC37" s="7" t="e">
        <f t="shared" si="6"/>
        <v>#REF!</v>
      </c>
      <c r="BD37" s="7" t="e">
        <f t="shared" si="6"/>
        <v>#REF!</v>
      </c>
      <c r="BE37" s="7" t="e">
        <f t="shared" si="6"/>
        <v>#REF!</v>
      </c>
      <c r="BF37" s="7" t="e">
        <f>$G37*BF$8*BF$11</f>
        <v>#REF!</v>
      </c>
      <c r="BG37" s="7" t="e">
        <f t="shared" si="6"/>
        <v>#REF!</v>
      </c>
      <c r="BH37" s="7" t="e">
        <f t="shared" si="6"/>
        <v>#REF!</v>
      </c>
      <c r="BI37" s="7" t="e">
        <f t="shared" si="6"/>
        <v>#REF!</v>
      </c>
      <c r="BJ37" s="7" t="e">
        <f t="shared" si="6"/>
        <v>#REF!</v>
      </c>
      <c r="BK37" s="7" t="e">
        <f t="shared" si="6"/>
        <v>#REF!</v>
      </c>
      <c r="BL37" s="7" t="e">
        <f t="shared" si="6"/>
        <v>#REF!</v>
      </c>
      <c r="BM37" s="7" t="e">
        <f t="shared" si="6"/>
        <v>#REF!</v>
      </c>
      <c r="BN37" s="7" t="e">
        <f t="shared" si="6"/>
        <v>#REF!</v>
      </c>
      <c r="BO37" s="7" t="e">
        <f t="shared" si="6"/>
        <v>#REF!</v>
      </c>
      <c r="BP37" s="7" t="e">
        <f t="shared" si="6"/>
        <v>#REF!</v>
      </c>
      <c r="BQ37" s="7" t="e">
        <f t="shared" si="6"/>
        <v>#REF!</v>
      </c>
    </row>
    <row r="38" spans="2:69">
      <c r="B38" s="53"/>
      <c r="C38" s="104"/>
      <c r="D38" s="118" t="e">
        <f>#REF!</f>
        <v>#REF!</v>
      </c>
      <c r="E38" s="118" t="s">
        <v>100</v>
      </c>
      <c r="F38" s="120" t="e">
        <f>#REF!</f>
        <v>#REF!</v>
      </c>
      <c r="G38" s="119" t="e">
        <f>#REF!</f>
        <v>#REF!</v>
      </c>
      <c r="H38" s="7" t="e">
        <f>SUM(I38:BQ38)</f>
        <v>#REF!</v>
      </c>
      <c r="I38" s="7"/>
      <c r="J38" s="7" t="e">
        <f t="shared" ref="J38:S39" si="7">$F38*J$29*J$9</f>
        <v>#REF!</v>
      </c>
      <c r="K38" s="7" t="e">
        <f t="shared" si="7"/>
        <v>#REF!</v>
      </c>
      <c r="L38" s="7" t="e">
        <f t="shared" si="7"/>
        <v>#REF!</v>
      </c>
      <c r="M38" s="7" t="e">
        <f t="shared" si="7"/>
        <v>#REF!</v>
      </c>
      <c r="N38" s="7" t="e">
        <f t="shared" si="7"/>
        <v>#REF!</v>
      </c>
      <c r="O38" s="7" t="e">
        <f t="shared" si="7"/>
        <v>#REF!</v>
      </c>
      <c r="P38" s="7" t="e">
        <f t="shared" si="7"/>
        <v>#REF!</v>
      </c>
      <c r="Q38" s="7" t="e">
        <f t="shared" si="7"/>
        <v>#REF!</v>
      </c>
      <c r="R38" s="7" t="e">
        <f t="shared" si="7"/>
        <v>#REF!</v>
      </c>
      <c r="S38" s="7" t="e">
        <f t="shared" si="7"/>
        <v>#REF!</v>
      </c>
      <c r="T38" s="7" t="e">
        <f t="shared" ref="T38:AC39" si="8">$F38*T$29*T$9</f>
        <v>#REF!</v>
      </c>
      <c r="U38" s="7" t="e">
        <f t="shared" si="8"/>
        <v>#REF!</v>
      </c>
      <c r="V38" s="7" t="e">
        <f t="shared" si="8"/>
        <v>#REF!</v>
      </c>
      <c r="W38" s="7" t="e">
        <f t="shared" si="8"/>
        <v>#REF!</v>
      </c>
      <c r="X38" s="7" t="e">
        <f t="shared" si="8"/>
        <v>#REF!</v>
      </c>
      <c r="Y38" s="7" t="e">
        <f t="shared" si="8"/>
        <v>#REF!</v>
      </c>
      <c r="Z38" s="7" t="e">
        <f t="shared" si="8"/>
        <v>#REF!</v>
      </c>
      <c r="AA38" s="7" t="e">
        <f t="shared" si="8"/>
        <v>#REF!</v>
      </c>
      <c r="AB38" s="7" t="e">
        <f t="shared" si="8"/>
        <v>#REF!</v>
      </c>
      <c r="AC38" s="7" t="e">
        <f t="shared" si="8"/>
        <v>#REF!</v>
      </c>
      <c r="AD38" s="7" t="e">
        <f t="shared" ref="AD38:AM39" si="9">$F38*AD$29*AD$9</f>
        <v>#REF!</v>
      </c>
      <c r="AE38" s="7" t="e">
        <f t="shared" si="9"/>
        <v>#REF!</v>
      </c>
      <c r="AF38" s="7" t="e">
        <f t="shared" si="9"/>
        <v>#REF!</v>
      </c>
      <c r="AG38" s="7" t="e">
        <f t="shared" si="9"/>
        <v>#REF!</v>
      </c>
      <c r="AH38" s="7" t="e">
        <f t="shared" si="9"/>
        <v>#REF!</v>
      </c>
      <c r="AI38" s="7" t="e">
        <f t="shared" si="9"/>
        <v>#REF!</v>
      </c>
      <c r="AJ38" s="7" t="e">
        <f t="shared" si="9"/>
        <v>#REF!</v>
      </c>
      <c r="AK38" s="7" t="e">
        <f t="shared" si="9"/>
        <v>#REF!</v>
      </c>
      <c r="AL38" s="7" t="e">
        <f t="shared" si="9"/>
        <v>#REF!</v>
      </c>
      <c r="AM38" s="7" t="e">
        <f t="shared" si="9"/>
        <v>#REF!</v>
      </c>
      <c r="AN38" s="7" t="e">
        <f t="shared" ref="AN38:AW39" si="10">$F38*AN$29*AN$9</f>
        <v>#REF!</v>
      </c>
      <c r="AO38" s="7" t="e">
        <f t="shared" si="10"/>
        <v>#REF!</v>
      </c>
      <c r="AP38" s="7" t="e">
        <f t="shared" si="10"/>
        <v>#REF!</v>
      </c>
      <c r="AQ38" s="7" t="e">
        <f t="shared" si="10"/>
        <v>#REF!</v>
      </c>
      <c r="AR38" s="7" t="e">
        <f t="shared" si="10"/>
        <v>#REF!</v>
      </c>
      <c r="AS38" s="7" t="e">
        <f t="shared" si="10"/>
        <v>#REF!</v>
      </c>
      <c r="AT38" s="7" t="e">
        <f t="shared" si="10"/>
        <v>#REF!</v>
      </c>
      <c r="AU38" s="7" t="e">
        <f t="shared" si="10"/>
        <v>#REF!</v>
      </c>
      <c r="AV38" s="7" t="e">
        <f t="shared" si="10"/>
        <v>#REF!</v>
      </c>
      <c r="AW38" s="7" t="e">
        <f t="shared" si="10"/>
        <v>#REF!</v>
      </c>
      <c r="AX38" s="7" t="e">
        <f t="shared" ref="AX38:BG39" si="11">$F38*AX$29*AX$9</f>
        <v>#REF!</v>
      </c>
      <c r="AY38" s="7" t="e">
        <f t="shared" si="11"/>
        <v>#REF!</v>
      </c>
      <c r="AZ38" s="7" t="e">
        <f t="shared" si="11"/>
        <v>#REF!</v>
      </c>
      <c r="BA38" s="7" t="e">
        <f t="shared" si="11"/>
        <v>#REF!</v>
      </c>
      <c r="BB38" s="7" t="e">
        <f t="shared" si="11"/>
        <v>#REF!</v>
      </c>
      <c r="BC38" s="7" t="e">
        <f t="shared" si="11"/>
        <v>#REF!</v>
      </c>
      <c r="BD38" s="7" t="e">
        <f t="shared" si="11"/>
        <v>#REF!</v>
      </c>
      <c r="BE38" s="7" t="e">
        <f t="shared" si="11"/>
        <v>#REF!</v>
      </c>
      <c r="BF38" s="7" t="e">
        <f t="shared" si="11"/>
        <v>#REF!</v>
      </c>
      <c r="BG38" s="7" t="e">
        <f t="shared" si="11"/>
        <v>#REF!</v>
      </c>
      <c r="BH38" s="7" t="e">
        <f t="shared" ref="BH38:BQ39" si="12">$F38*BH$29*BH$9</f>
        <v>#REF!</v>
      </c>
      <c r="BI38" s="7" t="e">
        <f t="shared" si="12"/>
        <v>#REF!</v>
      </c>
      <c r="BJ38" s="7" t="e">
        <f t="shared" si="12"/>
        <v>#REF!</v>
      </c>
      <c r="BK38" s="7" t="e">
        <f t="shared" si="12"/>
        <v>#REF!</v>
      </c>
      <c r="BL38" s="7" t="e">
        <f t="shared" si="12"/>
        <v>#REF!</v>
      </c>
      <c r="BM38" s="7" t="e">
        <f t="shared" si="12"/>
        <v>#REF!</v>
      </c>
      <c r="BN38" s="7" t="e">
        <f t="shared" si="12"/>
        <v>#REF!</v>
      </c>
      <c r="BO38" s="7" t="e">
        <f t="shared" si="12"/>
        <v>#REF!</v>
      </c>
      <c r="BP38" s="7" t="e">
        <f t="shared" si="12"/>
        <v>#REF!</v>
      </c>
      <c r="BQ38" s="7" t="e">
        <f t="shared" si="12"/>
        <v>#REF!</v>
      </c>
    </row>
    <row r="39" spans="2:69">
      <c r="B39" s="53"/>
      <c r="C39" s="104"/>
      <c r="D39" s="118" t="e">
        <f>#REF!</f>
        <v>#REF!</v>
      </c>
      <c r="E39" s="118" t="s">
        <v>100</v>
      </c>
      <c r="F39" s="120" t="e">
        <f>#REF!</f>
        <v>#REF!</v>
      </c>
      <c r="G39" s="119" t="e">
        <f>#REF!</f>
        <v>#REF!</v>
      </c>
      <c r="H39" s="7" t="e">
        <f t="shared" ref="H39:H66" si="13">SUM(I39:BQ39)</f>
        <v>#REF!</v>
      </c>
      <c r="I39" s="7"/>
      <c r="J39" s="7" t="e">
        <f t="shared" si="7"/>
        <v>#REF!</v>
      </c>
      <c r="K39" s="7" t="e">
        <f t="shared" si="7"/>
        <v>#REF!</v>
      </c>
      <c r="L39" s="7" t="e">
        <f t="shared" si="7"/>
        <v>#REF!</v>
      </c>
      <c r="M39" s="7" t="e">
        <f t="shared" si="7"/>
        <v>#REF!</v>
      </c>
      <c r="N39" s="7" t="e">
        <f t="shared" si="7"/>
        <v>#REF!</v>
      </c>
      <c r="O39" s="7" t="e">
        <f t="shared" si="7"/>
        <v>#REF!</v>
      </c>
      <c r="P39" s="7" t="e">
        <f t="shared" si="7"/>
        <v>#REF!</v>
      </c>
      <c r="Q39" s="7" t="e">
        <f t="shared" si="7"/>
        <v>#REF!</v>
      </c>
      <c r="R39" s="7" t="e">
        <f t="shared" si="7"/>
        <v>#REF!</v>
      </c>
      <c r="S39" s="7" t="e">
        <f t="shared" si="7"/>
        <v>#REF!</v>
      </c>
      <c r="T39" s="7" t="e">
        <f t="shared" si="8"/>
        <v>#REF!</v>
      </c>
      <c r="U39" s="7" t="e">
        <f t="shared" si="8"/>
        <v>#REF!</v>
      </c>
      <c r="V39" s="7" t="e">
        <f t="shared" si="8"/>
        <v>#REF!</v>
      </c>
      <c r="W39" s="7" t="e">
        <f t="shared" si="8"/>
        <v>#REF!</v>
      </c>
      <c r="X39" s="7" t="e">
        <f t="shared" si="8"/>
        <v>#REF!</v>
      </c>
      <c r="Y39" s="7" t="e">
        <f t="shared" si="8"/>
        <v>#REF!</v>
      </c>
      <c r="Z39" s="7" t="e">
        <f t="shared" si="8"/>
        <v>#REF!</v>
      </c>
      <c r="AA39" s="7" t="e">
        <f t="shared" si="8"/>
        <v>#REF!</v>
      </c>
      <c r="AB39" s="7" t="e">
        <f t="shared" si="8"/>
        <v>#REF!</v>
      </c>
      <c r="AC39" s="7" t="e">
        <f t="shared" si="8"/>
        <v>#REF!</v>
      </c>
      <c r="AD39" s="7" t="e">
        <f t="shared" si="9"/>
        <v>#REF!</v>
      </c>
      <c r="AE39" s="7" t="e">
        <f t="shared" si="9"/>
        <v>#REF!</v>
      </c>
      <c r="AF39" s="7" t="e">
        <f t="shared" si="9"/>
        <v>#REF!</v>
      </c>
      <c r="AG39" s="7" t="e">
        <f t="shared" si="9"/>
        <v>#REF!</v>
      </c>
      <c r="AH39" s="7" t="e">
        <f t="shared" si="9"/>
        <v>#REF!</v>
      </c>
      <c r="AI39" s="7" t="e">
        <f t="shared" si="9"/>
        <v>#REF!</v>
      </c>
      <c r="AJ39" s="7" t="e">
        <f t="shared" si="9"/>
        <v>#REF!</v>
      </c>
      <c r="AK39" s="7" t="e">
        <f t="shared" si="9"/>
        <v>#REF!</v>
      </c>
      <c r="AL39" s="7" t="e">
        <f t="shared" si="9"/>
        <v>#REF!</v>
      </c>
      <c r="AM39" s="7" t="e">
        <f t="shared" si="9"/>
        <v>#REF!</v>
      </c>
      <c r="AN39" s="7" t="e">
        <f t="shared" si="10"/>
        <v>#REF!</v>
      </c>
      <c r="AO39" s="7" t="e">
        <f t="shared" si="10"/>
        <v>#REF!</v>
      </c>
      <c r="AP39" s="7" t="e">
        <f t="shared" si="10"/>
        <v>#REF!</v>
      </c>
      <c r="AQ39" s="7" t="e">
        <f t="shared" si="10"/>
        <v>#REF!</v>
      </c>
      <c r="AR39" s="7" t="e">
        <f t="shared" si="10"/>
        <v>#REF!</v>
      </c>
      <c r="AS39" s="7" t="e">
        <f t="shared" si="10"/>
        <v>#REF!</v>
      </c>
      <c r="AT39" s="7" t="e">
        <f t="shared" si="10"/>
        <v>#REF!</v>
      </c>
      <c r="AU39" s="7" t="e">
        <f t="shared" si="10"/>
        <v>#REF!</v>
      </c>
      <c r="AV39" s="7" t="e">
        <f t="shared" si="10"/>
        <v>#REF!</v>
      </c>
      <c r="AW39" s="7" t="e">
        <f t="shared" si="10"/>
        <v>#REF!</v>
      </c>
      <c r="AX39" s="7" t="e">
        <f t="shared" si="11"/>
        <v>#REF!</v>
      </c>
      <c r="AY39" s="7" t="e">
        <f t="shared" si="11"/>
        <v>#REF!</v>
      </c>
      <c r="AZ39" s="7" t="e">
        <f t="shared" si="11"/>
        <v>#REF!</v>
      </c>
      <c r="BA39" s="7" t="e">
        <f t="shared" si="11"/>
        <v>#REF!</v>
      </c>
      <c r="BB39" s="7" t="e">
        <f t="shared" si="11"/>
        <v>#REF!</v>
      </c>
      <c r="BC39" s="7" t="e">
        <f t="shared" si="11"/>
        <v>#REF!</v>
      </c>
      <c r="BD39" s="7" t="e">
        <f t="shared" si="11"/>
        <v>#REF!</v>
      </c>
      <c r="BE39" s="7" t="e">
        <f t="shared" si="11"/>
        <v>#REF!</v>
      </c>
      <c r="BF39" s="7" t="e">
        <f t="shared" si="11"/>
        <v>#REF!</v>
      </c>
      <c r="BG39" s="7" t="e">
        <f t="shared" si="11"/>
        <v>#REF!</v>
      </c>
      <c r="BH39" s="7" t="e">
        <f t="shared" si="12"/>
        <v>#REF!</v>
      </c>
      <c r="BI39" s="7" t="e">
        <f t="shared" si="12"/>
        <v>#REF!</v>
      </c>
      <c r="BJ39" s="7" t="e">
        <f t="shared" si="12"/>
        <v>#REF!</v>
      </c>
      <c r="BK39" s="7" t="e">
        <f t="shared" si="12"/>
        <v>#REF!</v>
      </c>
      <c r="BL39" s="7" t="e">
        <f t="shared" si="12"/>
        <v>#REF!</v>
      </c>
      <c r="BM39" s="7" t="e">
        <f t="shared" si="12"/>
        <v>#REF!</v>
      </c>
      <c r="BN39" s="7" t="e">
        <f t="shared" si="12"/>
        <v>#REF!</v>
      </c>
      <c r="BO39" s="7" t="e">
        <f t="shared" si="12"/>
        <v>#REF!</v>
      </c>
      <c r="BP39" s="7" t="e">
        <f t="shared" si="12"/>
        <v>#REF!</v>
      </c>
      <c r="BQ39" s="7" t="e">
        <f t="shared" si="12"/>
        <v>#REF!</v>
      </c>
    </row>
    <row r="40" spans="2:69">
      <c r="B40" s="53"/>
      <c r="C40" s="104"/>
      <c r="D40" s="118" t="e">
        <f>#REF!</f>
        <v>#REF!</v>
      </c>
      <c r="E40" s="118" t="s">
        <v>100</v>
      </c>
      <c r="F40" s="120" t="e">
        <f>#REF!</f>
        <v>#REF!</v>
      </c>
      <c r="G40" s="119" t="e">
        <f>#REF!</f>
        <v>#REF!</v>
      </c>
      <c r="H40" s="7" t="e">
        <f t="shared" si="13"/>
        <v>#REF!</v>
      </c>
      <c r="I40" s="7"/>
      <c r="J40" s="7" t="e">
        <f>$F40*J$37</f>
        <v>#REF!</v>
      </c>
      <c r="K40" s="7" t="e">
        <f t="shared" ref="K40:BQ41" si="14">$F40*K$37</f>
        <v>#REF!</v>
      </c>
      <c r="L40" s="7" t="e">
        <f t="shared" si="14"/>
        <v>#REF!</v>
      </c>
      <c r="M40" s="7" t="e">
        <f t="shared" si="14"/>
        <v>#REF!</v>
      </c>
      <c r="N40" s="7" t="e">
        <f t="shared" si="14"/>
        <v>#REF!</v>
      </c>
      <c r="O40" s="7" t="e">
        <f t="shared" si="14"/>
        <v>#REF!</v>
      </c>
      <c r="P40" s="7" t="e">
        <f t="shared" si="14"/>
        <v>#REF!</v>
      </c>
      <c r="Q40" s="7" t="e">
        <f t="shared" si="14"/>
        <v>#REF!</v>
      </c>
      <c r="R40" s="7" t="e">
        <f t="shared" si="14"/>
        <v>#REF!</v>
      </c>
      <c r="S40" s="7" t="e">
        <f t="shared" si="14"/>
        <v>#REF!</v>
      </c>
      <c r="T40" s="7" t="e">
        <f t="shared" si="14"/>
        <v>#REF!</v>
      </c>
      <c r="U40" s="7" t="e">
        <f t="shared" si="14"/>
        <v>#REF!</v>
      </c>
      <c r="V40" s="7" t="e">
        <f t="shared" si="14"/>
        <v>#REF!</v>
      </c>
      <c r="W40" s="7" t="e">
        <f t="shared" si="14"/>
        <v>#REF!</v>
      </c>
      <c r="X40" s="7" t="e">
        <f t="shared" si="14"/>
        <v>#REF!</v>
      </c>
      <c r="Y40" s="7" t="e">
        <f t="shared" si="14"/>
        <v>#REF!</v>
      </c>
      <c r="Z40" s="7" t="e">
        <f t="shared" si="14"/>
        <v>#REF!</v>
      </c>
      <c r="AA40" s="7" t="e">
        <f t="shared" si="14"/>
        <v>#REF!</v>
      </c>
      <c r="AB40" s="7" t="e">
        <f t="shared" si="14"/>
        <v>#REF!</v>
      </c>
      <c r="AC40" s="7" t="e">
        <f t="shared" si="14"/>
        <v>#REF!</v>
      </c>
      <c r="AD40" s="7" t="e">
        <f t="shared" si="14"/>
        <v>#REF!</v>
      </c>
      <c r="AE40" s="7" t="e">
        <f t="shared" si="14"/>
        <v>#REF!</v>
      </c>
      <c r="AF40" s="7" t="e">
        <f t="shared" si="14"/>
        <v>#REF!</v>
      </c>
      <c r="AG40" s="7" t="e">
        <f t="shared" si="14"/>
        <v>#REF!</v>
      </c>
      <c r="AH40" s="7" t="e">
        <f t="shared" si="14"/>
        <v>#REF!</v>
      </c>
      <c r="AI40" s="7" t="e">
        <f t="shared" si="14"/>
        <v>#REF!</v>
      </c>
      <c r="AJ40" s="7" t="e">
        <f t="shared" si="14"/>
        <v>#REF!</v>
      </c>
      <c r="AK40" s="7" t="e">
        <f t="shared" si="14"/>
        <v>#REF!</v>
      </c>
      <c r="AL40" s="7" t="e">
        <f t="shared" si="14"/>
        <v>#REF!</v>
      </c>
      <c r="AM40" s="7" t="e">
        <f t="shared" si="14"/>
        <v>#REF!</v>
      </c>
      <c r="AN40" s="7" t="e">
        <f t="shared" si="14"/>
        <v>#REF!</v>
      </c>
      <c r="AO40" s="7" t="e">
        <f t="shared" si="14"/>
        <v>#REF!</v>
      </c>
      <c r="AP40" s="7" t="e">
        <f t="shared" si="14"/>
        <v>#REF!</v>
      </c>
      <c r="AQ40" s="7" t="e">
        <f t="shared" si="14"/>
        <v>#REF!</v>
      </c>
      <c r="AR40" s="7" t="e">
        <f t="shared" si="14"/>
        <v>#REF!</v>
      </c>
      <c r="AS40" s="7" t="e">
        <f t="shared" si="14"/>
        <v>#REF!</v>
      </c>
      <c r="AT40" s="7" t="e">
        <f t="shared" si="14"/>
        <v>#REF!</v>
      </c>
      <c r="AU40" s="7" t="e">
        <f t="shared" si="14"/>
        <v>#REF!</v>
      </c>
      <c r="AV40" s="7" t="e">
        <f t="shared" si="14"/>
        <v>#REF!</v>
      </c>
      <c r="AW40" s="7" t="e">
        <f t="shared" si="14"/>
        <v>#REF!</v>
      </c>
      <c r="AX40" s="7" t="e">
        <f t="shared" si="14"/>
        <v>#REF!</v>
      </c>
      <c r="AY40" s="7" t="e">
        <f t="shared" si="14"/>
        <v>#REF!</v>
      </c>
      <c r="AZ40" s="7" t="e">
        <f t="shared" si="14"/>
        <v>#REF!</v>
      </c>
      <c r="BA40" s="7" t="e">
        <f t="shared" si="14"/>
        <v>#REF!</v>
      </c>
      <c r="BB40" s="7" t="e">
        <f t="shared" si="14"/>
        <v>#REF!</v>
      </c>
      <c r="BC40" s="7" t="e">
        <f t="shared" si="14"/>
        <v>#REF!</v>
      </c>
      <c r="BD40" s="7" t="e">
        <f t="shared" si="14"/>
        <v>#REF!</v>
      </c>
      <c r="BE40" s="7" t="e">
        <f t="shared" si="14"/>
        <v>#REF!</v>
      </c>
      <c r="BF40" s="7" t="e">
        <f>$F40*BF$37</f>
        <v>#REF!</v>
      </c>
      <c r="BG40" s="7" t="e">
        <f t="shared" si="14"/>
        <v>#REF!</v>
      </c>
      <c r="BH40" s="7" t="e">
        <f t="shared" si="14"/>
        <v>#REF!</v>
      </c>
      <c r="BI40" s="7" t="e">
        <f t="shared" si="14"/>
        <v>#REF!</v>
      </c>
      <c r="BJ40" s="7" t="e">
        <f t="shared" si="14"/>
        <v>#REF!</v>
      </c>
      <c r="BK40" s="7" t="e">
        <f t="shared" si="14"/>
        <v>#REF!</v>
      </c>
      <c r="BL40" s="7" t="e">
        <f t="shared" si="14"/>
        <v>#REF!</v>
      </c>
      <c r="BM40" s="7" t="e">
        <f t="shared" si="14"/>
        <v>#REF!</v>
      </c>
      <c r="BN40" s="7" t="e">
        <f t="shared" si="14"/>
        <v>#REF!</v>
      </c>
      <c r="BO40" s="7" t="e">
        <f t="shared" si="14"/>
        <v>#REF!</v>
      </c>
      <c r="BP40" s="7" t="e">
        <f t="shared" si="14"/>
        <v>#REF!</v>
      </c>
      <c r="BQ40" s="7" t="e">
        <f t="shared" si="14"/>
        <v>#REF!</v>
      </c>
    </row>
    <row r="41" spans="2:69">
      <c r="B41" s="53"/>
      <c r="C41" s="104"/>
      <c r="D41" s="118" t="e">
        <f>#REF!</f>
        <v>#REF!</v>
      </c>
      <c r="E41" s="118" t="s">
        <v>100</v>
      </c>
      <c r="F41" s="120" t="e">
        <f>#REF!</f>
        <v>#REF!</v>
      </c>
      <c r="G41" s="119" t="e">
        <f>#REF!</f>
        <v>#REF!</v>
      </c>
      <c r="H41" s="7" t="e">
        <f t="shared" si="13"/>
        <v>#REF!</v>
      </c>
      <c r="I41" s="7"/>
      <c r="J41" s="7" t="e">
        <f>$F41*J$37</f>
        <v>#REF!</v>
      </c>
      <c r="K41" s="7" t="e">
        <f t="shared" si="14"/>
        <v>#REF!</v>
      </c>
      <c r="L41" s="7" t="e">
        <f t="shared" si="14"/>
        <v>#REF!</v>
      </c>
      <c r="M41" s="7" t="e">
        <f t="shared" si="14"/>
        <v>#REF!</v>
      </c>
      <c r="N41" s="7" t="e">
        <f t="shared" si="14"/>
        <v>#REF!</v>
      </c>
      <c r="O41" s="7" t="e">
        <f t="shared" si="14"/>
        <v>#REF!</v>
      </c>
      <c r="P41" s="7" t="e">
        <f t="shared" si="14"/>
        <v>#REF!</v>
      </c>
      <c r="Q41" s="7" t="e">
        <f t="shared" si="14"/>
        <v>#REF!</v>
      </c>
      <c r="R41" s="7" t="e">
        <f t="shared" si="14"/>
        <v>#REF!</v>
      </c>
      <c r="S41" s="7" t="e">
        <f t="shared" si="14"/>
        <v>#REF!</v>
      </c>
      <c r="T41" s="7" t="e">
        <f t="shared" si="14"/>
        <v>#REF!</v>
      </c>
      <c r="U41" s="7" t="e">
        <f t="shared" si="14"/>
        <v>#REF!</v>
      </c>
      <c r="V41" s="7" t="e">
        <f t="shared" si="14"/>
        <v>#REF!</v>
      </c>
      <c r="W41" s="7" t="e">
        <f t="shared" si="14"/>
        <v>#REF!</v>
      </c>
      <c r="X41" s="7" t="e">
        <f t="shared" si="14"/>
        <v>#REF!</v>
      </c>
      <c r="Y41" s="7" t="e">
        <f t="shared" si="14"/>
        <v>#REF!</v>
      </c>
      <c r="Z41" s="7" t="e">
        <f t="shared" si="14"/>
        <v>#REF!</v>
      </c>
      <c r="AA41" s="7" t="e">
        <f t="shared" si="14"/>
        <v>#REF!</v>
      </c>
      <c r="AB41" s="7" t="e">
        <f t="shared" si="14"/>
        <v>#REF!</v>
      </c>
      <c r="AC41" s="7" t="e">
        <f t="shared" si="14"/>
        <v>#REF!</v>
      </c>
      <c r="AD41" s="7" t="e">
        <f t="shared" si="14"/>
        <v>#REF!</v>
      </c>
      <c r="AE41" s="7" t="e">
        <f t="shared" si="14"/>
        <v>#REF!</v>
      </c>
      <c r="AF41" s="7" t="e">
        <f t="shared" si="14"/>
        <v>#REF!</v>
      </c>
      <c r="AG41" s="7" t="e">
        <f t="shared" si="14"/>
        <v>#REF!</v>
      </c>
      <c r="AH41" s="7" t="e">
        <f t="shared" si="14"/>
        <v>#REF!</v>
      </c>
      <c r="AI41" s="7" t="e">
        <f t="shared" si="14"/>
        <v>#REF!</v>
      </c>
      <c r="AJ41" s="7" t="e">
        <f t="shared" si="14"/>
        <v>#REF!</v>
      </c>
      <c r="AK41" s="7" t="e">
        <f t="shared" si="14"/>
        <v>#REF!</v>
      </c>
      <c r="AL41" s="7" t="e">
        <f t="shared" si="14"/>
        <v>#REF!</v>
      </c>
      <c r="AM41" s="7" t="e">
        <f t="shared" si="14"/>
        <v>#REF!</v>
      </c>
      <c r="AN41" s="7" t="e">
        <f t="shared" si="14"/>
        <v>#REF!</v>
      </c>
      <c r="AO41" s="7" t="e">
        <f t="shared" si="14"/>
        <v>#REF!</v>
      </c>
      <c r="AP41" s="7" t="e">
        <f t="shared" si="14"/>
        <v>#REF!</v>
      </c>
      <c r="AQ41" s="7" t="e">
        <f t="shared" si="14"/>
        <v>#REF!</v>
      </c>
      <c r="AR41" s="7" t="e">
        <f t="shared" si="14"/>
        <v>#REF!</v>
      </c>
      <c r="AS41" s="7" t="e">
        <f t="shared" si="14"/>
        <v>#REF!</v>
      </c>
      <c r="AT41" s="7" t="e">
        <f t="shared" si="14"/>
        <v>#REF!</v>
      </c>
      <c r="AU41" s="7" t="e">
        <f t="shared" si="14"/>
        <v>#REF!</v>
      </c>
      <c r="AV41" s="7" t="e">
        <f t="shared" si="14"/>
        <v>#REF!</v>
      </c>
      <c r="AW41" s="7" t="e">
        <f t="shared" si="14"/>
        <v>#REF!</v>
      </c>
      <c r="AX41" s="7" t="e">
        <f t="shared" si="14"/>
        <v>#REF!</v>
      </c>
      <c r="AY41" s="7" t="e">
        <f t="shared" si="14"/>
        <v>#REF!</v>
      </c>
      <c r="AZ41" s="7" t="e">
        <f t="shared" si="14"/>
        <v>#REF!</v>
      </c>
      <c r="BA41" s="7" t="e">
        <f t="shared" si="14"/>
        <v>#REF!</v>
      </c>
      <c r="BB41" s="7" t="e">
        <f t="shared" si="14"/>
        <v>#REF!</v>
      </c>
      <c r="BC41" s="7" t="e">
        <f t="shared" si="14"/>
        <v>#REF!</v>
      </c>
      <c r="BD41" s="7" t="e">
        <f t="shared" si="14"/>
        <v>#REF!</v>
      </c>
      <c r="BE41" s="7" t="e">
        <f t="shared" si="14"/>
        <v>#REF!</v>
      </c>
      <c r="BF41" s="7" t="e">
        <f>$F41*BF$37</f>
        <v>#REF!</v>
      </c>
      <c r="BG41" s="7" t="e">
        <f t="shared" si="14"/>
        <v>#REF!</v>
      </c>
      <c r="BH41" s="7" t="e">
        <f t="shared" si="14"/>
        <v>#REF!</v>
      </c>
      <c r="BI41" s="7" t="e">
        <f t="shared" si="14"/>
        <v>#REF!</v>
      </c>
      <c r="BJ41" s="7" t="e">
        <f t="shared" si="14"/>
        <v>#REF!</v>
      </c>
      <c r="BK41" s="7" t="e">
        <f t="shared" si="14"/>
        <v>#REF!</v>
      </c>
      <c r="BL41" s="7" t="e">
        <f t="shared" si="14"/>
        <v>#REF!</v>
      </c>
      <c r="BM41" s="7" t="e">
        <f t="shared" si="14"/>
        <v>#REF!</v>
      </c>
      <c r="BN41" s="7" t="e">
        <f t="shared" si="14"/>
        <v>#REF!</v>
      </c>
      <c r="BO41" s="7" t="e">
        <f t="shared" si="14"/>
        <v>#REF!</v>
      </c>
      <c r="BP41" s="7" t="e">
        <f t="shared" si="14"/>
        <v>#REF!</v>
      </c>
      <c r="BQ41" s="7" t="e">
        <f t="shared" si="14"/>
        <v>#REF!</v>
      </c>
    </row>
    <row r="42" spans="2:69">
      <c r="B42" s="53"/>
      <c r="C42" s="104"/>
      <c r="D42" s="118" t="e">
        <f>#REF!</f>
        <v>#REF!</v>
      </c>
      <c r="E42" s="155" t="s">
        <v>116</v>
      </c>
      <c r="F42" s="120" t="e">
        <f>#REF!</f>
        <v>#REF!</v>
      </c>
      <c r="G42" s="119" t="e">
        <f>#REF!</f>
        <v>#REF!</v>
      </c>
      <c r="H42" s="7" t="e">
        <f t="shared" si="13"/>
        <v>#REF!</v>
      </c>
      <c r="I42" s="7"/>
      <c r="J42" s="7" t="e">
        <f t="shared" ref="J42:AO42" si="15">$F42*J$29*J$9</f>
        <v>#REF!</v>
      </c>
      <c r="K42" s="7" t="e">
        <f t="shared" si="15"/>
        <v>#REF!</v>
      </c>
      <c r="L42" s="7" t="e">
        <f t="shared" si="15"/>
        <v>#REF!</v>
      </c>
      <c r="M42" s="7" t="e">
        <f t="shared" si="15"/>
        <v>#REF!</v>
      </c>
      <c r="N42" s="7" t="e">
        <f t="shared" si="15"/>
        <v>#REF!</v>
      </c>
      <c r="O42" s="7" t="e">
        <f t="shared" si="15"/>
        <v>#REF!</v>
      </c>
      <c r="P42" s="7" t="e">
        <f t="shared" si="15"/>
        <v>#REF!</v>
      </c>
      <c r="Q42" s="7" t="e">
        <f t="shared" si="15"/>
        <v>#REF!</v>
      </c>
      <c r="R42" s="7" t="e">
        <f t="shared" si="15"/>
        <v>#REF!</v>
      </c>
      <c r="S42" s="7" t="e">
        <f t="shared" si="15"/>
        <v>#REF!</v>
      </c>
      <c r="T42" s="7" t="e">
        <f t="shared" si="15"/>
        <v>#REF!</v>
      </c>
      <c r="U42" s="7" t="e">
        <f t="shared" si="15"/>
        <v>#REF!</v>
      </c>
      <c r="V42" s="7" t="e">
        <f t="shared" si="15"/>
        <v>#REF!</v>
      </c>
      <c r="W42" s="7" t="e">
        <f t="shared" si="15"/>
        <v>#REF!</v>
      </c>
      <c r="X42" s="7" t="e">
        <f t="shared" si="15"/>
        <v>#REF!</v>
      </c>
      <c r="Y42" s="7" t="e">
        <f t="shared" si="15"/>
        <v>#REF!</v>
      </c>
      <c r="Z42" s="7" t="e">
        <f t="shared" si="15"/>
        <v>#REF!</v>
      </c>
      <c r="AA42" s="7" t="e">
        <f t="shared" si="15"/>
        <v>#REF!</v>
      </c>
      <c r="AB42" s="7" t="e">
        <f t="shared" si="15"/>
        <v>#REF!</v>
      </c>
      <c r="AC42" s="7" t="e">
        <f t="shared" si="15"/>
        <v>#REF!</v>
      </c>
      <c r="AD42" s="7" t="e">
        <f t="shared" si="15"/>
        <v>#REF!</v>
      </c>
      <c r="AE42" s="7" t="e">
        <f t="shared" si="15"/>
        <v>#REF!</v>
      </c>
      <c r="AF42" s="7" t="e">
        <f t="shared" si="15"/>
        <v>#REF!</v>
      </c>
      <c r="AG42" s="7" t="e">
        <f t="shared" si="15"/>
        <v>#REF!</v>
      </c>
      <c r="AH42" s="7" t="e">
        <f t="shared" si="15"/>
        <v>#REF!</v>
      </c>
      <c r="AI42" s="7" t="e">
        <f t="shared" si="15"/>
        <v>#REF!</v>
      </c>
      <c r="AJ42" s="7" t="e">
        <f t="shared" si="15"/>
        <v>#REF!</v>
      </c>
      <c r="AK42" s="7" t="e">
        <f t="shared" si="15"/>
        <v>#REF!</v>
      </c>
      <c r="AL42" s="7" t="e">
        <f t="shared" si="15"/>
        <v>#REF!</v>
      </c>
      <c r="AM42" s="7" t="e">
        <f t="shared" si="15"/>
        <v>#REF!</v>
      </c>
      <c r="AN42" s="7" t="e">
        <f t="shared" si="15"/>
        <v>#REF!</v>
      </c>
      <c r="AO42" s="7" t="e">
        <f t="shared" si="15"/>
        <v>#REF!</v>
      </c>
      <c r="AP42" s="7" t="e">
        <f t="shared" ref="AP42:BQ42" si="16">$F42*AP$29*AP$9</f>
        <v>#REF!</v>
      </c>
      <c r="AQ42" s="7" t="e">
        <f t="shared" si="16"/>
        <v>#REF!</v>
      </c>
      <c r="AR42" s="7" t="e">
        <f t="shared" si="16"/>
        <v>#REF!</v>
      </c>
      <c r="AS42" s="7" t="e">
        <f t="shared" si="16"/>
        <v>#REF!</v>
      </c>
      <c r="AT42" s="7" t="e">
        <f t="shared" si="16"/>
        <v>#REF!</v>
      </c>
      <c r="AU42" s="7" t="e">
        <f t="shared" si="16"/>
        <v>#REF!</v>
      </c>
      <c r="AV42" s="7" t="e">
        <f t="shared" si="16"/>
        <v>#REF!</v>
      </c>
      <c r="AW42" s="7" t="e">
        <f t="shared" si="16"/>
        <v>#REF!</v>
      </c>
      <c r="AX42" s="7" t="e">
        <f t="shared" si="16"/>
        <v>#REF!</v>
      </c>
      <c r="AY42" s="7" t="e">
        <f t="shared" si="16"/>
        <v>#REF!</v>
      </c>
      <c r="AZ42" s="7" t="e">
        <f t="shared" si="16"/>
        <v>#REF!</v>
      </c>
      <c r="BA42" s="7" t="e">
        <f t="shared" si="16"/>
        <v>#REF!</v>
      </c>
      <c r="BB42" s="7" t="e">
        <f t="shared" si="16"/>
        <v>#REF!</v>
      </c>
      <c r="BC42" s="7" t="e">
        <f t="shared" si="16"/>
        <v>#REF!</v>
      </c>
      <c r="BD42" s="7" t="e">
        <f t="shared" si="16"/>
        <v>#REF!</v>
      </c>
      <c r="BE42" s="7" t="e">
        <f t="shared" si="16"/>
        <v>#REF!</v>
      </c>
      <c r="BF42" s="7" t="e">
        <f t="shared" si="16"/>
        <v>#REF!</v>
      </c>
      <c r="BG42" s="7" t="e">
        <f t="shared" si="16"/>
        <v>#REF!</v>
      </c>
      <c r="BH42" s="7" t="e">
        <f t="shared" si="16"/>
        <v>#REF!</v>
      </c>
      <c r="BI42" s="7" t="e">
        <f t="shared" si="16"/>
        <v>#REF!</v>
      </c>
      <c r="BJ42" s="7" t="e">
        <f t="shared" si="16"/>
        <v>#REF!</v>
      </c>
      <c r="BK42" s="7" t="e">
        <f t="shared" si="16"/>
        <v>#REF!</v>
      </c>
      <c r="BL42" s="7" t="e">
        <f t="shared" si="16"/>
        <v>#REF!</v>
      </c>
      <c r="BM42" s="7" t="e">
        <f t="shared" si="16"/>
        <v>#REF!</v>
      </c>
      <c r="BN42" s="7" t="e">
        <f t="shared" si="16"/>
        <v>#REF!</v>
      </c>
      <c r="BO42" s="7" t="e">
        <f t="shared" si="16"/>
        <v>#REF!</v>
      </c>
      <c r="BP42" s="7" t="e">
        <f t="shared" si="16"/>
        <v>#REF!</v>
      </c>
      <c r="BQ42" s="7" t="e">
        <f t="shared" si="16"/>
        <v>#REF!</v>
      </c>
    </row>
    <row r="43" spans="2:69">
      <c r="B43" s="53"/>
      <c r="C43" s="104"/>
      <c r="D43" s="118" t="e">
        <f>#REF!</f>
        <v>#REF!</v>
      </c>
      <c r="E43" s="155" t="s">
        <v>116</v>
      </c>
      <c r="F43" s="120" t="e">
        <f>#REF!</f>
        <v>#REF!</v>
      </c>
      <c r="G43" s="119" t="e">
        <f>#REF!</f>
        <v>#REF!</v>
      </c>
      <c r="H43" s="7" t="e">
        <f>SUM(I43:BQ43)</f>
        <v>#REF!</v>
      </c>
      <c r="I43" s="7"/>
      <c r="J43" s="7" t="e">
        <f>$F43*J$29*J$9*J$13</f>
        <v>#REF!</v>
      </c>
      <c r="K43" s="7" t="e">
        <f>IF(J$5=K$5,J43,J43*(1+K$14*K$13)*K$4*K$9)</f>
        <v>#REF!</v>
      </c>
      <c r="L43" s="7" t="e">
        <f>IF(K$5=L$5,K43,K43*(1+L$14*L$13)*L$4*L$9)</f>
        <v>#REF!</v>
      </c>
      <c r="M43" s="7" t="e">
        <f t="shared" ref="M43:BQ43" si="17">IF(L$5=M$5,L43,L43*(1+M$14*M$13)*M$4*M$9)</f>
        <v>#REF!</v>
      </c>
      <c r="N43" s="7" t="e">
        <f t="shared" si="17"/>
        <v>#REF!</v>
      </c>
      <c r="O43" s="7" t="e">
        <f t="shared" si="17"/>
        <v>#REF!</v>
      </c>
      <c r="P43" s="7" t="e">
        <f t="shared" si="17"/>
        <v>#REF!</v>
      </c>
      <c r="Q43" s="7" t="e">
        <f t="shared" si="17"/>
        <v>#REF!</v>
      </c>
      <c r="R43" s="7" t="e">
        <f t="shared" si="17"/>
        <v>#REF!</v>
      </c>
      <c r="S43" s="7" t="e">
        <f t="shared" si="17"/>
        <v>#REF!</v>
      </c>
      <c r="T43" s="7" t="e">
        <f t="shared" si="17"/>
        <v>#REF!</v>
      </c>
      <c r="U43" s="7" t="e">
        <f t="shared" si="17"/>
        <v>#REF!</v>
      </c>
      <c r="V43" s="7" t="e">
        <f t="shared" si="17"/>
        <v>#REF!</v>
      </c>
      <c r="W43" s="7" t="e">
        <f t="shared" si="17"/>
        <v>#REF!</v>
      </c>
      <c r="X43" s="7" t="e">
        <f t="shared" si="17"/>
        <v>#REF!</v>
      </c>
      <c r="Y43" s="7" t="e">
        <f t="shared" si="17"/>
        <v>#REF!</v>
      </c>
      <c r="Z43" s="7" t="e">
        <f t="shared" si="17"/>
        <v>#REF!</v>
      </c>
      <c r="AA43" s="7" t="e">
        <f t="shared" si="17"/>
        <v>#REF!</v>
      </c>
      <c r="AB43" s="7" t="e">
        <f t="shared" si="17"/>
        <v>#REF!</v>
      </c>
      <c r="AC43" s="7" t="e">
        <f t="shared" si="17"/>
        <v>#REF!</v>
      </c>
      <c r="AD43" s="7" t="e">
        <f t="shared" si="17"/>
        <v>#REF!</v>
      </c>
      <c r="AE43" s="7" t="e">
        <f t="shared" si="17"/>
        <v>#REF!</v>
      </c>
      <c r="AF43" s="7" t="e">
        <f t="shared" si="17"/>
        <v>#REF!</v>
      </c>
      <c r="AG43" s="7" t="e">
        <f t="shared" si="17"/>
        <v>#REF!</v>
      </c>
      <c r="AH43" s="7" t="e">
        <f t="shared" si="17"/>
        <v>#REF!</v>
      </c>
      <c r="AI43" s="7" t="e">
        <f t="shared" si="17"/>
        <v>#REF!</v>
      </c>
      <c r="AJ43" s="7" t="e">
        <f t="shared" si="17"/>
        <v>#REF!</v>
      </c>
      <c r="AK43" s="7" t="e">
        <f t="shared" si="17"/>
        <v>#REF!</v>
      </c>
      <c r="AL43" s="7" t="e">
        <f t="shared" si="17"/>
        <v>#REF!</v>
      </c>
      <c r="AM43" s="7" t="e">
        <f t="shared" si="17"/>
        <v>#REF!</v>
      </c>
      <c r="AN43" s="7" t="e">
        <f t="shared" si="17"/>
        <v>#REF!</v>
      </c>
      <c r="AO43" s="7" t="e">
        <f t="shared" si="17"/>
        <v>#REF!</v>
      </c>
      <c r="AP43" s="7" t="e">
        <f t="shared" si="17"/>
        <v>#REF!</v>
      </c>
      <c r="AQ43" s="7" t="e">
        <f t="shared" si="17"/>
        <v>#REF!</v>
      </c>
      <c r="AR43" s="7" t="e">
        <f t="shared" si="17"/>
        <v>#REF!</v>
      </c>
      <c r="AS43" s="7" t="e">
        <f t="shared" si="17"/>
        <v>#REF!</v>
      </c>
      <c r="AT43" s="7" t="e">
        <f t="shared" si="17"/>
        <v>#REF!</v>
      </c>
      <c r="AU43" s="7" t="e">
        <f t="shared" si="17"/>
        <v>#REF!</v>
      </c>
      <c r="AV43" s="7" t="e">
        <f t="shared" si="17"/>
        <v>#REF!</v>
      </c>
      <c r="AW43" s="7" t="e">
        <f t="shared" si="17"/>
        <v>#REF!</v>
      </c>
      <c r="AX43" s="7" t="e">
        <f t="shared" si="17"/>
        <v>#REF!</v>
      </c>
      <c r="AY43" s="7" t="e">
        <f t="shared" si="17"/>
        <v>#REF!</v>
      </c>
      <c r="AZ43" s="7" t="e">
        <f t="shared" si="17"/>
        <v>#REF!</v>
      </c>
      <c r="BA43" s="7" t="e">
        <f t="shared" si="17"/>
        <v>#REF!</v>
      </c>
      <c r="BB43" s="7" t="e">
        <f t="shared" si="17"/>
        <v>#REF!</v>
      </c>
      <c r="BC43" s="7" t="e">
        <f t="shared" si="17"/>
        <v>#REF!</v>
      </c>
      <c r="BD43" s="7" t="e">
        <f t="shared" si="17"/>
        <v>#REF!</v>
      </c>
      <c r="BE43" s="7" t="e">
        <f t="shared" si="17"/>
        <v>#REF!</v>
      </c>
      <c r="BF43" s="7" t="e">
        <f t="shared" si="17"/>
        <v>#REF!</v>
      </c>
      <c r="BG43" s="7" t="e">
        <f t="shared" si="17"/>
        <v>#REF!</v>
      </c>
      <c r="BH43" s="7" t="e">
        <f t="shared" si="17"/>
        <v>#REF!</v>
      </c>
      <c r="BI43" s="7" t="e">
        <f t="shared" si="17"/>
        <v>#REF!</v>
      </c>
      <c r="BJ43" s="7" t="e">
        <f t="shared" si="17"/>
        <v>#REF!</v>
      </c>
      <c r="BK43" s="7" t="e">
        <f t="shared" si="17"/>
        <v>#REF!</v>
      </c>
      <c r="BL43" s="7" t="e">
        <f t="shared" si="17"/>
        <v>#REF!</v>
      </c>
      <c r="BM43" s="7" t="e">
        <f t="shared" si="17"/>
        <v>#REF!</v>
      </c>
      <c r="BN43" s="7" t="e">
        <f t="shared" si="17"/>
        <v>#REF!</v>
      </c>
      <c r="BO43" s="7" t="e">
        <f t="shared" si="17"/>
        <v>#REF!</v>
      </c>
      <c r="BP43" s="7" t="e">
        <f t="shared" si="17"/>
        <v>#REF!</v>
      </c>
      <c r="BQ43" s="7" t="e">
        <f t="shared" si="17"/>
        <v>#REF!</v>
      </c>
    </row>
    <row r="44" spans="2:69">
      <c r="B44" s="53"/>
      <c r="C44" s="104"/>
      <c r="D44" s="118" t="e">
        <f>#REF!</f>
        <v>#REF!</v>
      </c>
      <c r="E44" s="156" t="s">
        <v>117</v>
      </c>
      <c r="F44" s="120" t="str">
        <f>F9</f>
        <v>소비자물가상승률</v>
      </c>
      <c r="G44" s="122" t="e">
        <f>#REF!/화폐단위*(단위기간/회계기간)</f>
        <v>#REF!</v>
      </c>
      <c r="H44" s="7" t="e">
        <f>SUM(I44:BQ44)</f>
        <v>#REF!</v>
      </c>
      <c r="I44" s="7"/>
      <c r="J44" s="7" t="e">
        <f>$G44*J$9</f>
        <v>#REF!</v>
      </c>
      <c r="K44" s="7" t="e">
        <f t="shared" ref="K44:BQ45" si="18">$G44*K$9</f>
        <v>#REF!</v>
      </c>
      <c r="L44" s="7" t="e">
        <f t="shared" si="18"/>
        <v>#REF!</v>
      </c>
      <c r="M44" s="7" t="e">
        <f t="shared" si="18"/>
        <v>#REF!</v>
      </c>
      <c r="N44" s="7" t="e">
        <f t="shared" si="18"/>
        <v>#REF!</v>
      </c>
      <c r="O44" s="7" t="e">
        <f t="shared" si="18"/>
        <v>#REF!</v>
      </c>
      <c r="P44" s="7" t="e">
        <f t="shared" si="18"/>
        <v>#REF!</v>
      </c>
      <c r="Q44" s="7" t="e">
        <f t="shared" si="18"/>
        <v>#REF!</v>
      </c>
      <c r="R44" s="7" t="e">
        <f t="shared" si="18"/>
        <v>#REF!</v>
      </c>
      <c r="S44" s="7" t="e">
        <f t="shared" si="18"/>
        <v>#REF!</v>
      </c>
      <c r="T44" s="7" t="e">
        <f t="shared" si="18"/>
        <v>#REF!</v>
      </c>
      <c r="U44" s="7" t="e">
        <f t="shared" si="18"/>
        <v>#REF!</v>
      </c>
      <c r="V44" s="7" t="e">
        <f t="shared" si="18"/>
        <v>#REF!</v>
      </c>
      <c r="W44" s="7" t="e">
        <f t="shared" si="18"/>
        <v>#REF!</v>
      </c>
      <c r="X44" s="7" t="e">
        <f t="shared" si="18"/>
        <v>#REF!</v>
      </c>
      <c r="Y44" s="7" t="e">
        <f t="shared" si="18"/>
        <v>#REF!</v>
      </c>
      <c r="Z44" s="7" t="e">
        <f t="shared" si="18"/>
        <v>#REF!</v>
      </c>
      <c r="AA44" s="7" t="e">
        <f t="shared" si="18"/>
        <v>#REF!</v>
      </c>
      <c r="AB44" s="7" t="e">
        <f t="shared" si="18"/>
        <v>#REF!</v>
      </c>
      <c r="AC44" s="7" t="e">
        <f t="shared" si="18"/>
        <v>#REF!</v>
      </c>
      <c r="AD44" s="7" t="e">
        <f t="shared" si="18"/>
        <v>#REF!</v>
      </c>
      <c r="AE44" s="7" t="e">
        <f t="shared" si="18"/>
        <v>#REF!</v>
      </c>
      <c r="AF44" s="7" t="e">
        <f t="shared" si="18"/>
        <v>#REF!</v>
      </c>
      <c r="AG44" s="7" t="e">
        <f t="shared" si="18"/>
        <v>#REF!</v>
      </c>
      <c r="AH44" s="7" t="e">
        <f t="shared" si="18"/>
        <v>#REF!</v>
      </c>
      <c r="AI44" s="7" t="e">
        <f t="shared" si="18"/>
        <v>#REF!</v>
      </c>
      <c r="AJ44" s="7" t="e">
        <f t="shared" si="18"/>
        <v>#REF!</v>
      </c>
      <c r="AK44" s="7" t="e">
        <f t="shared" si="18"/>
        <v>#REF!</v>
      </c>
      <c r="AL44" s="7" t="e">
        <f t="shared" si="18"/>
        <v>#REF!</v>
      </c>
      <c r="AM44" s="7" t="e">
        <f t="shared" si="18"/>
        <v>#REF!</v>
      </c>
      <c r="AN44" s="7" t="e">
        <f t="shared" si="18"/>
        <v>#REF!</v>
      </c>
      <c r="AO44" s="7" t="e">
        <f t="shared" si="18"/>
        <v>#REF!</v>
      </c>
      <c r="AP44" s="7" t="e">
        <f t="shared" si="18"/>
        <v>#REF!</v>
      </c>
      <c r="AQ44" s="7" t="e">
        <f t="shared" si="18"/>
        <v>#REF!</v>
      </c>
      <c r="AR44" s="7" t="e">
        <f t="shared" si="18"/>
        <v>#REF!</v>
      </c>
      <c r="AS44" s="7" t="e">
        <f t="shared" si="18"/>
        <v>#REF!</v>
      </c>
      <c r="AT44" s="7" t="e">
        <f t="shared" si="18"/>
        <v>#REF!</v>
      </c>
      <c r="AU44" s="7" t="e">
        <f t="shared" si="18"/>
        <v>#REF!</v>
      </c>
      <c r="AV44" s="7" t="e">
        <f t="shared" si="18"/>
        <v>#REF!</v>
      </c>
      <c r="AW44" s="7" t="e">
        <f t="shared" si="18"/>
        <v>#REF!</v>
      </c>
      <c r="AX44" s="7" t="e">
        <f t="shared" si="18"/>
        <v>#REF!</v>
      </c>
      <c r="AY44" s="7" t="e">
        <f t="shared" si="18"/>
        <v>#REF!</v>
      </c>
      <c r="AZ44" s="7" t="e">
        <f t="shared" si="18"/>
        <v>#REF!</v>
      </c>
      <c r="BA44" s="7" t="e">
        <f t="shared" si="18"/>
        <v>#REF!</v>
      </c>
      <c r="BB44" s="7" t="e">
        <f t="shared" si="18"/>
        <v>#REF!</v>
      </c>
      <c r="BC44" s="7" t="e">
        <f t="shared" si="18"/>
        <v>#REF!</v>
      </c>
      <c r="BD44" s="7" t="e">
        <f t="shared" si="18"/>
        <v>#REF!</v>
      </c>
      <c r="BE44" s="7" t="e">
        <f t="shared" si="18"/>
        <v>#REF!</v>
      </c>
      <c r="BF44" s="7" t="e">
        <f>$G44*BF$9</f>
        <v>#REF!</v>
      </c>
      <c r="BG44" s="7" t="e">
        <f t="shared" si="18"/>
        <v>#REF!</v>
      </c>
      <c r="BH44" s="7" t="e">
        <f t="shared" si="18"/>
        <v>#REF!</v>
      </c>
      <c r="BI44" s="7" t="e">
        <f t="shared" si="18"/>
        <v>#REF!</v>
      </c>
      <c r="BJ44" s="7" t="e">
        <f t="shared" si="18"/>
        <v>#REF!</v>
      </c>
      <c r="BK44" s="7" t="e">
        <f t="shared" si="18"/>
        <v>#REF!</v>
      </c>
      <c r="BL44" s="7" t="e">
        <f t="shared" si="18"/>
        <v>#REF!</v>
      </c>
      <c r="BM44" s="7" t="e">
        <f t="shared" si="18"/>
        <v>#REF!</v>
      </c>
      <c r="BN44" s="7" t="e">
        <f t="shared" si="18"/>
        <v>#REF!</v>
      </c>
      <c r="BO44" s="7" t="e">
        <f t="shared" si="18"/>
        <v>#REF!</v>
      </c>
      <c r="BP44" s="7" t="e">
        <f t="shared" si="18"/>
        <v>#REF!</v>
      </c>
      <c r="BQ44" s="7" t="e">
        <f t="shared" si="18"/>
        <v>#REF!</v>
      </c>
    </row>
    <row r="45" spans="2:69">
      <c r="B45" s="53"/>
      <c r="C45" s="104"/>
      <c r="D45" s="118" t="e">
        <f>#REF!</f>
        <v>#REF!</v>
      </c>
      <c r="E45" s="156" t="s">
        <v>117</v>
      </c>
      <c r="F45" s="120" t="str">
        <f>F9</f>
        <v>소비자물가상승률</v>
      </c>
      <c r="G45" s="122" t="e">
        <f>#REF!/화폐단위*(단위기간/회계기간)</f>
        <v>#REF!</v>
      </c>
      <c r="H45" s="7" t="e">
        <f>SUM(I45:BQ45)</f>
        <v>#REF!</v>
      </c>
      <c r="I45" s="7"/>
      <c r="J45" s="7" t="e">
        <f>$G45*J$9</f>
        <v>#REF!</v>
      </c>
      <c r="K45" s="7" t="e">
        <f t="shared" si="18"/>
        <v>#REF!</v>
      </c>
      <c r="L45" s="7" t="e">
        <f t="shared" si="18"/>
        <v>#REF!</v>
      </c>
      <c r="M45" s="7" t="e">
        <f t="shared" si="18"/>
        <v>#REF!</v>
      </c>
      <c r="N45" s="7" t="e">
        <f t="shared" si="18"/>
        <v>#REF!</v>
      </c>
      <c r="O45" s="7" t="e">
        <f t="shared" si="18"/>
        <v>#REF!</v>
      </c>
      <c r="P45" s="7" t="e">
        <f t="shared" si="18"/>
        <v>#REF!</v>
      </c>
      <c r="Q45" s="7" t="e">
        <f t="shared" si="18"/>
        <v>#REF!</v>
      </c>
      <c r="R45" s="7" t="e">
        <f t="shared" si="18"/>
        <v>#REF!</v>
      </c>
      <c r="S45" s="7" t="e">
        <f t="shared" si="18"/>
        <v>#REF!</v>
      </c>
      <c r="T45" s="7" t="e">
        <f t="shared" si="18"/>
        <v>#REF!</v>
      </c>
      <c r="U45" s="7" t="e">
        <f t="shared" si="18"/>
        <v>#REF!</v>
      </c>
      <c r="V45" s="7" t="e">
        <f t="shared" si="18"/>
        <v>#REF!</v>
      </c>
      <c r="W45" s="7" t="e">
        <f t="shared" si="18"/>
        <v>#REF!</v>
      </c>
      <c r="X45" s="7" t="e">
        <f t="shared" si="18"/>
        <v>#REF!</v>
      </c>
      <c r="Y45" s="7" t="e">
        <f t="shared" si="18"/>
        <v>#REF!</v>
      </c>
      <c r="Z45" s="7" t="e">
        <f t="shared" si="18"/>
        <v>#REF!</v>
      </c>
      <c r="AA45" s="7" t="e">
        <f t="shared" si="18"/>
        <v>#REF!</v>
      </c>
      <c r="AB45" s="7" t="e">
        <f t="shared" si="18"/>
        <v>#REF!</v>
      </c>
      <c r="AC45" s="7" t="e">
        <f t="shared" si="18"/>
        <v>#REF!</v>
      </c>
      <c r="AD45" s="7" t="e">
        <f t="shared" si="18"/>
        <v>#REF!</v>
      </c>
      <c r="AE45" s="7" t="e">
        <f t="shared" si="18"/>
        <v>#REF!</v>
      </c>
      <c r="AF45" s="7" t="e">
        <f t="shared" si="18"/>
        <v>#REF!</v>
      </c>
      <c r="AG45" s="7" t="e">
        <f t="shared" si="18"/>
        <v>#REF!</v>
      </c>
      <c r="AH45" s="7" t="e">
        <f t="shared" si="18"/>
        <v>#REF!</v>
      </c>
      <c r="AI45" s="7" t="e">
        <f t="shared" si="18"/>
        <v>#REF!</v>
      </c>
      <c r="AJ45" s="7" t="e">
        <f t="shared" si="18"/>
        <v>#REF!</v>
      </c>
      <c r="AK45" s="7" t="e">
        <f t="shared" si="18"/>
        <v>#REF!</v>
      </c>
      <c r="AL45" s="7" t="e">
        <f t="shared" si="18"/>
        <v>#REF!</v>
      </c>
      <c r="AM45" s="7" t="e">
        <f t="shared" si="18"/>
        <v>#REF!</v>
      </c>
      <c r="AN45" s="7" t="e">
        <f t="shared" si="18"/>
        <v>#REF!</v>
      </c>
      <c r="AO45" s="7" t="e">
        <f t="shared" si="18"/>
        <v>#REF!</v>
      </c>
      <c r="AP45" s="7" t="e">
        <f t="shared" si="18"/>
        <v>#REF!</v>
      </c>
      <c r="AQ45" s="7" t="e">
        <f t="shared" si="18"/>
        <v>#REF!</v>
      </c>
      <c r="AR45" s="7" t="e">
        <f t="shared" si="18"/>
        <v>#REF!</v>
      </c>
      <c r="AS45" s="7" t="e">
        <f t="shared" si="18"/>
        <v>#REF!</v>
      </c>
      <c r="AT45" s="7" t="e">
        <f t="shared" si="18"/>
        <v>#REF!</v>
      </c>
      <c r="AU45" s="7" t="e">
        <f t="shared" si="18"/>
        <v>#REF!</v>
      </c>
      <c r="AV45" s="7" t="e">
        <f t="shared" si="18"/>
        <v>#REF!</v>
      </c>
      <c r="AW45" s="7" t="e">
        <f t="shared" si="18"/>
        <v>#REF!</v>
      </c>
      <c r="AX45" s="7" t="e">
        <f t="shared" si="18"/>
        <v>#REF!</v>
      </c>
      <c r="AY45" s="7" t="e">
        <f t="shared" si="18"/>
        <v>#REF!</v>
      </c>
      <c r="AZ45" s="7" t="e">
        <f t="shared" si="18"/>
        <v>#REF!</v>
      </c>
      <c r="BA45" s="7" t="e">
        <f t="shared" si="18"/>
        <v>#REF!</v>
      </c>
      <c r="BB45" s="7" t="e">
        <f t="shared" si="18"/>
        <v>#REF!</v>
      </c>
      <c r="BC45" s="7" t="e">
        <f t="shared" si="18"/>
        <v>#REF!</v>
      </c>
      <c r="BD45" s="7" t="e">
        <f t="shared" si="18"/>
        <v>#REF!</v>
      </c>
      <c r="BE45" s="7" t="e">
        <f t="shared" si="18"/>
        <v>#REF!</v>
      </c>
      <c r="BF45" s="7" t="e">
        <f>$G45*BF$9</f>
        <v>#REF!</v>
      </c>
      <c r="BG45" s="7" t="e">
        <f t="shared" si="18"/>
        <v>#REF!</v>
      </c>
      <c r="BH45" s="7" t="e">
        <f t="shared" si="18"/>
        <v>#REF!</v>
      </c>
      <c r="BI45" s="7" t="e">
        <f t="shared" si="18"/>
        <v>#REF!</v>
      </c>
      <c r="BJ45" s="7" t="e">
        <f t="shared" si="18"/>
        <v>#REF!</v>
      </c>
      <c r="BK45" s="7" t="e">
        <f t="shared" si="18"/>
        <v>#REF!</v>
      </c>
      <c r="BL45" s="7" t="e">
        <f t="shared" si="18"/>
        <v>#REF!</v>
      </c>
      <c r="BM45" s="7" t="e">
        <f t="shared" si="18"/>
        <v>#REF!</v>
      </c>
      <c r="BN45" s="7" t="e">
        <f t="shared" si="18"/>
        <v>#REF!</v>
      </c>
      <c r="BO45" s="7" t="e">
        <f t="shared" si="18"/>
        <v>#REF!</v>
      </c>
      <c r="BP45" s="7" t="e">
        <f t="shared" si="18"/>
        <v>#REF!</v>
      </c>
      <c r="BQ45" s="7" t="e">
        <f t="shared" si="18"/>
        <v>#REF!</v>
      </c>
    </row>
    <row r="46" spans="2:69">
      <c r="B46" s="53"/>
      <c r="C46" s="104"/>
      <c r="D46" s="118" t="e">
        <f>#REF!</f>
        <v>#REF!</v>
      </c>
      <c r="E46" s="155" t="s">
        <v>116</v>
      </c>
      <c r="F46" s="120" t="e">
        <f>#REF!</f>
        <v>#REF!</v>
      </c>
      <c r="G46" s="119" t="e">
        <f>#REF!</f>
        <v>#REF!</v>
      </c>
      <c r="H46" s="7" t="e">
        <f>SUM(I46:BQ46)</f>
        <v>#REF!</v>
      </c>
      <c r="I46" s="7"/>
      <c r="J46" s="7" t="e">
        <f>$F46*J$37</f>
        <v>#REF!</v>
      </c>
      <c r="K46" s="7" t="e">
        <f t="shared" ref="K46:BQ46" si="19">$F46*K$37</f>
        <v>#REF!</v>
      </c>
      <c r="L46" s="7" t="e">
        <f t="shared" si="19"/>
        <v>#REF!</v>
      </c>
      <c r="M46" s="7" t="e">
        <f t="shared" si="19"/>
        <v>#REF!</v>
      </c>
      <c r="N46" s="7" t="e">
        <f t="shared" si="19"/>
        <v>#REF!</v>
      </c>
      <c r="O46" s="7" t="e">
        <f t="shared" si="19"/>
        <v>#REF!</v>
      </c>
      <c r="P46" s="7" t="e">
        <f t="shared" si="19"/>
        <v>#REF!</v>
      </c>
      <c r="Q46" s="7" t="e">
        <f t="shared" si="19"/>
        <v>#REF!</v>
      </c>
      <c r="R46" s="7" t="e">
        <f t="shared" si="19"/>
        <v>#REF!</v>
      </c>
      <c r="S46" s="7" t="e">
        <f t="shared" si="19"/>
        <v>#REF!</v>
      </c>
      <c r="T46" s="7" t="e">
        <f t="shared" si="19"/>
        <v>#REF!</v>
      </c>
      <c r="U46" s="7" t="e">
        <f t="shared" si="19"/>
        <v>#REF!</v>
      </c>
      <c r="V46" s="7" t="e">
        <f t="shared" si="19"/>
        <v>#REF!</v>
      </c>
      <c r="W46" s="7" t="e">
        <f t="shared" si="19"/>
        <v>#REF!</v>
      </c>
      <c r="X46" s="7" t="e">
        <f t="shared" si="19"/>
        <v>#REF!</v>
      </c>
      <c r="Y46" s="7" t="e">
        <f t="shared" si="19"/>
        <v>#REF!</v>
      </c>
      <c r="Z46" s="7" t="e">
        <f t="shared" si="19"/>
        <v>#REF!</v>
      </c>
      <c r="AA46" s="7" t="e">
        <f t="shared" si="19"/>
        <v>#REF!</v>
      </c>
      <c r="AB46" s="7" t="e">
        <f t="shared" si="19"/>
        <v>#REF!</v>
      </c>
      <c r="AC46" s="7" t="e">
        <f t="shared" si="19"/>
        <v>#REF!</v>
      </c>
      <c r="AD46" s="7" t="e">
        <f t="shared" si="19"/>
        <v>#REF!</v>
      </c>
      <c r="AE46" s="7" t="e">
        <f t="shared" si="19"/>
        <v>#REF!</v>
      </c>
      <c r="AF46" s="7" t="e">
        <f t="shared" si="19"/>
        <v>#REF!</v>
      </c>
      <c r="AG46" s="7" t="e">
        <f t="shared" si="19"/>
        <v>#REF!</v>
      </c>
      <c r="AH46" s="7" t="e">
        <f t="shared" si="19"/>
        <v>#REF!</v>
      </c>
      <c r="AI46" s="7" t="e">
        <f t="shared" si="19"/>
        <v>#REF!</v>
      </c>
      <c r="AJ46" s="7" t="e">
        <f t="shared" si="19"/>
        <v>#REF!</v>
      </c>
      <c r="AK46" s="7" t="e">
        <f t="shared" si="19"/>
        <v>#REF!</v>
      </c>
      <c r="AL46" s="7" t="e">
        <f t="shared" si="19"/>
        <v>#REF!</v>
      </c>
      <c r="AM46" s="7" t="e">
        <f t="shared" si="19"/>
        <v>#REF!</v>
      </c>
      <c r="AN46" s="7" t="e">
        <f t="shared" si="19"/>
        <v>#REF!</v>
      </c>
      <c r="AO46" s="7" t="e">
        <f t="shared" si="19"/>
        <v>#REF!</v>
      </c>
      <c r="AP46" s="7" t="e">
        <f t="shared" si="19"/>
        <v>#REF!</v>
      </c>
      <c r="AQ46" s="7" t="e">
        <f t="shared" si="19"/>
        <v>#REF!</v>
      </c>
      <c r="AR46" s="7" t="e">
        <f t="shared" si="19"/>
        <v>#REF!</v>
      </c>
      <c r="AS46" s="7" t="e">
        <f t="shared" si="19"/>
        <v>#REF!</v>
      </c>
      <c r="AT46" s="7" t="e">
        <f t="shared" si="19"/>
        <v>#REF!</v>
      </c>
      <c r="AU46" s="7" t="e">
        <f t="shared" si="19"/>
        <v>#REF!</v>
      </c>
      <c r="AV46" s="7" t="e">
        <f t="shared" si="19"/>
        <v>#REF!</v>
      </c>
      <c r="AW46" s="7" t="e">
        <f t="shared" si="19"/>
        <v>#REF!</v>
      </c>
      <c r="AX46" s="7" t="e">
        <f t="shared" si="19"/>
        <v>#REF!</v>
      </c>
      <c r="AY46" s="7" t="e">
        <f t="shared" si="19"/>
        <v>#REF!</v>
      </c>
      <c r="AZ46" s="7" t="e">
        <f t="shared" si="19"/>
        <v>#REF!</v>
      </c>
      <c r="BA46" s="7" t="e">
        <f t="shared" si="19"/>
        <v>#REF!</v>
      </c>
      <c r="BB46" s="7" t="e">
        <f t="shared" si="19"/>
        <v>#REF!</v>
      </c>
      <c r="BC46" s="7" t="e">
        <f t="shared" si="19"/>
        <v>#REF!</v>
      </c>
      <c r="BD46" s="7" t="e">
        <f t="shared" si="19"/>
        <v>#REF!</v>
      </c>
      <c r="BE46" s="7" t="e">
        <f t="shared" si="19"/>
        <v>#REF!</v>
      </c>
      <c r="BF46" s="7" t="e">
        <f>$F46*BF$37</f>
        <v>#REF!</v>
      </c>
      <c r="BG46" s="7" t="e">
        <f t="shared" si="19"/>
        <v>#REF!</v>
      </c>
      <c r="BH46" s="7" t="e">
        <f t="shared" si="19"/>
        <v>#REF!</v>
      </c>
      <c r="BI46" s="7" t="e">
        <f t="shared" si="19"/>
        <v>#REF!</v>
      </c>
      <c r="BJ46" s="7" t="e">
        <f t="shared" si="19"/>
        <v>#REF!</v>
      </c>
      <c r="BK46" s="7" t="e">
        <f t="shared" si="19"/>
        <v>#REF!</v>
      </c>
      <c r="BL46" s="7" t="e">
        <f t="shared" si="19"/>
        <v>#REF!</v>
      </c>
      <c r="BM46" s="7" t="e">
        <f t="shared" si="19"/>
        <v>#REF!</v>
      </c>
      <c r="BN46" s="7" t="e">
        <f t="shared" si="19"/>
        <v>#REF!</v>
      </c>
      <c r="BO46" s="7" t="e">
        <f t="shared" si="19"/>
        <v>#REF!</v>
      </c>
      <c r="BP46" s="7" t="e">
        <f t="shared" si="19"/>
        <v>#REF!</v>
      </c>
      <c r="BQ46" s="7" t="e">
        <f t="shared" si="19"/>
        <v>#REF!</v>
      </c>
    </row>
    <row r="47" spans="2:69">
      <c r="B47" s="53"/>
      <c r="C47" s="104"/>
      <c r="D47" s="118" t="e">
        <f>#REF!</f>
        <v>#REF!</v>
      </c>
      <c r="E47" s="118" t="s">
        <v>115</v>
      </c>
      <c r="F47" s="120" t="e">
        <f>#REF!</f>
        <v>#REF!</v>
      </c>
      <c r="G47" s="119" t="e">
        <f>SUM(#REF!)/화폐단위*(단위기간/회계기간)</f>
        <v>#REF!</v>
      </c>
      <c r="H47" s="7">
        <f t="shared" si="13"/>
        <v>0</v>
      </c>
      <c r="I47" s="7"/>
      <c r="J47" s="7">
        <f>J85</f>
        <v>0</v>
      </c>
      <c r="K47" s="7">
        <f t="shared" ref="K47:BQ47" si="20">K85</f>
        <v>0</v>
      </c>
      <c r="L47" s="7">
        <f t="shared" si="20"/>
        <v>0</v>
      </c>
      <c r="M47" s="7">
        <f t="shared" si="20"/>
        <v>0</v>
      </c>
      <c r="N47" s="7">
        <f t="shared" si="20"/>
        <v>0</v>
      </c>
      <c r="O47" s="7">
        <f t="shared" si="20"/>
        <v>0</v>
      </c>
      <c r="P47" s="7">
        <f t="shared" si="20"/>
        <v>0</v>
      </c>
      <c r="Q47" s="7">
        <f t="shared" si="20"/>
        <v>0</v>
      </c>
      <c r="R47" s="7">
        <f t="shared" si="20"/>
        <v>0</v>
      </c>
      <c r="S47" s="7">
        <f t="shared" si="20"/>
        <v>0</v>
      </c>
      <c r="T47" s="7">
        <f t="shared" si="20"/>
        <v>0</v>
      </c>
      <c r="U47" s="7">
        <f t="shared" si="20"/>
        <v>0</v>
      </c>
      <c r="V47" s="7">
        <f t="shared" si="20"/>
        <v>0</v>
      </c>
      <c r="W47" s="7">
        <f t="shared" si="20"/>
        <v>0</v>
      </c>
      <c r="X47" s="7">
        <f t="shared" si="20"/>
        <v>0</v>
      </c>
      <c r="Y47" s="7">
        <f t="shared" si="20"/>
        <v>0</v>
      </c>
      <c r="Z47" s="7">
        <f t="shared" si="20"/>
        <v>0</v>
      </c>
      <c r="AA47" s="7">
        <f t="shared" si="20"/>
        <v>0</v>
      </c>
      <c r="AB47" s="7">
        <f t="shared" si="20"/>
        <v>0</v>
      </c>
      <c r="AC47" s="7">
        <f t="shared" si="20"/>
        <v>0</v>
      </c>
      <c r="AD47" s="7">
        <f t="shared" si="20"/>
        <v>0</v>
      </c>
      <c r="AE47" s="7">
        <f t="shared" si="20"/>
        <v>0</v>
      </c>
      <c r="AF47" s="7">
        <f t="shared" si="20"/>
        <v>0</v>
      </c>
      <c r="AG47" s="7">
        <f t="shared" si="20"/>
        <v>0</v>
      </c>
      <c r="AH47" s="7">
        <f t="shared" si="20"/>
        <v>0</v>
      </c>
      <c r="AI47" s="7">
        <f t="shared" si="20"/>
        <v>0</v>
      </c>
      <c r="AJ47" s="7">
        <f t="shared" si="20"/>
        <v>0</v>
      </c>
      <c r="AK47" s="7">
        <f t="shared" si="20"/>
        <v>0</v>
      </c>
      <c r="AL47" s="7">
        <f t="shared" si="20"/>
        <v>0</v>
      </c>
      <c r="AM47" s="7">
        <f t="shared" si="20"/>
        <v>0</v>
      </c>
      <c r="AN47" s="7">
        <f t="shared" si="20"/>
        <v>0</v>
      </c>
      <c r="AO47" s="7">
        <f t="shared" si="20"/>
        <v>0</v>
      </c>
      <c r="AP47" s="7">
        <f t="shared" si="20"/>
        <v>0</v>
      </c>
      <c r="AQ47" s="7">
        <f t="shared" si="20"/>
        <v>0</v>
      </c>
      <c r="AR47" s="7">
        <f t="shared" si="20"/>
        <v>0</v>
      </c>
      <c r="AS47" s="7">
        <f t="shared" si="20"/>
        <v>0</v>
      </c>
      <c r="AT47" s="7">
        <f t="shared" si="20"/>
        <v>0</v>
      </c>
      <c r="AU47" s="7">
        <f t="shared" si="20"/>
        <v>0</v>
      </c>
      <c r="AV47" s="7">
        <f t="shared" si="20"/>
        <v>0</v>
      </c>
      <c r="AW47" s="7">
        <f t="shared" si="20"/>
        <v>0</v>
      </c>
      <c r="AX47" s="7">
        <f t="shared" si="20"/>
        <v>0</v>
      </c>
      <c r="AY47" s="7">
        <f t="shared" si="20"/>
        <v>0</v>
      </c>
      <c r="AZ47" s="7">
        <f t="shared" si="20"/>
        <v>0</v>
      </c>
      <c r="BA47" s="7">
        <f t="shared" si="20"/>
        <v>0</v>
      </c>
      <c r="BB47" s="7">
        <f t="shared" si="20"/>
        <v>0</v>
      </c>
      <c r="BC47" s="7">
        <f t="shared" si="20"/>
        <v>0</v>
      </c>
      <c r="BD47" s="7">
        <f t="shared" si="20"/>
        <v>0</v>
      </c>
      <c r="BE47" s="7">
        <f t="shared" si="20"/>
        <v>0</v>
      </c>
      <c r="BF47" s="7">
        <f>BF85</f>
        <v>0</v>
      </c>
      <c r="BG47" s="7">
        <f t="shared" si="20"/>
        <v>0</v>
      </c>
      <c r="BH47" s="7">
        <f t="shared" si="20"/>
        <v>0</v>
      </c>
      <c r="BI47" s="7">
        <f t="shared" si="20"/>
        <v>0</v>
      </c>
      <c r="BJ47" s="7">
        <f t="shared" si="20"/>
        <v>0</v>
      </c>
      <c r="BK47" s="7">
        <f t="shared" si="20"/>
        <v>0</v>
      </c>
      <c r="BL47" s="7">
        <f t="shared" si="20"/>
        <v>0</v>
      </c>
      <c r="BM47" s="7">
        <f t="shared" si="20"/>
        <v>0</v>
      </c>
      <c r="BN47" s="7">
        <f t="shared" si="20"/>
        <v>0</v>
      </c>
      <c r="BO47" s="7">
        <f t="shared" si="20"/>
        <v>0</v>
      </c>
      <c r="BP47" s="7">
        <f t="shared" si="20"/>
        <v>0</v>
      </c>
      <c r="BQ47" s="7">
        <f t="shared" si="20"/>
        <v>0</v>
      </c>
    </row>
    <row r="48" spans="2:69">
      <c r="B48" s="53"/>
      <c r="C48" s="104"/>
      <c r="D48" s="118" t="e">
        <f>#REF!</f>
        <v>#REF!</v>
      </c>
      <c r="E48" s="156" t="s">
        <v>117</v>
      </c>
      <c r="F48" s="120" t="str">
        <f>F9</f>
        <v>소비자물가상승률</v>
      </c>
      <c r="G48" s="119" t="e">
        <f>#REF!/화폐단위*(단위기간/회계기간)</f>
        <v>#REF!</v>
      </c>
      <c r="H48" s="7" t="e">
        <f t="shared" si="13"/>
        <v>#REF!</v>
      </c>
      <c r="I48" s="7"/>
      <c r="J48" s="7" t="e">
        <f>$G48*J$9</f>
        <v>#REF!</v>
      </c>
      <c r="K48" s="7" t="e">
        <f t="shared" ref="K48:BQ49" si="21">$G48*K$9</f>
        <v>#REF!</v>
      </c>
      <c r="L48" s="7" t="e">
        <f t="shared" si="21"/>
        <v>#REF!</v>
      </c>
      <c r="M48" s="7" t="e">
        <f t="shared" si="21"/>
        <v>#REF!</v>
      </c>
      <c r="N48" s="7" t="e">
        <f t="shared" si="21"/>
        <v>#REF!</v>
      </c>
      <c r="O48" s="7" t="e">
        <f t="shared" si="21"/>
        <v>#REF!</v>
      </c>
      <c r="P48" s="7" t="e">
        <f t="shared" si="21"/>
        <v>#REF!</v>
      </c>
      <c r="Q48" s="7" t="e">
        <f t="shared" si="21"/>
        <v>#REF!</v>
      </c>
      <c r="R48" s="7" t="e">
        <f t="shared" si="21"/>
        <v>#REF!</v>
      </c>
      <c r="S48" s="7" t="e">
        <f t="shared" si="21"/>
        <v>#REF!</v>
      </c>
      <c r="T48" s="7" t="e">
        <f t="shared" si="21"/>
        <v>#REF!</v>
      </c>
      <c r="U48" s="7" t="e">
        <f t="shared" si="21"/>
        <v>#REF!</v>
      </c>
      <c r="V48" s="7" t="e">
        <f t="shared" si="21"/>
        <v>#REF!</v>
      </c>
      <c r="W48" s="7" t="e">
        <f t="shared" si="21"/>
        <v>#REF!</v>
      </c>
      <c r="X48" s="7" t="e">
        <f t="shared" si="21"/>
        <v>#REF!</v>
      </c>
      <c r="Y48" s="7" t="e">
        <f t="shared" si="21"/>
        <v>#REF!</v>
      </c>
      <c r="Z48" s="7" t="e">
        <f t="shared" si="21"/>
        <v>#REF!</v>
      </c>
      <c r="AA48" s="7" t="e">
        <f t="shared" si="21"/>
        <v>#REF!</v>
      </c>
      <c r="AB48" s="7" t="e">
        <f t="shared" si="21"/>
        <v>#REF!</v>
      </c>
      <c r="AC48" s="7" t="e">
        <f t="shared" si="21"/>
        <v>#REF!</v>
      </c>
      <c r="AD48" s="7" t="e">
        <f t="shared" si="21"/>
        <v>#REF!</v>
      </c>
      <c r="AE48" s="7" t="e">
        <f t="shared" si="21"/>
        <v>#REF!</v>
      </c>
      <c r="AF48" s="7" t="e">
        <f t="shared" si="21"/>
        <v>#REF!</v>
      </c>
      <c r="AG48" s="7" t="e">
        <f t="shared" si="21"/>
        <v>#REF!</v>
      </c>
      <c r="AH48" s="7" t="e">
        <f t="shared" si="21"/>
        <v>#REF!</v>
      </c>
      <c r="AI48" s="7" t="e">
        <f t="shared" si="21"/>
        <v>#REF!</v>
      </c>
      <c r="AJ48" s="7" t="e">
        <f t="shared" si="21"/>
        <v>#REF!</v>
      </c>
      <c r="AK48" s="7" t="e">
        <f t="shared" si="21"/>
        <v>#REF!</v>
      </c>
      <c r="AL48" s="7" t="e">
        <f t="shared" si="21"/>
        <v>#REF!</v>
      </c>
      <c r="AM48" s="7" t="e">
        <f t="shared" si="21"/>
        <v>#REF!</v>
      </c>
      <c r="AN48" s="7" t="e">
        <f t="shared" si="21"/>
        <v>#REF!</v>
      </c>
      <c r="AO48" s="7" t="e">
        <f t="shared" si="21"/>
        <v>#REF!</v>
      </c>
      <c r="AP48" s="7" t="e">
        <f t="shared" si="21"/>
        <v>#REF!</v>
      </c>
      <c r="AQ48" s="7" t="e">
        <f t="shared" si="21"/>
        <v>#REF!</v>
      </c>
      <c r="AR48" s="7" t="e">
        <f t="shared" si="21"/>
        <v>#REF!</v>
      </c>
      <c r="AS48" s="7" t="e">
        <f t="shared" si="21"/>
        <v>#REF!</v>
      </c>
      <c r="AT48" s="7" t="e">
        <f t="shared" si="21"/>
        <v>#REF!</v>
      </c>
      <c r="AU48" s="7" t="e">
        <f t="shared" si="21"/>
        <v>#REF!</v>
      </c>
      <c r="AV48" s="7" t="e">
        <f t="shared" si="21"/>
        <v>#REF!</v>
      </c>
      <c r="AW48" s="7" t="e">
        <f t="shared" si="21"/>
        <v>#REF!</v>
      </c>
      <c r="AX48" s="7" t="e">
        <f t="shared" si="21"/>
        <v>#REF!</v>
      </c>
      <c r="AY48" s="7" t="e">
        <f t="shared" si="21"/>
        <v>#REF!</v>
      </c>
      <c r="AZ48" s="7" t="e">
        <f t="shared" si="21"/>
        <v>#REF!</v>
      </c>
      <c r="BA48" s="7" t="e">
        <f t="shared" si="21"/>
        <v>#REF!</v>
      </c>
      <c r="BB48" s="7" t="e">
        <f t="shared" si="21"/>
        <v>#REF!</v>
      </c>
      <c r="BC48" s="7" t="e">
        <f t="shared" si="21"/>
        <v>#REF!</v>
      </c>
      <c r="BD48" s="7" t="e">
        <f t="shared" si="21"/>
        <v>#REF!</v>
      </c>
      <c r="BE48" s="7" t="e">
        <f t="shared" si="21"/>
        <v>#REF!</v>
      </c>
      <c r="BF48" s="7" t="e">
        <f>$G48*BF$9</f>
        <v>#REF!</v>
      </c>
      <c r="BG48" s="7" t="e">
        <f t="shared" si="21"/>
        <v>#REF!</v>
      </c>
      <c r="BH48" s="7" t="e">
        <f t="shared" si="21"/>
        <v>#REF!</v>
      </c>
      <c r="BI48" s="7" t="e">
        <f t="shared" si="21"/>
        <v>#REF!</v>
      </c>
      <c r="BJ48" s="7" t="e">
        <f t="shared" si="21"/>
        <v>#REF!</v>
      </c>
      <c r="BK48" s="7" t="e">
        <f t="shared" si="21"/>
        <v>#REF!</v>
      </c>
      <c r="BL48" s="7" t="e">
        <f t="shared" si="21"/>
        <v>#REF!</v>
      </c>
      <c r="BM48" s="7" t="e">
        <f t="shared" si="21"/>
        <v>#REF!</v>
      </c>
      <c r="BN48" s="7" t="e">
        <f t="shared" si="21"/>
        <v>#REF!</v>
      </c>
      <c r="BO48" s="7" t="e">
        <f t="shared" si="21"/>
        <v>#REF!</v>
      </c>
      <c r="BP48" s="7" t="e">
        <f t="shared" si="21"/>
        <v>#REF!</v>
      </c>
      <c r="BQ48" s="7" t="e">
        <f t="shared" si="21"/>
        <v>#REF!</v>
      </c>
    </row>
    <row r="49" spans="2:69">
      <c r="B49" s="53"/>
      <c r="C49" s="104"/>
      <c r="D49" s="118" t="e">
        <f>#REF!</f>
        <v>#REF!</v>
      </c>
      <c r="E49" s="156" t="s">
        <v>117</v>
      </c>
      <c r="F49" s="120" t="str">
        <f>F9</f>
        <v>소비자물가상승률</v>
      </c>
      <c r="G49" s="122" t="e">
        <f>#REF!/화폐단위*(단위기간/회계기간)</f>
        <v>#REF!</v>
      </c>
      <c r="H49" s="7" t="e">
        <f t="shared" si="13"/>
        <v>#REF!</v>
      </c>
      <c r="I49" s="7"/>
      <c r="J49" s="7" t="e">
        <f>$G49*J$9</f>
        <v>#REF!</v>
      </c>
      <c r="K49" s="7" t="e">
        <f t="shared" si="21"/>
        <v>#REF!</v>
      </c>
      <c r="L49" s="7" t="e">
        <f t="shared" si="21"/>
        <v>#REF!</v>
      </c>
      <c r="M49" s="7" t="e">
        <f t="shared" si="21"/>
        <v>#REF!</v>
      </c>
      <c r="N49" s="7" t="e">
        <f t="shared" si="21"/>
        <v>#REF!</v>
      </c>
      <c r="O49" s="7" t="e">
        <f t="shared" si="21"/>
        <v>#REF!</v>
      </c>
      <c r="P49" s="7" t="e">
        <f t="shared" si="21"/>
        <v>#REF!</v>
      </c>
      <c r="Q49" s="7" t="e">
        <f t="shared" si="21"/>
        <v>#REF!</v>
      </c>
      <c r="R49" s="7" t="e">
        <f t="shared" si="21"/>
        <v>#REF!</v>
      </c>
      <c r="S49" s="7" t="e">
        <f t="shared" si="21"/>
        <v>#REF!</v>
      </c>
      <c r="T49" s="7" t="e">
        <f t="shared" si="21"/>
        <v>#REF!</v>
      </c>
      <c r="U49" s="7" t="e">
        <f t="shared" si="21"/>
        <v>#REF!</v>
      </c>
      <c r="V49" s="7" t="e">
        <f t="shared" si="21"/>
        <v>#REF!</v>
      </c>
      <c r="W49" s="7" t="e">
        <f t="shared" si="21"/>
        <v>#REF!</v>
      </c>
      <c r="X49" s="7" t="e">
        <f t="shared" si="21"/>
        <v>#REF!</v>
      </c>
      <c r="Y49" s="7" t="e">
        <f t="shared" si="21"/>
        <v>#REF!</v>
      </c>
      <c r="Z49" s="7" t="e">
        <f t="shared" si="21"/>
        <v>#REF!</v>
      </c>
      <c r="AA49" s="7" t="e">
        <f t="shared" si="21"/>
        <v>#REF!</v>
      </c>
      <c r="AB49" s="7" t="e">
        <f t="shared" si="21"/>
        <v>#REF!</v>
      </c>
      <c r="AC49" s="7" t="e">
        <f t="shared" si="21"/>
        <v>#REF!</v>
      </c>
      <c r="AD49" s="7" t="e">
        <f t="shared" si="21"/>
        <v>#REF!</v>
      </c>
      <c r="AE49" s="7" t="e">
        <f t="shared" si="21"/>
        <v>#REF!</v>
      </c>
      <c r="AF49" s="7" t="e">
        <f t="shared" si="21"/>
        <v>#REF!</v>
      </c>
      <c r="AG49" s="7" t="e">
        <f t="shared" si="21"/>
        <v>#REF!</v>
      </c>
      <c r="AH49" s="7" t="e">
        <f t="shared" si="21"/>
        <v>#REF!</v>
      </c>
      <c r="AI49" s="7" t="e">
        <f t="shared" si="21"/>
        <v>#REF!</v>
      </c>
      <c r="AJ49" s="7" t="e">
        <f t="shared" si="21"/>
        <v>#REF!</v>
      </c>
      <c r="AK49" s="7" t="e">
        <f t="shared" si="21"/>
        <v>#REF!</v>
      </c>
      <c r="AL49" s="7" t="e">
        <f t="shared" si="21"/>
        <v>#REF!</v>
      </c>
      <c r="AM49" s="7" t="e">
        <f t="shared" si="21"/>
        <v>#REF!</v>
      </c>
      <c r="AN49" s="7" t="e">
        <f t="shared" si="21"/>
        <v>#REF!</v>
      </c>
      <c r="AO49" s="7" t="e">
        <f t="shared" si="21"/>
        <v>#REF!</v>
      </c>
      <c r="AP49" s="7" t="e">
        <f t="shared" si="21"/>
        <v>#REF!</v>
      </c>
      <c r="AQ49" s="7" t="e">
        <f t="shared" si="21"/>
        <v>#REF!</v>
      </c>
      <c r="AR49" s="7" t="e">
        <f t="shared" si="21"/>
        <v>#REF!</v>
      </c>
      <c r="AS49" s="7" t="e">
        <f t="shared" si="21"/>
        <v>#REF!</v>
      </c>
      <c r="AT49" s="7" t="e">
        <f t="shared" si="21"/>
        <v>#REF!</v>
      </c>
      <c r="AU49" s="7" t="e">
        <f t="shared" si="21"/>
        <v>#REF!</v>
      </c>
      <c r="AV49" s="7" t="e">
        <f t="shared" si="21"/>
        <v>#REF!</v>
      </c>
      <c r="AW49" s="7" t="e">
        <f t="shared" si="21"/>
        <v>#REF!</v>
      </c>
      <c r="AX49" s="7" t="e">
        <f t="shared" si="21"/>
        <v>#REF!</v>
      </c>
      <c r="AY49" s="7" t="e">
        <f t="shared" si="21"/>
        <v>#REF!</v>
      </c>
      <c r="AZ49" s="7" t="e">
        <f t="shared" si="21"/>
        <v>#REF!</v>
      </c>
      <c r="BA49" s="7" t="e">
        <f t="shared" si="21"/>
        <v>#REF!</v>
      </c>
      <c r="BB49" s="7" t="e">
        <f t="shared" si="21"/>
        <v>#REF!</v>
      </c>
      <c r="BC49" s="7" t="e">
        <f t="shared" si="21"/>
        <v>#REF!</v>
      </c>
      <c r="BD49" s="7" t="e">
        <f t="shared" si="21"/>
        <v>#REF!</v>
      </c>
      <c r="BE49" s="7" t="e">
        <f t="shared" si="21"/>
        <v>#REF!</v>
      </c>
      <c r="BF49" s="7" t="e">
        <f>$G49*BF$9</f>
        <v>#REF!</v>
      </c>
      <c r="BG49" s="7" t="e">
        <f t="shared" si="21"/>
        <v>#REF!</v>
      </c>
      <c r="BH49" s="7" t="e">
        <f t="shared" si="21"/>
        <v>#REF!</v>
      </c>
      <c r="BI49" s="7" t="e">
        <f t="shared" si="21"/>
        <v>#REF!</v>
      </c>
      <c r="BJ49" s="7" t="e">
        <f t="shared" si="21"/>
        <v>#REF!</v>
      </c>
      <c r="BK49" s="7" t="e">
        <f t="shared" si="21"/>
        <v>#REF!</v>
      </c>
      <c r="BL49" s="7" t="e">
        <f t="shared" si="21"/>
        <v>#REF!</v>
      </c>
      <c r="BM49" s="7" t="e">
        <f t="shared" si="21"/>
        <v>#REF!</v>
      </c>
      <c r="BN49" s="7" t="e">
        <f t="shared" si="21"/>
        <v>#REF!</v>
      </c>
      <c r="BO49" s="7" t="e">
        <f t="shared" si="21"/>
        <v>#REF!</v>
      </c>
      <c r="BP49" s="7" t="e">
        <f t="shared" si="21"/>
        <v>#REF!</v>
      </c>
      <c r="BQ49" s="7" t="e">
        <f t="shared" si="21"/>
        <v>#REF!</v>
      </c>
    </row>
    <row r="50" spans="2:69">
      <c r="B50" s="53"/>
      <c r="C50" s="104"/>
      <c r="D50" s="118" t="e">
        <f>#REF!</f>
        <v>#REF!</v>
      </c>
      <c r="E50" s="155" t="s">
        <v>116</v>
      </c>
      <c r="F50" s="120" t="e">
        <f>#REF!</f>
        <v>#REF!</v>
      </c>
      <c r="G50" s="119" t="e">
        <f>#REF!</f>
        <v>#REF!</v>
      </c>
      <c r="H50" s="7" t="e">
        <f>SUM(I50:BQ50)</f>
        <v>#REF!</v>
      </c>
      <c r="I50" s="7"/>
      <c r="J50" s="7" t="e">
        <f>$F50*J$37</f>
        <v>#REF!</v>
      </c>
      <c r="K50" s="7" t="e">
        <f t="shared" ref="K50:BQ50" si="22">$F50*K$37</f>
        <v>#REF!</v>
      </c>
      <c r="L50" s="7" t="e">
        <f t="shared" si="22"/>
        <v>#REF!</v>
      </c>
      <c r="M50" s="7" t="e">
        <f t="shared" si="22"/>
        <v>#REF!</v>
      </c>
      <c r="N50" s="7" t="e">
        <f t="shared" si="22"/>
        <v>#REF!</v>
      </c>
      <c r="O50" s="7" t="e">
        <f t="shared" si="22"/>
        <v>#REF!</v>
      </c>
      <c r="P50" s="7" t="e">
        <f t="shared" si="22"/>
        <v>#REF!</v>
      </c>
      <c r="Q50" s="7" t="e">
        <f t="shared" si="22"/>
        <v>#REF!</v>
      </c>
      <c r="R50" s="7" t="e">
        <f t="shared" si="22"/>
        <v>#REF!</v>
      </c>
      <c r="S50" s="7" t="e">
        <f t="shared" si="22"/>
        <v>#REF!</v>
      </c>
      <c r="T50" s="7" t="e">
        <f t="shared" si="22"/>
        <v>#REF!</v>
      </c>
      <c r="U50" s="7" t="e">
        <f t="shared" si="22"/>
        <v>#REF!</v>
      </c>
      <c r="V50" s="7" t="e">
        <f t="shared" si="22"/>
        <v>#REF!</v>
      </c>
      <c r="W50" s="7" t="e">
        <f t="shared" si="22"/>
        <v>#REF!</v>
      </c>
      <c r="X50" s="7" t="e">
        <f t="shared" si="22"/>
        <v>#REF!</v>
      </c>
      <c r="Y50" s="7" t="e">
        <f t="shared" si="22"/>
        <v>#REF!</v>
      </c>
      <c r="Z50" s="7" t="e">
        <f t="shared" si="22"/>
        <v>#REF!</v>
      </c>
      <c r="AA50" s="7" t="e">
        <f t="shared" si="22"/>
        <v>#REF!</v>
      </c>
      <c r="AB50" s="7" t="e">
        <f t="shared" si="22"/>
        <v>#REF!</v>
      </c>
      <c r="AC50" s="7" t="e">
        <f t="shared" si="22"/>
        <v>#REF!</v>
      </c>
      <c r="AD50" s="7" t="e">
        <f t="shared" si="22"/>
        <v>#REF!</v>
      </c>
      <c r="AE50" s="7" t="e">
        <f t="shared" si="22"/>
        <v>#REF!</v>
      </c>
      <c r="AF50" s="7" t="e">
        <f t="shared" si="22"/>
        <v>#REF!</v>
      </c>
      <c r="AG50" s="7" t="e">
        <f t="shared" si="22"/>
        <v>#REF!</v>
      </c>
      <c r="AH50" s="7" t="e">
        <f t="shared" si="22"/>
        <v>#REF!</v>
      </c>
      <c r="AI50" s="7" t="e">
        <f t="shared" si="22"/>
        <v>#REF!</v>
      </c>
      <c r="AJ50" s="7" t="e">
        <f t="shared" si="22"/>
        <v>#REF!</v>
      </c>
      <c r="AK50" s="7" t="e">
        <f t="shared" si="22"/>
        <v>#REF!</v>
      </c>
      <c r="AL50" s="7" t="e">
        <f t="shared" si="22"/>
        <v>#REF!</v>
      </c>
      <c r="AM50" s="7" t="e">
        <f t="shared" si="22"/>
        <v>#REF!</v>
      </c>
      <c r="AN50" s="7" t="e">
        <f t="shared" si="22"/>
        <v>#REF!</v>
      </c>
      <c r="AO50" s="7" t="e">
        <f t="shared" si="22"/>
        <v>#REF!</v>
      </c>
      <c r="AP50" s="7" t="e">
        <f t="shared" si="22"/>
        <v>#REF!</v>
      </c>
      <c r="AQ50" s="7" t="e">
        <f t="shared" si="22"/>
        <v>#REF!</v>
      </c>
      <c r="AR50" s="7" t="e">
        <f t="shared" si="22"/>
        <v>#REF!</v>
      </c>
      <c r="AS50" s="7" t="e">
        <f t="shared" si="22"/>
        <v>#REF!</v>
      </c>
      <c r="AT50" s="7" t="e">
        <f t="shared" si="22"/>
        <v>#REF!</v>
      </c>
      <c r="AU50" s="7" t="e">
        <f t="shared" si="22"/>
        <v>#REF!</v>
      </c>
      <c r="AV50" s="7" t="e">
        <f t="shared" si="22"/>
        <v>#REF!</v>
      </c>
      <c r="AW50" s="7" t="e">
        <f t="shared" si="22"/>
        <v>#REF!</v>
      </c>
      <c r="AX50" s="7" t="e">
        <f t="shared" si="22"/>
        <v>#REF!</v>
      </c>
      <c r="AY50" s="7" t="e">
        <f t="shared" si="22"/>
        <v>#REF!</v>
      </c>
      <c r="AZ50" s="7" t="e">
        <f t="shared" si="22"/>
        <v>#REF!</v>
      </c>
      <c r="BA50" s="7" t="e">
        <f t="shared" si="22"/>
        <v>#REF!</v>
      </c>
      <c r="BB50" s="7" t="e">
        <f t="shared" si="22"/>
        <v>#REF!</v>
      </c>
      <c r="BC50" s="7" t="e">
        <f t="shared" si="22"/>
        <v>#REF!</v>
      </c>
      <c r="BD50" s="7" t="e">
        <f t="shared" si="22"/>
        <v>#REF!</v>
      </c>
      <c r="BE50" s="7" t="e">
        <f t="shared" si="22"/>
        <v>#REF!</v>
      </c>
      <c r="BF50" s="7" t="e">
        <f>$F50*BF$37</f>
        <v>#REF!</v>
      </c>
      <c r="BG50" s="7" t="e">
        <f t="shared" si="22"/>
        <v>#REF!</v>
      </c>
      <c r="BH50" s="7" t="e">
        <f t="shared" si="22"/>
        <v>#REF!</v>
      </c>
      <c r="BI50" s="7" t="e">
        <f t="shared" si="22"/>
        <v>#REF!</v>
      </c>
      <c r="BJ50" s="7" t="e">
        <f t="shared" si="22"/>
        <v>#REF!</v>
      </c>
      <c r="BK50" s="7" t="e">
        <f t="shared" si="22"/>
        <v>#REF!</v>
      </c>
      <c r="BL50" s="7" t="e">
        <f t="shared" si="22"/>
        <v>#REF!</v>
      </c>
      <c r="BM50" s="7" t="e">
        <f t="shared" si="22"/>
        <v>#REF!</v>
      </c>
      <c r="BN50" s="7" t="e">
        <f t="shared" si="22"/>
        <v>#REF!</v>
      </c>
      <c r="BO50" s="7" t="e">
        <f t="shared" si="22"/>
        <v>#REF!</v>
      </c>
      <c r="BP50" s="7" t="e">
        <f t="shared" si="22"/>
        <v>#REF!</v>
      </c>
      <c r="BQ50" s="7" t="e">
        <f t="shared" si="22"/>
        <v>#REF!</v>
      </c>
    </row>
    <row r="51" spans="2:69">
      <c r="B51" s="53"/>
      <c r="C51" s="104"/>
      <c r="D51" s="118" t="e">
        <f>#REF!</f>
        <v>#REF!</v>
      </c>
      <c r="E51" s="156" t="s">
        <v>117</v>
      </c>
      <c r="F51" s="120" t="str">
        <f>F9</f>
        <v>소비자물가상승률</v>
      </c>
      <c r="G51" s="122" t="e">
        <f>#REF!/화폐단위*(단위기간/회계기간)</f>
        <v>#REF!</v>
      </c>
      <c r="H51" s="7" t="e">
        <f t="shared" si="13"/>
        <v>#REF!</v>
      </c>
      <c r="I51" s="7"/>
      <c r="J51" s="7" t="e">
        <f>$G51*J$9</f>
        <v>#REF!</v>
      </c>
      <c r="K51" s="7" t="e">
        <f t="shared" ref="K51:BQ51" si="23">$G51*K$9</f>
        <v>#REF!</v>
      </c>
      <c r="L51" s="7" t="e">
        <f t="shared" si="23"/>
        <v>#REF!</v>
      </c>
      <c r="M51" s="7" t="e">
        <f t="shared" si="23"/>
        <v>#REF!</v>
      </c>
      <c r="N51" s="7" t="e">
        <f t="shared" si="23"/>
        <v>#REF!</v>
      </c>
      <c r="O51" s="7" t="e">
        <f t="shared" si="23"/>
        <v>#REF!</v>
      </c>
      <c r="P51" s="7" t="e">
        <f t="shared" si="23"/>
        <v>#REF!</v>
      </c>
      <c r="Q51" s="7" t="e">
        <f t="shared" si="23"/>
        <v>#REF!</v>
      </c>
      <c r="R51" s="7" t="e">
        <f t="shared" si="23"/>
        <v>#REF!</v>
      </c>
      <c r="S51" s="7" t="e">
        <f t="shared" si="23"/>
        <v>#REF!</v>
      </c>
      <c r="T51" s="7" t="e">
        <f t="shared" si="23"/>
        <v>#REF!</v>
      </c>
      <c r="U51" s="7" t="e">
        <f t="shared" si="23"/>
        <v>#REF!</v>
      </c>
      <c r="V51" s="7" t="e">
        <f t="shared" si="23"/>
        <v>#REF!</v>
      </c>
      <c r="W51" s="7" t="e">
        <f t="shared" si="23"/>
        <v>#REF!</v>
      </c>
      <c r="X51" s="7" t="e">
        <f t="shared" si="23"/>
        <v>#REF!</v>
      </c>
      <c r="Y51" s="7" t="e">
        <f t="shared" si="23"/>
        <v>#REF!</v>
      </c>
      <c r="Z51" s="7" t="e">
        <f t="shared" si="23"/>
        <v>#REF!</v>
      </c>
      <c r="AA51" s="7" t="e">
        <f t="shared" si="23"/>
        <v>#REF!</v>
      </c>
      <c r="AB51" s="7" t="e">
        <f t="shared" si="23"/>
        <v>#REF!</v>
      </c>
      <c r="AC51" s="7" t="e">
        <f t="shared" si="23"/>
        <v>#REF!</v>
      </c>
      <c r="AD51" s="7" t="e">
        <f t="shared" si="23"/>
        <v>#REF!</v>
      </c>
      <c r="AE51" s="7" t="e">
        <f t="shared" si="23"/>
        <v>#REF!</v>
      </c>
      <c r="AF51" s="7" t="e">
        <f t="shared" si="23"/>
        <v>#REF!</v>
      </c>
      <c r="AG51" s="7" t="e">
        <f t="shared" si="23"/>
        <v>#REF!</v>
      </c>
      <c r="AH51" s="7" t="e">
        <f t="shared" si="23"/>
        <v>#REF!</v>
      </c>
      <c r="AI51" s="7" t="e">
        <f t="shared" si="23"/>
        <v>#REF!</v>
      </c>
      <c r="AJ51" s="7" t="e">
        <f t="shared" si="23"/>
        <v>#REF!</v>
      </c>
      <c r="AK51" s="7" t="e">
        <f t="shared" si="23"/>
        <v>#REF!</v>
      </c>
      <c r="AL51" s="7" t="e">
        <f t="shared" si="23"/>
        <v>#REF!</v>
      </c>
      <c r="AM51" s="7" t="e">
        <f t="shared" si="23"/>
        <v>#REF!</v>
      </c>
      <c r="AN51" s="7" t="e">
        <f t="shared" si="23"/>
        <v>#REF!</v>
      </c>
      <c r="AO51" s="7" t="e">
        <f t="shared" si="23"/>
        <v>#REF!</v>
      </c>
      <c r="AP51" s="7" t="e">
        <f t="shared" si="23"/>
        <v>#REF!</v>
      </c>
      <c r="AQ51" s="7" t="e">
        <f t="shared" si="23"/>
        <v>#REF!</v>
      </c>
      <c r="AR51" s="7" t="e">
        <f t="shared" si="23"/>
        <v>#REF!</v>
      </c>
      <c r="AS51" s="7" t="e">
        <f t="shared" si="23"/>
        <v>#REF!</v>
      </c>
      <c r="AT51" s="7" t="e">
        <f t="shared" si="23"/>
        <v>#REF!</v>
      </c>
      <c r="AU51" s="7" t="e">
        <f t="shared" si="23"/>
        <v>#REF!</v>
      </c>
      <c r="AV51" s="7" t="e">
        <f t="shared" si="23"/>
        <v>#REF!</v>
      </c>
      <c r="AW51" s="7" t="e">
        <f t="shared" si="23"/>
        <v>#REF!</v>
      </c>
      <c r="AX51" s="7" t="e">
        <f t="shared" si="23"/>
        <v>#REF!</v>
      </c>
      <c r="AY51" s="7" t="e">
        <f t="shared" si="23"/>
        <v>#REF!</v>
      </c>
      <c r="AZ51" s="7" t="e">
        <f t="shared" si="23"/>
        <v>#REF!</v>
      </c>
      <c r="BA51" s="7" t="e">
        <f t="shared" si="23"/>
        <v>#REF!</v>
      </c>
      <c r="BB51" s="7" t="e">
        <f t="shared" si="23"/>
        <v>#REF!</v>
      </c>
      <c r="BC51" s="7" t="e">
        <f t="shared" si="23"/>
        <v>#REF!</v>
      </c>
      <c r="BD51" s="7" t="e">
        <f t="shared" si="23"/>
        <v>#REF!</v>
      </c>
      <c r="BE51" s="7" t="e">
        <f t="shared" si="23"/>
        <v>#REF!</v>
      </c>
      <c r="BF51" s="7" t="e">
        <f>$G51*BF$9</f>
        <v>#REF!</v>
      </c>
      <c r="BG51" s="7" t="e">
        <f t="shared" si="23"/>
        <v>#REF!</v>
      </c>
      <c r="BH51" s="7" t="e">
        <f t="shared" si="23"/>
        <v>#REF!</v>
      </c>
      <c r="BI51" s="7" t="e">
        <f t="shared" si="23"/>
        <v>#REF!</v>
      </c>
      <c r="BJ51" s="7" t="e">
        <f t="shared" si="23"/>
        <v>#REF!</v>
      </c>
      <c r="BK51" s="7" t="e">
        <f t="shared" si="23"/>
        <v>#REF!</v>
      </c>
      <c r="BL51" s="7" t="e">
        <f t="shared" si="23"/>
        <v>#REF!</v>
      </c>
      <c r="BM51" s="7" t="e">
        <f t="shared" si="23"/>
        <v>#REF!</v>
      </c>
      <c r="BN51" s="7" t="e">
        <f t="shared" si="23"/>
        <v>#REF!</v>
      </c>
      <c r="BO51" s="7" t="e">
        <f t="shared" si="23"/>
        <v>#REF!</v>
      </c>
      <c r="BP51" s="7" t="e">
        <f t="shared" si="23"/>
        <v>#REF!</v>
      </c>
      <c r="BQ51" s="7" t="e">
        <f t="shared" si="23"/>
        <v>#REF!</v>
      </c>
    </row>
    <row r="52" spans="2:69">
      <c r="B52" s="53"/>
      <c r="C52" s="104"/>
      <c r="D52" s="118" t="e">
        <f>#REF!</f>
        <v>#REF!</v>
      </c>
      <c r="E52" s="118" t="s">
        <v>116</v>
      </c>
      <c r="F52" s="123"/>
      <c r="G52" s="124"/>
      <c r="H52" s="132">
        <f t="shared" si="13"/>
        <v>0</v>
      </c>
      <c r="I52" s="132"/>
      <c r="J52" s="13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row>
    <row r="53" spans="2:69">
      <c r="B53" s="53"/>
      <c r="C53" s="104"/>
      <c r="D53" s="118" t="e">
        <f>#REF!</f>
        <v>#REF!</v>
      </c>
      <c r="E53" s="155" t="s">
        <v>116</v>
      </c>
      <c r="F53" s="120" t="e">
        <f>#REF!</f>
        <v>#REF!</v>
      </c>
      <c r="G53" s="119" t="e">
        <f>#REF!</f>
        <v>#REF!</v>
      </c>
      <c r="H53" s="7" t="e">
        <f t="shared" si="13"/>
        <v>#REF!</v>
      </c>
      <c r="I53" s="7"/>
      <c r="J53" s="7" t="e">
        <f>$F53*J$29*J$9</f>
        <v>#REF!</v>
      </c>
      <c r="K53" s="7" t="e">
        <f t="shared" ref="K53:BQ53" si="24">$F53*K$29*K$9</f>
        <v>#REF!</v>
      </c>
      <c r="L53" s="7" t="e">
        <f t="shared" si="24"/>
        <v>#REF!</v>
      </c>
      <c r="M53" s="7" t="e">
        <f t="shared" si="24"/>
        <v>#REF!</v>
      </c>
      <c r="N53" s="7" t="e">
        <f t="shared" si="24"/>
        <v>#REF!</v>
      </c>
      <c r="O53" s="7" t="e">
        <f t="shared" si="24"/>
        <v>#REF!</v>
      </c>
      <c r="P53" s="7" t="e">
        <f t="shared" si="24"/>
        <v>#REF!</v>
      </c>
      <c r="Q53" s="7" t="e">
        <f t="shared" si="24"/>
        <v>#REF!</v>
      </c>
      <c r="R53" s="7" t="e">
        <f t="shared" si="24"/>
        <v>#REF!</v>
      </c>
      <c r="S53" s="7" t="e">
        <f t="shared" si="24"/>
        <v>#REF!</v>
      </c>
      <c r="T53" s="7" t="e">
        <f t="shared" si="24"/>
        <v>#REF!</v>
      </c>
      <c r="U53" s="7" t="e">
        <f t="shared" si="24"/>
        <v>#REF!</v>
      </c>
      <c r="V53" s="7" t="e">
        <f t="shared" si="24"/>
        <v>#REF!</v>
      </c>
      <c r="W53" s="7" t="e">
        <f t="shared" si="24"/>
        <v>#REF!</v>
      </c>
      <c r="X53" s="7" t="e">
        <f t="shared" si="24"/>
        <v>#REF!</v>
      </c>
      <c r="Y53" s="7" t="e">
        <f t="shared" si="24"/>
        <v>#REF!</v>
      </c>
      <c r="Z53" s="7" t="e">
        <f t="shared" si="24"/>
        <v>#REF!</v>
      </c>
      <c r="AA53" s="7" t="e">
        <f t="shared" si="24"/>
        <v>#REF!</v>
      </c>
      <c r="AB53" s="7" t="e">
        <f t="shared" si="24"/>
        <v>#REF!</v>
      </c>
      <c r="AC53" s="7" t="e">
        <f t="shared" si="24"/>
        <v>#REF!</v>
      </c>
      <c r="AD53" s="7" t="e">
        <f t="shared" si="24"/>
        <v>#REF!</v>
      </c>
      <c r="AE53" s="7" t="e">
        <f t="shared" si="24"/>
        <v>#REF!</v>
      </c>
      <c r="AF53" s="7" t="e">
        <f t="shared" si="24"/>
        <v>#REF!</v>
      </c>
      <c r="AG53" s="7" t="e">
        <f t="shared" si="24"/>
        <v>#REF!</v>
      </c>
      <c r="AH53" s="7" t="e">
        <f t="shared" si="24"/>
        <v>#REF!</v>
      </c>
      <c r="AI53" s="7" t="e">
        <f t="shared" si="24"/>
        <v>#REF!</v>
      </c>
      <c r="AJ53" s="7" t="e">
        <f t="shared" si="24"/>
        <v>#REF!</v>
      </c>
      <c r="AK53" s="7" t="e">
        <f t="shared" si="24"/>
        <v>#REF!</v>
      </c>
      <c r="AL53" s="7" t="e">
        <f t="shared" si="24"/>
        <v>#REF!</v>
      </c>
      <c r="AM53" s="7" t="e">
        <f t="shared" si="24"/>
        <v>#REF!</v>
      </c>
      <c r="AN53" s="7" t="e">
        <f t="shared" si="24"/>
        <v>#REF!</v>
      </c>
      <c r="AO53" s="7" t="e">
        <f t="shared" si="24"/>
        <v>#REF!</v>
      </c>
      <c r="AP53" s="7" t="e">
        <f t="shared" si="24"/>
        <v>#REF!</v>
      </c>
      <c r="AQ53" s="7" t="e">
        <f t="shared" si="24"/>
        <v>#REF!</v>
      </c>
      <c r="AR53" s="7" t="e">
        <f t="shared" si="24"/>
        <v>#REF!</v>
      </c>
      <c r="AS53" s="7" t="e">
        <f t="shared" si="24"/>
        <v>#REF!</v>
      </c>
      <c r="AT53" s="7" t="e">
        <f t="shared" si="24"/>
        <v>#REF!</v>
      </c>
      <c r="AU53" s="7" t="e">
        <f t="shared" si="24"/>
        <v>#REF!</v>
      </c>
      <c r="AV53" s="7" t="e">
        <f t="shared" si="24"/>
        <v>#REF!</v>
      </c>
      <c r="AW53" s="7" t="e">
        <f t="shared" si="24"/>
        <v>#REF!</v>
      </c>
      <c r="AX53" s="7" t="e">
        <f t="shared" si="24"/>
        <v>#REF!</v>
      </c>
      <c r="AY53" s="7" t="e">
        <f t="shared" si="24"/>
        <v>#REF!</v>
      </c>
      <c r="AZ53" s="7" t="e">
        <f t="shared" si="24"/>
        <v>#REF!</v>
      </c>
      <c r="BA53" s="7" t="e">
        <f t="shared" si="24"/>
        <v>#REF!</v>
      </c>
      <c r="BB53" s="7" t="e">
        <f t="shared" si="24"/>
        <v>#REF!</v>
      </c>
      <c r="BC53" s="7" t="e">
        <f t="shared" si="24"/>
        <v>#REF!</v>
      </c>
      <c r="BD53" s="7" t="e">
        <f t="shared" si="24"/>
        <v>#REF!</v>
      </c>
      <c r="BE53" s="7" t="e">
        <f t="shared" si="24"/>
        <v>#REF!</v>
      </c>
      <c r="BF53" s="7" t="e">
        <f>$F53*BF$29*BF$9</f>
        <v>#REF!</v>
      </c>
      <c r="BG53" s="7" t="e">
        <f t="shared" si="24"/>
        <v>#REF!</v>
      </c>
      <c r="BH53" s="7" t="e">
        <f t="shared" si="24"/>
        <v>#REF!</v>
      </c>
      <c r="BI53" s="7" t="e">
        <f t="shared" si="24"/>
        <v>#REF!</v>
      </c>
      <c r="BJ53" s="7" t="e">
        <f t="shared" si="24"/>
        <v>#REF!</v>
      </c>
      <c r="BK53" s="7" t="e">
        <f t="shared" si="24"/>
        <v>#REF!</v>
      </c>
      <c r="BL53" s="7" t="e">
        <f t="shared" si="24"/>
        <v>#REF!</v>
      </c>
      <c r="BM53" s="7" t="e">
        <f t="shared" si="24"/>
        <v>#REF!</v>
      </c>
      <c r="BN53" s="7" t="e">
        <f t="shared" si="24"/>
        <v>#REF!</v>
      </c>
      <c r="BO53" s="7" t="e">
        <f t="shared" si="24"/>
        <v>#REF!</v>
      </c>
      <c r="BP53" s="7" t="e">
        <f t="shared" si="24"/>
        <v>#REF!</v>
      </c>
      <c r="BQ53" s="7" t="e">
        <f t="shared" si="24"/>
        <v>#REF!</v>
      </c>
    </row>
    <row r="54" spans="2:69">
      <c r="B54" s="53"/>
      <c r="C54" s="104"/>
      <c r="D54" s="118" t="e">
        <f>#REF!</f>
        <v>#REF!</v>
      </c>
      <c r="E54" s="156" t="s">
        <v>117</v>
      </c>
      <c r="F54" s="120" t="str">
        <f>F9</f>
        <v>소비자물가상승률</v>
      </c>
      <c r="G54" s="122" t="e">
        <f>#REF!/화폐단위*(단위기간/회계기간)</f>
        <v>#REF!</v>
      </c>
      <c r="H54" s="7" t="e">
        <f t="shared" si="13"/>
        <v>#REF!</v>
      </c>
      <c r="I54" s="7"/>
      <c r="J54" s="7" t="e">
        <f>$G54*J$9</f>
        <v>#REF!</v>
      </c>
      <c r="K54" s="7" t="e">
        <f t="shared" ref="K54:BQ54" si="25">$G54*K$9</f>
        <v>#REF!</v>
      </c>
      <c r="L54" s="7" t="e">
        <f t="shared" si="25"/>
        <v>#REF!</v>
      </c>
      <c r="M54" s="7" t="e">
        <f t="shared" si="25"/>
        <v>#REF!</v>
      </c>
      <c r="N54" s="7" t="e">
        <f t="shared" si="25"/>
        <v>#REF!</v>
      </c>
      <c r="O54" s="7" t="e">
        <f t="shared" si="25"/>
        <v>#REF!</v>
      </c>
      <c r="P54" s="7" t="e">
        <f t="shared" si="25"/>
        <v>#REF!</v>
      </c>
      <c r="Q54" s="7" t="e">
        <f t="shared" si="25"/>
        <v>#REF!</v>
      </c>
      <c r="R54" s="7" t="e">
        <f t="shared" si="25"/>
        <v>#REF!</v>
      </c>
      <c r="S54" s="7" t="e">
        <f t="shared" si="25"/>
        <v>#REF!</v>
      </c>
      <c r="T54" s="7" t="e">
        <f t="shared" si="25"/>
        <v>#REF!</v>
      </c>
      <c r="U54" s="7" t="e">
        <f t="shared" si="25"/>
        <v>#REF!</v>
      </c>
      <c r="V54" s="7" t="e">
        <f t="shared" si="25"/>
        <v>#REF!</v>
      </c>
      <c r="W54" s="7" t="e">
        <f t="shared" si="25"/>
        <v>#REF!</v>
      </c>
      <c r="X54" s="7" t="e">
        <f t="shared" si="25"/>
        <v>#REF!</v>
      </c>
      <c r="Y54" s="7" t="e">
        <f t="shared" si="25"/>
        <v>#REF!</v>
      </c>
      <c r="Z54" s="7" t="e">
        <f t="shared" si="25"/>
        <v>#REF!</v>
      </c>
      <c r="AA54" s="7" t="e">
        <f t="shared" si="25"/>
        <v>#REF!</v>
      </c>
      <c r="AB54" s="7" t="e">
        <f t="shared" si="25"/>
        <v>#REF!</v>
      </c>
      <c r="AC54" s="7" t="e">
        <f t="shared" si="25"/>
        <v>#REF!</v>
      </c>
      <c r="AD54" s="7" t="e">
        <f t="shared" si="25"/>
        <v>#REF!</v>
      </c>
      <c r="AE54" s="7" t="e">
        <f t="shared" si="25"/>
        <v>#REF!</v>
      </c>
      <c r="AF54" s="7" t="e">
        <f t="shared" si="25"/>
        <v>#REF!</v>
      </c>
      <c r="AG54" s="7" t="e">
        <f t="shared" si="25"/>
        <v>#REF!</v>
      </c>
      <c r="AH54" s="7" t="e">
        <f t="shared" si="25"/>
        <v>#REF!</v>
      </c>
      <c r="AI54" s="7" t="e">
        <f t="shared" si="25"/>
        <v>#REF!</v>
      </c>
      <c r="AJ54" s="7" t="e">
        <f t="shared" si="25"/>
        <v>#REF!</v>
      </c>
      <c r="AK54" s="7" t="e">
        <f t="shared" si="25"/>
        <v>#REF!</v>
      </c>
      <c r="AL54" s="7" t="e">
        <f t="shared" si="25"/>
        <v>#REF!</v>
      </c>
      <c r="AM54" s="7" t="e">
        <f t="shared" si="25"/>
        <v>#REF!</v>
      </c>
      <c r="AN54" s="7" t="e">
        <f t="shared" si="25"/>
        <v>#REF!</v>
      </c>
      <c r="AO54" s="7" t="e">
        <f t="shared" si="25"/>
        <v>#REF!</v>
      </c>
      <c r="AP54" s="7" t="e">
        <f t="shared" si="25"/>
        <v>#REF!</v>
      </c>
      <c r="AQ54" s="7" t="e">
        <f t="shared" si="25"/>
        <v>#REF!</v>
      </c>
      <c r="AR54" s="7" t="e">
        <f t="shared" si="25"/>
        <v>#REF!</v>
      </c>
      <c r="AS54" s="7" t="e">
        <f t="shared" si="25"/>
        <v>#REF!</v>
      </c>
      <c r="AT54" s="7" t="e">
        <f t="shared" si="25"/>
        <v>#REF!</v>
      </c>
      <c r="AU54" s="7" t="e">
        <f t="shared" si="25"/>
        <v>#REF!</v>
      </c>
      <c r="AV54" s="7" t="e">
        <f t="shared" si="25"/>
        <v>#REF!</v>
      </c>
      <c r="AW54" s="7" t="e">
        <f t="shared" si="25"/>
        <v>#REF!</v>
      </c>
      <c r="AX54" s="7" t="e">
        <f t="shared" si="25"/>
        <v>#REF!</v>
      </c>
      <c r="AY54" s="7" t="e">
        <f t="shared" si="25"/>
        <v>#REF!</v>
      </c>
      <c r="AZ54" s="7" t="e">
        <f t="shared" si="25"/>
        <v>#REF!</v>
      </c>
      <c r="BA54" s="7" t="e">
        <f t="shared" si="25"/>
        <v>#REF!</v>
      </c>
      <c r="BB54" s="7" t="e">
        <f t="shared" si="25"/>
        <v>#REF!</v>
      </c>
      <c r="BC54" s="7" t="e">
        <f t="shared" si="25"/>
        <v>#REF!</v>
      </c>
      <c r="BD54" s="7" t="e">
        <f t="shared" si="25"/>
        <v>#REF!</v>
      </c>
      <c r="BE54" s="7" t="e">
        <f t="shared" si="25"/>
        <v>#REF!</v>
      </c>
      <c r="BF54" s="7" t="e">
        <f>$G54*BF$9</f>
        <v>#REF!</v>
      </c>
      <c r="BG54" s="7" t="e">
        <f t="shared" si="25"/>
        <v>#REF!</v>
      </c>
      <c r="BH54" s="7" t="e">
        <f t="shared" si="25"/>
        <v>#REF!</v>
      </c>
      <c r="BI54" s="7" t="e">
        <f t="shared" si="25"/>
        <v>#REF!</v>
      </c>
      <c r="BJ54" s="7" t="e">
        <f t="shared" si="25"/>
        <v>#REF!</v>
      </c>
      <c r="BK54" s="7" t="e">
        <f t="shared" si="25"/>
        <v>#REF!</v>
      </c>
      <c r="BL54" s="7" t="e">
        <f t="shared" si="25"/>
        <v>#REF!</v>
      </c>
      <c r="BM54" s="7" t="e">
        <f t="shared" si="25"/>
        <v>#REF!</v>
      </c>
      <c r="BN54" s="7" t="e">
        <f t="shared" si="25"/>
        <v>#REF!</v>
      </c>
      <c r="BO54" s="7" t="e">
        <f t="shared" si="25"/>
        <v>#REF!</v>
      </c>
      <c r="BP54" s="7" t="e">
        <f t="shared" si="25"/>
        <v>#REF!</v>
      </c>
      <c r="BQ54" s="7" t="e">
        <f t="shared" si="25"/>
        <v>#REF!</v>
      </c>
    </row>
    <row r="55" spans="2:69">
      <c r="B55" s="53"/>
      <c r="C55" s="104"/>
      <c r="D55" s="118" t="e">
        <f>#REF!</f>
        <v>#REF!</v>
      </c>
      <c r="E55" s="155" t="s">
        <v>116</v>
      </c>
      <c r="F55" s="120" t="e">
        <f>#REF!</f>
        <v>#REF!</v>
      </c>
      <c r="G55" s="119" t="e">
        <f>#REF!</f>
        <v>#REF!</v>
      </c>
      <c r="H55" s="7" t="e">
        <f t="shared" si="13"/>
        <v>#REF!</v>
      </c>
      <c r="I55" s="7"/>
      <c r="J55" s="7" t="e">
        <f>$F55*J$29*J$9</f>
        <v>#REF!</v>
      </c>
      <c r="K55" s="7" t="e">
        <f t="shared" ref="K55:BQ55" si="26">$F55*K$29*K$9</f>
        <v>#REF!</v>
      </c>
      <c r="L55" s="7" t="e">
        <f t="shared" si="26"/>
        <v>#REF!</v>
      </c>
      <c r="M55" s="7" t="e">
        <f t="shared" si="26"/>
        <v>#REF!</v>
      </c>
      <c r="N55" s="7" t="e">
        <f t="shared" si="26"/>
        <v>#REF!</v>
      </c>
      <c r="O55" s="7" t="e">
        <f t="shared" si="26"/>
        <v>#REF!</v>
      </c>
      <c r="P55" s="7" t="e">
        <f t="shared" si="26"/>
        <v>#REF!</v>
      </c>
      <c r="Q55" s="7" t="e">
        <f t="shared" si="26"/>
        <v>#REF!</v>
      </c>
      <c r="R55" s="7" t="e">
        <f t="shared" si="26"/>
        <v>#REF!</v>
      </c>
      <c r="S55" s="7" t="e">
        <f t="shared" si="26"/>
        <v>#REF!</v>
      </c>
      <c r="T55" s="7" t="e">
        <f t="shared" si="26"/>
        <v>#REF!</v>
      </c>
      <c r="U55" s="7" t="e">
        <f t="shared" si="26"/>
        <v>#REF!</v>
      </c>
      <c r="V55" s="7" t="e">
        <f t="shared" si="26"/>
        <v>#REF!</v>
      </c>
      <c r="W55" s="7" t="e">
        <f t="shared" si="26"/>
        <v>#REF!</v>
      </c>
      <c r="X55" s="7" t="e">
        <f t="shared" si="26"/>
        <v>#REF!</v>
      </c>
      <c r="Y55" s="7" t="e">
        <f t="shared" si="26"/>
        <v>#REF!</v>
      </c>
      <c r="Z55" s="7" t="e">
        <f t="shared" si="26"/>
        <v>#REF!</v>
      </c>
      <c r="AA55" s="7" t="e">
        <f t="shared" si="26"/>
        <v>#REF!</v>
      </c>
      <c r="AB55" s="7" t="e">
        <f t="shared" si="26"/>
        <v>#REF!</v>
      </c>
      <c r="AC55" s="7" t="e">
        <f t="shared" si="26"/>
        <v>#REF!</v>
      </c>
      <c r="AD55" s="7" t="e">
        <f t="shared" si="26"/>
        <v>#REF!</v>
      </c>
      <c r="AE55" s="7" t="e">
        <f t="shared" si="26"/>
        <v>#REF!</v>
      </c>
      <c r="AF55" s="7" t="e">
        <f t="shared" si="26"/>
        <v>#REF!</v>
      </c>
      <c r="AG55" s="7" t="e">
        <f t="shared" si="26"/>
        <v>#REF!</v>
      </c>
      <c r="AH55" s="7" t="e">
        <f t="shared" si="26"/>
        <v>#REF!</v>
      </c>
      <c r="AI55" s="7" t="e">
        <f t="shared" si="26"/>
        <v>#REF!</v>
      </c>
      <c r="AJ55" s="7" t="e">
        <f t="shared" si="26"/>
        <v>#REF!</v>
      </c>
      <c r="AK55" s="7" t="e">
        <f t="shared" si="26"/>
        <v>#REF!</v>
      </c>
      <c r="AL55" s="7" t="e">
        <f t="shared" si="26"/>
        <v>#REF!</v>
      </c>
      <c r="AM55" s="7" t="e">
        <f t="shared" si="26"/>
        <v>#REF!</v>
      </c>
      <c r="AN55" s="7" t="e">
        <f t="shared" si="26"/>
        <v>#REF!</v>
      </c>
      <c r="AO55" s="7" t="e">
        <f t="shared" si="26"/>
        <v>#REF!</v>
      </c>
      <c r="AP55" s="7" t="e">
        <f t="shared" si="26"/>
        <v>#REF!</v>
      </c>
      <c r="AQ55" s="7" t="e">
        <f t="shared" si="26"/>
        <v>#REF!</v>
      </c>
      <c r="AR55" s="7" t="e">
        <f t="shared" si="26"/>
        <v>#REF!</v>
      </c>
      <c r="AS55" s="7" t="e">
        <f t="shared" si="26"/>
        <v>#REF!</v>
      </c>
      <c r="AT55" s="7" t="e">
        <f t="shared" si="26"/>
        <v>#REF!</v>
      </c>
      <c r="AU55" s="7" t="e">
        <f t="shared" si="26"/>
        <v>#REF!</v>
      </c>
      <c r="AV55" s="7" t="e">
        <f t="shared" si="26"/>
        <v>#REF!</v>
      </c>
      <c r="AW55" s="7" t="e">
        <f t="shared" si="26"/>
        <v>#REF!</v>
      </c>
      <c r="AX55" s="7" t="e">
        <f t="shared" si="26"/>
        <v>#REF!</v>
      </c>
      <c r="AY55" s="7" t="e">
        <f t="shared" si="26"/>
        <v>#REF!</v>
      </c>
      <c r="AZ55" s="7" t="e">
        <f t="shared" si="26"/>
        <v>#REF!</v>
      </c>
      <c r="BA55" s="7" t="e">
        <f t="shared" si="26"/>
        <v>#REF!</v>
      </c>
      <c r="BB55" s="7" t="e">
        <f t="shared" si="26"/>
        <v>#REF!</v>
      </c>
      <c r="BC55" s="7" t="e">
        <f t="shared" si="26"/>
        <v>#REF!</v>
      </c>
      <c r="BD55" s="7" t="e">
        <f t="shared" si="26"/>
        <v>#REF!</v>
      </c>
      <c r="BE55" s="7" t="e">
        <f t="shared" si="26"/>
        <v>#REF!</v>
      </c>
      <c r="BF55" s="7" t="e">
        <f>$F55*BF$29*BF$9</f>
        <v>#REF!</v>
      </c>
      <c r="BG55" s="7" t="e">
        <f t="shared" si="26"/>
        <v>#REF!</v>
      </c>
      <c r="BH55" s="7" t="e">
        <f t="shared" si="26"/>
        <v>#REF!</v>
      </c>
      <c r="BI55" s="7" t="e">
        <f t="shared" si="26"/>
        <v>#REF!</v>
      </c>
      <c r="BJ55" s="7" t="e">
        <f t="shared" si="26"/>
        <v>#REF!</v>
      </c>
      <c r="BK55" s="7" t="e">
        <f t="shared" si="26"/>
        <v>#REF!</v>
      </c>
      <c r="BL55" s="7" t="e">
        <f t="shared" si="26"/>
        <v>#REF!</v>
      </c>
      <c r="BM55" s="7" t="e">
        <f t="shared" si="26"/>
        <v>#REF!</v>
      </c>
      <c r="BN55" s="7" t="e">
        <f t="shared" si="26"/>
        <v>#REF!</v>
      </c>
      <c r="BO55" s="7" t="e">
        <f t="shared" si="26"/>
        <v>#REF!</v>
      </c>
      <c r="BP55" s="7" t="e">
        <f t="shared" si="26"/>
        <v>#REF!</v>
      </c>
      <c r="BQ55" s="7" t="e">
        <f t="shared" si="26"/>
        <v>#REF!</v>
      </c>
    </row>
    <row r="56" spans="2:69">
      <c r="B56" s="53"/>
      <c r="C56" s="104"/>
      <c r="D56" s="118" t="e">
        <f>#REF!</f>
        <v>#REF!</v>
      </c>
      <c r="E56" s="118" t="s">
        <v>116</v>
      </c>
      <c r="F56" s="123"/>
      <c r="G56" s="124"/>
      <c r="H56" s="132">
        <f>SUM(I56:BQ56)</f>
        <v>0</v>
      </c>
      <c r="I56" s="132"/>
      <c r="J56" s="13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row>
    <row r="57" spans="2:69">
      <c r="B57" s="53"/>
      <c r="C57" s="104"/>
      <c r="D57" s="118" t="e">
        <f>#REF!</f>
        <v>#REF!</v>
      </c>
      <c r="E57" s="156" t="s">
        <v>117</v>
      </c>
      <c r="F57" s="120" t="str">
        <f>$F$9</f>
        <v>소비자물가상승률</v>
      </c>
      <c r="G57" s="125" t="e">
        <f>#REF!/화폐단위*(단위기간/회계기간)</f>
        <v>#REF!</v>
      </c>
      <c r="H57" s="7" t="e">
        <f t="shared" si="13"/>
        <v>#REF!</v>
      </c>
      <c r="I57" s="7"/>
      <c r="J57" s="7" t="e">
        <f>$G57*J$9</f>
        <v>#REF!</v>
      </c>
      <c r="K57" s="7" t="e">
        <f t="shared" ref="K57:BQ57" si="27">$G57*K$9</f>
        <v>#REF!</v>
      </c>
      <c r="L57" s="7" t="e">
        <f t="shared" si="27"/>
        <v>#REF!</v>
      </c>
      <c r="M57" s="7" t="e">
        <f t="shared" si="27"/>
        <v>#REF!</v>
      </c>
      <c r="N57" s="7" t="e">
        <f t="shared" si="27"/>
        <v>#REF!</v>
      </c>
      <c r="O57" s="7" t="e">
        <f t="shared" si="27"/>
        <v>#REF!</v>
      </c>
      <c r="P57" s="7" t="e">
        <f t="shared" si="27"/>
        <v>#REF!</v>
      </c>
      <c r="Q57" s="7" t="e">
        <f t="shared" si="27"/>
        <v>#REF!</v>
      </c>
      <c r="R57" s="7" t="e">
        <f t="shared" si="27"/>
        <v>#REF!</v>
      </c>
      <c r="S57" s="7" t="e">
        <f t="shared" si="27"/>
        <v>#REF!</v>
      </c>
      <c r="T57" s="7" t="e">
        <f t="shared" si="27"/>
        <v>#REF!</v>
      </c>
      <c r="U57" s="7" t="e">
        <f t="shared" si="27"/>
        <v>#REF!</v>
      </c>
      <c r="V57" s="7" t="e">
        <f t="shared" si="27"/>
        <v>#REF!</v>
      </c>
      <c r="W57" s="7" t="e">
        <f t="shared" si="27"/>
        <v>#REF!</v>
      </c>
      <c r="X57" s="7" t="e">
        <f t="shared" si="27"/>
        <v>#REF!</v>
      </c>
      <c r="Y57" s="7" t="e">
        <f t="shared" si="27"/>
        <v>#REF!</v>
      </c>
      <c r="Z57" s="7" t="e">
        <f t="shared" si="27"/>
        <v>#REF!</v>
      </c>
      <c r="AA57" s="7" t="e">
        <f t="shared" si="27"/>
        <v>#REF!</v>
      </c>
      <c r="AB57" s="7" t="e">
        <f t="shared" si="27"/>
        <v>#REF!</v>
      </c>
      <c r="AC57" s="7" t="e">
        <f t="shared" si="27"/>
        <v>#REF!</v>
      </c>
      <c r="AD57" s="7" t="e">
        <f t="shared" si="27"/>
        <v>#REF!</v>
      </c>
      <c r="AE57" s="7" t="e">
        <f t="shared" si="27"/>
        <v>#REF!</v>
      </c>
      <c r="AF57" s="7" t="e">
        <f t="shared" si="27"/>
        <v>#REF!</v>
      </c>
      <c r="AG57" s="7" t="e">
        <f t="shared" si="27"/>
        <v>#REF!</v>
      </c>
      <c r="AH57" s="7" t="e">
        <f t="shared" si="27"/>
        <v>#REF!</v>
      </c>
      <c r="AI57" s="7" t="e">
        <f t="shared" si="27"/>
        <v>#REF!</v>
      </c>
      <c r="AJ57" s="7" t="e">
        <f t="shared" si="27"/>
        <v>#REF!</v>
      </c>
      <c r="AK57" s="7" t="e">
        <f t="shared" si="27"/>
        <v>#REF!</v>
      </c>
      <c r="AL57" s="7" t="e">
        <f t="shared" si="27"/>
        <v>#REF!</v>
      </c>
      <c r="AM57" s="7" t="e">
        <f t="shared" si="27"/>
        <v>#REF!</v>
      </c>
      <c r="AN57" s="7" t="e">
        <f t="shared" si="27"/>
        <v>#REF!</v>
      </c>
      <c r="AO57" s="7" t="e">
        <f t="shared" si="27"/>
        <v>#REF!</v>
      </c>
      <c r="AP57" s="7" t="e">
        <f t="shared" si="27"/>
        <v>#REF!</v>
      </c>
      <c r="AQ57" s="7" t="e">
        <f t="shared" si="27"/>
        <v>#REF!</v>
      </c>
      <c r="AR57" s="7" t="e">
        <f t="shared" si="27"/>
        <v>#REF!</v>
      </c>
      <c r="AS57" s="7" t="e">
        <f t="shared" si="27"/>
        <v>#REF!</v>
      </c>
      <c r="AT57" s="7" t="e">
        <f t="shared" si="27"/>
        <v>#REF!</v>
      </c>
      <c r="AU57" s="7" t="e">
        <f t="shared" si="27"/>
        <v>#REF!</v>
      </c>
      <c r="AV57" s="7" t="e">
        <f t="shared" si="27"/>
        <v>#REF!</v>
      </c>
      <c r="AW57" s="7" t="e">
        <f t="shared" si="27"/>
        <v>#REF!</v>
      </c>
      <c r="AX57" s="7" t="e">
        <f t="shared" si="27"/>
        <v>#REF!</v>
      </c>
      <c r="AY57" s="7" t="e">
        <f t="shared" si="27"/>
        <v>#REF!</v>
      </c>
      <c r="AZ57" s="7" t="e">
        <f t="shared" si="27"/>
        <v>#REF!</v>
      </c>
      <c r="BA57" s="7" t="e">
        <f t="shared" si="27"/>
        <v>#REF!</v>
      </c>
      <c r="BB57" s="7" t="e">
        <f t="shared" si="27"/>
        <v>#REF!</v>
      </c>
      <c r="BC57" s="7" t="e">
        <f t="shared" si="27"/>
        <v>#REF!</v>
      </c>
      <c r="BD57" s="7" t="e">
        <f t="shared" si="27"/>
        <v>#REF!</v>
      </c>
      <c r="BE57" s="7" t="e">
        <f t="shared" si="27"/>
        <v>#REF!</v>
      </c>
      <c r="BF57" s="7" t="e">
        <f>$G57*BF$9</f>
        <v>#REF!</v>
      </c>
      <c r="BG57" s="7" t="e">
        <f t="shared" si="27"/>
        <v>#REF!</v>
      </c>
      <c r="BH57" s="7" t="e">
        <f t="shared" si="27"/>
        <v>#REF!</v>
      </c>
      <c r="BI57" s="7" t="e">
        <f t="shared" si="27"/>
        <v>#REF!</v>
      </c>
      <c r="BJ57" s="7" t="e">
        <f t="shared" si="27"/>
        <v>#REF!</v>
      </c>
      <c r="BK57" s="7" t="e">
        <f t="shared" si="27"/>
        <v>#REF!</v>
      </c>
      <c r="BL57" s="7" t="e">
        <f t="shared" si="27"/>
        <v>#REF!</v>
      </c>
      <c r="BM57" s="7" t="e">
        <f t="shared" si="27"/>
        <v>#REF!</v>
      </c>
      <c r="BN57" s="7" t="e">
        <f t="shared" si="27"/>
        <v>#REF!</v>
      </c>
      <c r="BO57" s="7" t="e">
        <f t="shared" si="27"/>
        <v>#REF!</v>
      </c>
      <c r="BP57" s="7" t="e">
        <f t="shared" si="27"/>
        <v>#REF!</v>
      </c>
      <c r="BQ57" s="7" t="e">
        <f t="shared" si="27"/>
        <v>#REF!</v>
      </c>
    </row>
    <row r="58" spans="2:69">
      <c r="B58" s="53"/>
      <c r="C58" s="104"/>
      <c r="D58" s="118" t="e">
        <f>#REF!</f>
        <v>#REF!</v>
      </c>
      <c r="E58" s="118" t="s">
        <v>114</v>
      </c>
      <c r="F58" s="120" t="e">
        <f>#REF!</f>
        <v>#REF!</v>
      </c>
      <c r="G58" s="119" t="e">
        <f>#REF!</f>
        <v>#REF!</v>
      </c>
      <c r="H58" s="7" t="e">
        <f t="shared" si="13"/>
        <v>#REF!</v>
      </c>
      <c r="I58" s="7"/>
      <c r="J58" s="7" t="e">
        <f>$F58*J$29*J$9*J$13</f>
        <v>#REF!</v>
      </c>
      <c r="K58" s="7" t="e">
        <f>IF(J$5=K$5,J58,J58*(1+K$14*K$13)*K$4*K$9)</f>
        <v>#REF!</v>
      </c>
      <c r="L58" s="7" t="e">
        <f>IF(K$5=L$5,K58,K58*(1+L$14*L$13)*L$4*L$9)</f>
        <v>#REF!</v>
      </c>
      <c r="M58" s="7" t="e">
        <f t="shared" ref="M58:BQ58" si="28">IF(L$5=M$5,L58,L58*(1+M$14*M$13)*M$4*M$9)</f>
        <v>#REF!</v>
      </c>
      <c r="N58" s="7" t="e">
        <f t="shared" si="28"/>
        <v>#REF!</v>
      </c>
      <c r="O58" s="7" t="e">
        <f t="shared" si="28"/>
        <v>#REF!</v>
      </c>
      <c r="P58" s="7" t="e">
        <f t="shared" si="28"/>
        <v>#REF!</v>
      </c>
      <c r="Q58" s="7" t="e">
        <f t="shared" si="28"/>
        <v>#REF!</v>
      </c>
      <c r="R58" s="7" t="e">
        <f t="shared" si="28"/>
        <v>#REF!</v>
      </c>
      <c r="S58" s="7" t="e">
        <f t="shared" si="28"/>
        <v>#REF!</v>
      </c>
      <c r="T58" s="7" t="e">
        <f t="shared" si="28"/>
        <v>#REF!</v>
      </c>
      <c r="U58" s="7" t="e">
        <f t="shared" si="28"/>
        <v>#REF!</v>
      </c>
      <c r="V58" s="7" t="e">
        <f t="shared" si="28"/>
        <v>#REF!</v>
      </c>
      <c r="W58" s="7" t="e">
        <f t="shared" si="28"/>
        <v>#REF!</v>
      </c>
      <c r="X58" s="7" t="e">
        <f t="shared" si="28"/>
        <v>#REF!</v>
      </c>
      <c r="Y58" s="7" t="e">
        <f t="shared" si="28"/>
        <v>#REF!</v>
      </c>
      <c r="Z58" s="7" t="e">
        <f t="shared" si="28"/>
        <v>#REF!</v>
      </c>
      <c r="AA58" s="7" t="e">
        <f t="shared" si="28"/>
        <v>#REF!</v>
      </c>
      <c r="AB58" s="7" t="e">
        <f t="shared" si="28"/>
        <v>#REF!</v>
      </c>
      <c r="AC58" s="7" t="e">
        <f t="shared" si="28"/>
        <v>#REF!</v>
      </c>
      <c r="AD58" s="7" t="e">
        <f t="shared" si="28"/>
        <v>#REF!</v>
      </c>
      <c r="AE58" s="7" t="e">
        <f t="shared" si="28"/>
        <v>#REF!</v>
      </c>
      <c r="AF58" s="7" t="e">
        <f t="shared" si="28"/>
        <v>#REF!</v>
      </c>
      <c r="AG58" s="7" t="e">
        <f t="shared" si="28"/>
        <v>#REF!</v>
      </c>
      <c r="AH58" s="7" t="e">
        <f t="shared" si="28"/>
        <v>#REF!</v>
      </c>
      <c r="AI58" s="7" t="e">
        <f t="shared" si="28"/>
        <v>#REF!</v>
      </c>
      <c r="AJ58" s="7" t="e">
        <f t="shared" si="28"/>
        <v>#REF!</v>
      </c>
      <c r="AK58" s="7" t="e">
        <f t="shared" si="28"/>
        <v>#REF!</v>
      </c>
      <c r="AL58" s="7" t="e">
        <f t="shared" si="28"/>
        <v>#REF!</v>
      </c>
      <c r="AM58" s="7" t="e">
        <f t="shared" si="28"/>
        <v>#REF!</v>
      </c>
      <c r="AN58" s="7" t="e">
        <f t="shared" si="28"/>
        <v>#REF!</v>
      </c>
      <c r="AO58" s="7" t="e">
        <f t="shared" si="28"/>
        <v>#REF!</v>
      </c>
      <c r="AP58" s="7" t="e">
        <f t="shared" si="28"/>
        <v>#REF!</v>
      </c>
      <c r="AQ58" s="7" t="e">
        <f t="shared" si="28"/>
        <v>#REF!</v>
      </c>
      <c r="AR58" s="7" t="e">
        <f t="shared" si="28"/>
        <v>#REF!</v>
      </c>
      <c r="AS58" s="7" t="e">
        <f t="shared" si="28"/>
        <v>#REF!</v>
      </c>
      <c r="AT58" s="7" t="e">
        <f t="shared" si="28"/>
        <v>#REF!</v>
      </c>
      <c r="AU58" s="7" t="e">
        <f t="shared" si="28"/>
        <v>#REF!</v>
      </c>
      <c r="AV58" s="7" t="e">
        <f t="shared" si="28"/>
        <v>#REF!</v>
      </c>
      <c r="AW58" s="7" t="e">
        <f t="shared" si="28"/>
        <v>#REF!</v>
      </c>
      <c r="AX58" s="7" t="e">
        <f t="shared" si="28"/>
        <v>#REF!</v>
      </c>
      <c r="AY58" s="7" t="e">
        <f t="shared" si="28"/>
        <v>#REF!</v>
      </c>
      <c r="AZ58" s="7" t="e">
        <f t="shared" si="28"/>
        <v>#REF!</v>
      </c>
      <c r="BA58" s="7" t="e">
        <f t="shared" si="28"/>
        <v>#REF!</v>
      </c>
      <c r="BB58" s="7" t="e">
        <f t="shared" si="28"/>
        <v>#REF!</v>
      </c>
      <c r="BC58" s="7" t="e">
        <f t="shared" si="28"/>
        <v>#REF!</v>
      </c>
      <c r="BD58" s="7" t="e">
        <f t="shared" si="28"/>
        <v>#REF!</v>
      </c>
      <c r="BE58" s="7" t="e">
        <f t="shared" si="28"/>
        <v>#REF!</v>
      </c>
      <c r="BF58" s="7" t="e">
        <f t="shared" si="28"/>
        <v>#REF!</v>
      </c>
      <c r="BG58" s="7" t="e">
        <f t="shared" si="28"/>
        <v>#REF!</v>
      </c>
      <c r="BH58" s="7" t="e">
        <f t="shared" si="28"/>
        <v>#REF!</v>
      </c>
      <c r="BI58" s="7" t="e">
        <f t="shared" si="28"/>
        <v>#REF!</v>
      </c>
      <c r="BJ58" s="7" t="e">
        <f t="shared" si="28"/>
        <v>#REF!</v>
      </c>
      <c r="BK58" s="7" t="e">
        <f t="shared" si="28"/>
        <v>#REF!</v>
      </c>
      <c r="BL58" s="7" t="e">
        <f t="shared" si="28"/>
        <v>#REF!</v>
      </c>
      <c r="BM58" s="7" t="e">
        <f t="shared" si="28"/>
        <v>#REF!</v>
      </c>
      <c r="BN58" s="7" t="e">
        <f t="shared" si="28"/>
        <v>#REF!</v>
      </c>
      <c r="BO58" s="7" t="e">
        <f t="shared" si="28"/>
        <v>#REF!</v>
      </c>
      <c r="BP58" s="7" t="e">
        <f t="shared" si="28"/>
        <v>#REF!</v>
      </c>
      <c r="BQ58" s="7" t="e">
        <f t="shared" si="28"/>
        <v>#REF!</v>
      </c>
    </row>
    <row r="59" spans="2:69">
      <c r="B59" s="53"/>
      <c r="C59" s="104"/>
      <c r="D59" s="118" t="e">
        <f>#REF!</f>
        <v>#REF!</v>
      </c>
      <c r="E59" s="118" t="s">
        <v>106</v>
      </c>
      <c r="F59" s="120" t="e">
        <f>#REF!</f>
        <v>#REF!</v>
      </c>
      <c r="G59" s="125" t="e">
        <f>#REF!/화폐단위*(단위기간/회계기간)</f>
        <v>#REF!</v>
      </c>
      <c r="H59" s="7" t="e">
        <f>SUM(I59:BQ59)</f>
        <v>#REF!</v>
      </c>
      <c r="I59" s="7"/>
      <c r="J59" s="7" t="e">
        <f>$G59*(1+J$14*J$12)*J$4*J$9</f>
        <v>#REF!</v>
      </c>
      <c r="K59" s="7" t="e">
        <f>IF(J$5=K$5,J59,J59*(1+K$14*K$12)*K$4*K$9)</f>
        <v>#REF!</v>
      </c>
      <c r="L59" s="7" t="e">
        <f t="shared" ref="L59:BQ59" si="29">IF(K$5=L$5,K59,K59*(1+L$14*L$12)*L$4*L$9)</f>
        <v>#REF!</v>
      </c>
      <c r="M59" s="7" t="e">
        <f t="shared" si="29"/>
        <v>#REF!</v>
      </c>
      <c r="N59" s="7" t="e">
        <f t="shared" si="29"/>
        <v>#REF!</v>
      </c>
      <c r="O59" s="7" t="e">
        <f t="shared" si="29"/>
        <v>#REF!</v>
      </c>
      <c r="P59" s="7" t="e">
        <f t="shared" si="29"/>
        <v>#REF!</v>
      </c>
      <c r="Q59" s="7" t="e">
        <f t="shared" si="29"/>
        <v>#REF!</v>
      </c>
      <c r="R59" s="7" t="e">
        <f t="shared" si="29"/>
        <v>#REF!</v>
      </c>
      <c r="S59" s="7" t="e">
        <f t="shared" si="29"/>
        <v>#REF!</v>
      </c>
      <c r="T59" s="7" t="e">
        <f t="shared" si="29"/>
        <v>#REF!</v>
      </c>
      <c r="U59" s="7" t="e">
        <f t="shared" si="29"/>
        <v>#REF!</v>
      </c>
      <c r="V59" s="7" t="e">
        <f t="shared" si="29"/>
        <v>#REF!</v>
      </c>
      <c r="W59" s="7" t="e">
        <f t="shared" si="29"/>
        <v>#REF!</v>
      </c>
      <c r="X59" s="7" t="e">
        <f t="shared" si="29"/>
        <v>#REF!</v>
      </c>
      <c r="Y59" s="7" t="e">
        <f t="shared" si="29"/>
        <v>#REF!</v>
      </c>
      <c r="Z59" s="7" t="e">
        <f t="shared" si="29"/>
        <v>#REF!</v>
      </c>
      <c r="AA59" s="7" t="e">
        <f t="shared" si="29"/>
        <v>#REF!</v>
      </c>
      <c r="AB59" s="7" t="e">
        <f t="shared" si="29"/>
        <v>#REF!</v>
      </c>
      <c r="AC59" s="7" t="e">
        <f t="shared" si="29"/>
        <v>#REF!</v>
      </c>
      <c r="AD59" s="7" t="e">
        <f t="shared" si="29"/>
        <v>#REF!</v>
      </c>
      <c r="AE59" s="7" t="e">
        <f t="shared" si="29"/>
        <v>#REF!</v>
      </c>
      <c r="AF59" s="7" t="e">
        <f t="shared" si="29"/>
        <v>#REF!</v>
      </c>
      <c r="AG59" s="7" t="e">
        <f t="shared" si="29"/>
        <v>#REF!</v>
      </c>
      <c r="AH59" s="7" t="e">
        <f t="shared" si="29"/>
        <v>#REF!</v>
      </c>
      <c r="AI59" s="7" t="e">
        <f t="shared" si="29"/>
        <v>#REF!</v>
      </c>
      <c r="AJ59" s="7" t="e">
        <f t="shared" si="29"/>
        <v>#REF!</v>
      </c>
      <c r="AK59" s="7" t="e">
        <f t="shared" si="29"/>
        <v>#REF!</v>
      </c>
      <c r="AL59" s="7" t="e">
        <f t="shared" si="29"/>
        <v>#REF!</v>
      </c>
      <c r="AM59" s="7" t="e">
        <f t="shared" si="29"/>
        <v>#REF!</v>
      </c>
      <c r="AN59" s="7" t="e">
        <f t="shared" si="29"/>
        <v>#REF!</v>
      </c>
      <c r="AO59" s="7" t="e">
        <f t="shared" si="29"/>
        <v>#REF!</v>
      </c>
      <c r="AP59" s="7" t="e">
        <f t="shared" si="29"/>
        <v>#REF!</v>
      </c>
      <c r="AQ59" s="7" t="e">
        <f t="shared" si="29"/>
        <v>#REF!</v>
      </c>
      <c r="AR59" s="7" t="e">
        <f t="shared" si="29"/>
        <v>#REF!</v>
      </c>
      <c r="AS59" s="7" t="e">
        <f t="shared" si="29"/>
        <v>#REF!</v>
      </c>
      <c r="AT59" s="7" t="e">
        <f t="shared" si="29"/>
        <v>#REF!</v>
      </c>
      <c r="AU59" s="7" t="e">
        <f t="shared" si="29"/>
        <v>#REF!</v>
      </c>
      <c r="AV59" s="7" t="e">
        <f t="shared" si="29"/>
        <v>#REF!</v>
      </c>
      <c r="AW59" s="7" t="e">
        <f t="shared" si="29"/>
        <v>#REF!</v>
      </c>
      <c r="AX59" s="7" t="e">
        <f t="shared" si="29"/>
        <v>#REF!</v>
      </c>
      <c r="AY59" s="7" t="e">
        <f t="shared" si="29"/>
        <v>#REF!</v>
      </c>
      <c r="AZ59" s="7" t="e">
        <f t="shared" si="29"/>
        <v>#REF!</v>
      </c>
      <c r="BA59" s="7" t="e">
        <f t="shared" si="29"/>
        <v>#REF!</v>
      </c>
      <c r="BB59" s="7" t="e">
        <f t="shared" si="29"/>
        <v>#REF!</v>
      </c>
      <c r="BC59" s="7" t="e">
        <f t="shared" si="29"/>
        <v>#REF!</v>
      </c>
      <c r="BD59" s="7" t="e">
        <f t="shared" si="29"/>
        <v>#REF!</v>
      </c>
      <c r="BE59" s="7" t="e">
        <f t="shared" si="29"/>
        <v>#REF!</v>
      </c>
      <c r="BF59" s="7" t="e">
        <f t="shared" si="29"/>
        <v>#REF!</v>
      </c>
      <c r="BG59" s="7" t="e">
        <f t="shared" si="29"/>
        <v>#REF!</v>
      </c>
      <c r="BH59" s="7" t="e">
        <f t="shared" si="29"/>
        <v>#REF!</v>
      </c>
      <c r="BI59" s="7" t="e">
        <f t="shared" si="29"/>
        <v>#REF!</v>
      </c>
      <c r="BJ59" s="7" t="e">
        <f t="shared" si="29"/>
        <v>#REF!</v>
      </c>
      <c r="BK59" s="7" t="e">
        <f t="shared" si="29"/>
        <v>#REF!</v>
      </c>
      <c r="BL59" s="7" t="e">
        <f t="shared" si="29"/>
        <v>#REF!</v>
      </c>
      <c r="BM59" s="7" t="e">
        <f t="shared" si="29"/>
        <v>#REF!</v>
      </c>
      <c r="BN59" s="7" t="e">
        <f t="shared" si="29"/>
        <v>#REF!</v>
      </c>
      <c r="BO59" s="7" t="e">
        <f t="shared" si="29"/>
        <v>#REF!</v>
      </c>
      <c r="BP59" s="7" t="e">
        <f t="shared" si="29"/>
        <v>#REF!</v>
      </c>
      <c r="BQ59" s="7" t="e">
        <f t="shared" si="29"/>
        <v>#REF!</v>
      </c>
    </row>
    <row r="60" spans="2:69">
      <c r="B60" s="53"/>
      <c r="C60" s="104"/>
      <c r="D60" s="118" t="e">
        <f>#REF!</f>
        <v>#REF!</v>
      </c>
      <c r="E60" s="118" t="s">
        <v>116</v>
      </c>
      <c r="F60" s="123"/>
      <c r="G60" s="124"/>
      <c r="H60" s="132">
        <f>SUM(I60:BQ60)</f>
        <v>0</v>
      </c>
      <c r="I60" s="132"/>
      <c r="J60" s="132"/>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row>
    <row r="61" spans="2:69">
      <c r="B61" s="53"/>
      <c r="C61" s="104"/>
      <c r="D61" s="118" t="e">
        <f>#REF!</f>
        <v>#REF!</v>
      </c>
      <c r="E61" s="155" t="s">
        <v>116</v>
      </c>
      <c r="F61" s="120" t="e">
        <f>#REF!</f>
        <v>#REF!</v>
      </c>
      <c r="G61" s="119" t="e">
        <f>#REF!</f>
        <v>#REF!</v>
      </c>
      <c r="H61" s="7" t="e">
        <f t="shared" si="13"/>
        <v>#REF!</v>
      </c>
      <c r="I61" s="7"/>
      <c r="J61" s="7" t="e">
        <f>$F61*J$29</f>
        <v>#REF!</v>
      </c>
      <c r="K61" s="7" t="e">
        <f t="shared" ref="K61:BQ61" si="30">$F61*K$29</f>
        <v>#REF!</v>
      </c>
      <c r="L61" s="7" t="e">
        <f t="shared" si="30"/>
        <v>#REF!</v>
      </c>
      <c r="M61" s="7" t="e">
        <f t="shared" si="30"/>
        <v>#REF!</v>
      </c>
      <c r="N61" s="7" t="e">
        <f t="shared" si="30"/>
        <v>#REF!</v>
      </c>
      <c r="O61" s="7" t="e">
        <f t="shared" si="30"/>
        <v>#REF!</v>
      </c>
      <c r="P61" s="7" t="e">
        <f t="shared" si="30"/>
        <v>#REF!</v>
      </c>
      <c r="Q61" s="7" t="e">
        <f t="shared" si="30"/>
        <v>#REF!</v>
      </c>
      <c r="R61" s="7" t="e">
        <f t="shared" si="30"/>
        <v>#REF!</v>
      </c>
      <c r="S61" s="7" t="e">
        <f t="shared" si="30"/>
        <v>#REF!</v>
      </c>
      <c r="T61" s="7" t="e">
        <f t="shared" si="30"/>
        <v>#REF!</v>
      </c>
      <c r="U61" s="7" t="e">
        <f t="shared" si="30"/>
        <v>#REF!</v>
      </c>
      <c r="V61" s="7" t="e">
        <f t="shared" si="30"/>
        <v>#REF!</v>
      </c>
      <c r="W61" s="7" t="e">
        <f t="shared" si="30"/>
        <v>#REF!</v>
      </c>
      <c r="X61" s="7" t="e">
        <f t="shared" si="30"/>
        <v>#REF!</v>
      </c>
      <c r="Y61" s="7" t="e">
        <f t="shared" si="30"/>
        <v>#REF!</v>
      </c>
      <c r="Z61" s="7" t="e">
        <f t="shared" si="30"/>
        <v>#REF!</v>
      </c>
      <c r="AA61" s="7" t="e">
        <f t="shared" si="30"/>
        <v>#REF!</v>
      </c>
      <c r="AB61" s="7" t="e">
        <f t="shared" si="30"/>
        <v>#REF!</v>
      </c>
      <c r="AC61" s="7" t="e">
        <f t="shared" si="30"/>
        <v>#REF!</v>
      </c>
      <c r="AD61" s="7" t="e">
        <f t="shared" si="30"/>
        <v>#REF!</v>
      </c>
      <c r="AE61" s="7" t="e">
        <f t="shared" si="30"/>
        <v>#REF!</v>
      </c>
      <c r="AF61" s="7" t="e">
        <f t="shared" si="30"/>
        <v>#REF!</v>
      </c>
      <c r="AG61" s="7" t="e">
        <f t="shared" si="30"/>
        <v>#REF!</v>
      </c>
      <c r="AH61" s="7" t="e">
        <f t="shared" si="30"/>
        <v>#REF!</v>
      </c>
      <c r="AI61" s="7" t="e">
        <f t="shared" si="30"/>
        <v>#REF!</v>
      </c>
      <c r="AJ61" s="7" t="e">
        <f t="shared" si="30"/>
        <v>#REF!</v>
      </c>
      <c r="AK61" s="7" t="e">
        <f t="shared" si="30"/>
        <v>#REF!</v>
      </c>
      <c r="AL61" s="7" t="e">
        <f t="shared" si="30"/>
        <v>#REF!</v>
      </c>
      <c r="AM61" s="7" t="e">
        <f t="shared" si="30"/>
        <v>#REF!</v>
      </c>
      <c r="AN61" s="7" t="e">
        <f t="shared" si="30"/>
        <v>#REF!</v>
      </c>
      <c r="AO61" s="7" t="e">
        <f t="shared" si="30"/>
        <v>#REF!</v>
      </c>
      <c r="AP61" s="7" t="e">
        <f t="shared" si="30"/>
        <v>#REF!</v>
      </c>
      <c r="AQ61" s="7" t="e">
        <f t="shared" si="30"/>
        <v>#REF!</v>
      </c>
      <c r="AR61" s="7" t="e">
        <f t="shared" si="30"/>
        <v>#REF!</v>
      </c>
      <c r="AS61" s="7" t="e">
        <f t="shared" si="30"/>
        <v>#REF!</v>
      </c>
      <c r="AT61" s="7" t="e">
        <f t="shared" si="30"/>
        <v>#REF!</v>
      </c>
      <c r="AU61" s="7" t="e">
        <f t="shared" si="30"/>
        <v>#REF!</v>
      </c>
      <c r="AV61" s="7" t="e">
        <f t="shared" si="30"/>
        <v>#REF!</v>
      </c>
      <c r="AW61" s="7" t="e">
        <f t="shared" si="30"/>
        <v>#REF!</v>
      </c>
      <c r="AX61" s="7" t="e">
        <f t="shared" si="30"/>
        <v>#REF!</v>
      </c>
      <c r="AY61" s="7" t="e">
        <f t="shared" si="30"/>
        <v>#REF!</v>
      </c>
      <c r="AZ61" s="7" t="e">
        <f t="shared" si="30"/>
        <v>#REF!</v>
      </c>
      <c r="BA61" s="7" t="e">
        <f t="shared" si="30"/>
        <v>#REF!</v>
      </c>
      <c r="BB61" s="7" t="e">
        <f t="shared" si="30"/>
        <v>#REF!</v>
      </c>
      <c r="BC61" s="7" t="e">
        <f t="shared" si="30"/>
        <v>#REF!</v>
      </c>
      <c r="BD61" s="7" t="e">
        <f t="shared" si="30"/>
        <v>#REF!</v>
      </c>
      <c r="BE61" s="7" t="e">
        <f t="shared" si="30"/>
        <v>#REF!</v>
      </c>
      <c r="BF61" s="7" t="e">
        <f t="shared" si="30"/>
        <v>#REF!</v>
      </c>
      <c r="BG61" s="7" t="e">
        <f t="shared" si="30"/>
        <v>#REF!</v>
      </c>
      <c r="BH61" s="7" t="e">
        <f t="shared" si="30"/>
        <v>#REF!</v>
      </c>
      <c r="BI61" s="7" t="e">
        <f t="shared" si="30"/>
        <v>#REF!</v>
      </c>
      <c r="BJ61" s="7" t="e">
        <f t="shared" si="30"/>
        <v>#REF!</v>
      </c>
      <c r="BK61" s="7" t="e">
        <f t="shared" si="30"/>
        <v>#REF!</v>
      </c>
      <c r="BL61" s="7" t="e">
        <f t="shared" si="30"/>
        <v>#REF!</v>
      </c>
      <c r="BM61" s="7" t="e">
        <f t="shared" si="30"/>
        <v>#REF!</v>
      </c>
      <c r="BN61" s="7" t="e">
        <f t="shared" si="30"/>
        <v>#REF!</v>
      </c>
      <c r="BO61" s="7" t="e">
        <f t="shared" si="30"/>
        <v>#REF!</v>
      </c>
      <c r="BP61" s="7" t="e">
        <f t="shared" si="30"/>
        <v>#REF!</v>
      </c>
      <c r="BQ61" s="7" t="e">
        <f t="shared" si="30"/>
        <v>#REF!</v>
      </c>
    </row>
    <row r="62" spans="2:69">
      <c r="B62" s="53"/>
      <c r="C62" s="104"/>
      <c r="D62" s="118" t="e">
        <f>#REF!</f>
        <v>#REF!</v>
      </c>
      <c r="E62" s="156" t="s">
        <v>117</v>
      </c>
      <c r="F62" s="120" t="str">
        <f>F9</f>
        <v>소비자물가상승률</v>
      </c>
      <c r="G62" s="119" t="e">
        <f>#REF!/화폐단위*(단위기간/회계기간)</f>
        <v>#REF!</v>
      </c>
      <c r="H62" s="7" t="e">
        <f t="shared" si="13"/>
        <v>#REF!</v>
      </c>
      <c r="I62" s="7"/>
      <c r="J62" s="7" t="e">
        <f>$G62*J$9</f>
        <v>#REF!</v>
      </c>
      <c r="K62" s="7" t="e">
        <f t="shared" ref="K62:BQ62" si="31">$G62*K$9</f>
        <v>#REF!</v>
      </c>
      <c r="L62" s="7" t="e">
        <f t="shared" si="31"/>
        <v>#REF!</v>
      </c>
      <c r="M62" s="7" t="e">
        <f t="shared" si="31"/>
        <v>#REF!</v>
      </c>
      <c r="N62" s="7" t="e">
        <f t="shared" si="31"/>
        <v>#REF!</v>
      </c>
      <c r="O62" s="7" t="e">
        <f t="shared" si="31"/>
        <v>#REF!</v>
      </c>
      <c r="P62" s="7" t="e">
        <f t="shared" si="31"/>
        <v>#REF!</v>
      </c>
      <c r="Q62" s="7" t="e">
        <f t="shared" si="31"/>
        <v>#REF!</v>
      </c>
      <c r="R62" s="7" t="e">
        <f t="shared" si="31"/>
        <v>#REF!</v>
      </c>
      <c r="S62" s="7" t="e">
        <f t="shared" si="31"/>
        <v>#REF!</v>
      </c>
      <c r="T62" s="7" t="e">
        <f t="shared" si="31"/>
        <v>#REF!</v>
      </c>
      <c r="U62" s="7" t="e">
        <f t="shared" si="31"/>
        <v>#REF!</v>
      </c>
      <c r="V62" s="7" t="e">
        <f t="shared" si="31"/>
        <v>#REF!</v>
      </c>
      <c r="W62" s="7" t="e">
        <f t="shared" si="31"/>
        <v>#REF!</v>
      </c>
      <c r="X62" s="7" t="e">
        <f t="shared" si="31"/>
        <v>#REF!</v>
      </c>
      <c r="Y62" s="7" t="e">
        <f t="shared" si="31"/>
        <v>#REF!</v>
      </c>
      <c r="Z62" s="7" t="e">
        <f t="shared" si="31"/>
        <v>#REF!</v>
      </c>
      <c r="AA62" s="7" t="e">
        <f t="shared" si="31"/>
        <v>#REF!</v>
      </c>
      <c r="AB62" s="7" t="e">
        <f t="shared" si="31"/>
        <v>#REF!</v>
      </c>
      <c r="AC62" s="7" t="e">
        <f t="shared" si="31"/>
        <v>#REF!</v>
      </c>
      <c r="AD62" s="7" t="e">
        <f t="shared" si="31"/>
        <v>#REF!</v>
      </c>
      <c r="AE62" s="7" t="e">
        <f t="shared" si="31"/>
        <v>#REF!</v>
      </c>
      <c r="AF62" s="7" t="e">
        <f t="shared" si="31"/>
        <v>#REF!</v>
      </c>
      <c r="AG62" s="7" t="e">
        <f t="shared" si="31"/>
        <v>#REF!</v>
      </c>
      <c r="AH62" s="7" t="e">
        <f t="shared" si="31"/>
        <v>#REF!</v>
      </c>
      <c r="AI62" s="7" t="e">
        <f t="shared" si="31"/>
        <v>#REF!</v>
      </c>
      <c r="AJ62" s="7" t="e">
        <f t="shared" si="31"/>
        <v>#REF!</v>
      </c>
      <c r="AK62" s="7" t="e">
        <f t="shared" si="31"/>
        <v>#REF!</v>
      </c>
      <c r="AL62" s="7" t="e">
        <f t="shared" si="31"/>
        <v>#REF!</v>
      </c>
      <c r="AM62" s="7" t="e">
        <f t="shared" si="31"/>
        <v>#REF!</v>
      </c>
      <c r="AN62" s="7" t="e">
        <f t="shared" si="31"/>
        <v>#REF!</v>
      </c>
      <c r="AO62" s="7" t="e">
        <f t="shared" si="31"/>
        <v>#REF!</v>
      </c>
      <c r="AP62" s="7" t="e">
        <f t="shared" si="31"/>
        <v>#REF!</v>
      </c>
      <c r="AQ62" s="7" t="e">
        <f t="shared" si="31"/>
        <v>#REF!</v>
      </c>
      <c r="AR62" s="7" t="e">
        <f t="shared" si="31"/>
        <v>#REF!</v>
      </c>
      <c r="AS62" s="7" t="e">
        <f t="shared" si="31"/>
        <v>#REF!</v>
      </c>
      <c r="AT62" s="7" t="e">
        <f t="shared" si="31"/>
        <v>#REF!</v>
      </c>
      <c r="AU62" s="7" t="e">
        <f t="shared" si="31"/>
        <v>#REF!</v>
      </c>
      <c r="AV62" s="7" t="e">
        <f t="shared" si="31"/>
        <v>#REF!</v>
      </c>
      <c r="AW62" s="7" t="e">
        <f t="shared" si="31"/>
        <v>#REF!</v>
      </c>
      <c r="AX62" s="7" t="e">
        <f t="shared" si="31"/>
        <v>#REF!</v>
      </c>
      <c r="AY62" s="7" t="e">
        <f t="shared" si="31"/>
        <v>#REF!</v>
      </c>
      <c r="AZ62" s="7" t="e">
        <f t="shared" si="31"/>
        <v>#REF!</v>
      </c>
      <c r="BA62" s="7" t="e">
        <f t="shared" si="31"/>
        <v>#REF!</v>
      </c>
      <c r="BB62" s="7" t="e">
        <f t="shared" si="31"/>
        <v>#REF!</v>
      </c>
      <c r="BC62" s="7" t="e">
        <f t="shared" si="31"/>
        <v>#REF!</v>
      </c>
      <c r="BD62" s="7" t="e">
        <f t="shared" si="31"/>
        <v>#REF!</v>
      </c>
      <c r="BE62" s="7" t="e">
        <f t="shared" si="31"/>
        <v>#REF!</v>
      </c>
      <c r="BF62" s="7" t="e">
        <f>$G62*BF$9</f>
        <v>#REF!</v>
      </c>
      <c r="BG62" s="7" t="e">
        <f t="shared" si="31"/>
        <v>#REF!</v>
      </c>
      <c r="BH62" s="7" t="e">
        <f t="shared" si="31"/>
        <v>#REF!</v>
      </c>
      <c r="BI62" s="7" t="e">
        <f t="shared" si="31"/>
        <v>#REF!</v>
      </c>
      <c r="BJ62" s="7" t="e">
        <f t="shared" si="31"/>
        <v>#REF!</v>
      </c>
      <c r="BK62" s="7" t="e">
        <f t="shared" si="31"/>
        <v>#REF!</v>
      </c>
      <c r="BL62" s="7" t="e">
        <f t="shared" si="31"/>
        <v>#REF!</v>
      </c>
      <c r="BM62" s="7" t="e">
        <f t="shared" si="31"/>
        <v>#REF!</v>
      </c>
      <c r="BN62" s="7" t="e">
        <f t="shared" si="31"/>
        <v>#REF!</v>
      </c>
      <c r="BO62" s="7" t="e">
        <f t="shared" si="31"/>
        <v>#REF!</v>
      </c>
      <c r="BP62" s="7" t="e">
        <f t="shared" si="31"/>
        <v>#REF!</v>
      </c>
      <c r="BQ62" s="7" t="e">
        <f t="shared" si="31"/>
        <v>#REF!</v>
      </c>
    </row>
    <row r="63" spans="2:69">
      <c r="B63" s="53"/>
      <c r="C63" s="104"/>
      <c r="D63" s="118" t="e">
        <f>#REF!</f>
        <v>#REF!</v>
      </c>
      <c r="E63" s="118" t="s">
        <v>115</v>
      </c>
      <c r="F63" s="120" t="e">
        <f>#REF!</f>
        <v>#REF!</v>
      </c>
      <c r="G63" s="122" t="e">
        <f>SUM(#REF!)/화폐단위*(단위기간/회계기간)</f>
        <v>#REF!</v>
      </c>
      <c r="H63" s="7">
        <f t="shared" si="13"/>
        <v>0</v>
      </c>
      <c r="I63" s="7"/>
      <c r="J63" s="7">
        <f>J86</f>
        <v>0</v>
      </c>
      <c r="K63" s="7">
        <f t="shared" ref="K63:BQ63" si="32">K86</f>
        <v>0</v>
      </c>
      <c r="L63" s="7">
        <f t="shared" si="32"/>
        <v>0</v>
      </c>
      <c r="M63" s="7">
        <f t="shared" si="32"/>
        <v>0</v>
      </c>
      <c r="N63" s="7">
        <f t="shared" si="32"/>
        <v>0</v>
      </c>
      <c r="O63" s="7">
        <f t="shared" si="32"/>
        <v>0</v>
      </c>
      <c r="P63" s="7">
        <f t="shared" si="32"/>
        <v>0</v>
      </c>
      <c r="Q63" s="7">
        <f t="shared" si="32"/>
        <v>0</v>
      </c>
      <c r="R63" s="7">
        <f t="shared" si="32"/>
        <v>0</v>
      </c>
      <c r="S63" s="7">
        <f t="shared" si="32"/>
        <v>0</v>
      </c>
      <c r="T63" s="7">
        <f t="shared" si="32"/>
        <v>0</v>
      </c>
      <c r="U63" s="7">
        <f t="shared" si="32"/>
        <v>0</v>
      </c>
      <c r="V63" s="7">
        <f t="shared" si="32"/>
        <v>0</v>
      </c>
      <c r="W63" s="7">
        <f t="shared" si="32"/>
        <v>0</v>
      </c>
      <c r="X63" s="7">
        <f t="shared" si="32"/>
        <v>0</v>
      </c>
      <c r="Y63" s="7">
        <f t="shared" si="32"/>
        <v>0</v>
      </c>
      <c r="Z63" s="7">
        <f t="shared" si="32"/>
        <v>0</v>
      </c>
      <c r="AA63" s="7">
        <f t="shared" si="32"/>
        <v>0</v>
      </c>
      <c r="AB63" s="7">
        <f t="shared" si="32"/>
        <v>0</v>
      </c>
      <c r="AC63" s="7">
        <f t="shared" si="32"/>
        <v>0</v>
      </c>
      <c r="AD63" s="7">
        <f t="shared" si="32"/>
        <v>0</v>
      </c>
      <c r="AE63" s="7">
        <f t="shared" si="32"/>
        <v>0</v>
      </c>
      <c r="AF63" s="7">
        <f t="shared" si="32"/>
        <v>0</v>
      </c>
      <c r="AG63" s="7">
        <f t="shared" si="32"/>
        <v>0</v>
      </c>
      <c r="AH63" s="7">
        <f t="shared" si="32"/>
        <v>0</v>
      </c>
      <c r="AI63" s="7">
        <f t="shared" si="32"/>
        <v>0</v>
      </c>
      <c r="AJ63" s="7">
        <f t="shared" si="32"/>
        <v>0</v>
      </c>
      <c r="AK63" s="7">
        <f t="shared" si="32"/>
        <v>0</v>
      </c>
      <c r="AL63" s="7">
        <f t="shared" si="32"/>
        <v>0</v>
      </c>
      <c r="AM63" s="7">
        <f t="shared" si="32"/>
        <v>0</v>
      </c>
      <c r="AN63" s="7">
        <f t="shared" si="32"/>
        <v>0</v>
      </c>
      <c r="AO63" s="7">
        <f t="shared" si="32"/>
        <v>0</v>
      </c>
      <c r="AP63" s="7">
        <f t="shared" si="32"/>
        <v>0</v>
      </c>
      <c r="AQ63" s="7">
        <f t="shared" si="32"/>
        <v>0</v>
      </c>
      <c r="AR63" s="7">
        <f t="shared" si="32"/>
        <v>0</v>
      </c>
      <c r="AS63" s="7">
        <f t="shared" si="32"/>
        <v>0</v>
      </c>
      <c r="AT63" s="7">
        <f t="shared" si="32"/>
        <v>0</v>
      </c>
      <c r="AU63" s="7">
        <f t="shared" si="32"/>
        <v>0</v>
      </c>
      <c r="AV63" s="7">
        <f t="shared" si="32"/>
        <v>0</v>
      </c>
      <c r="AW63" s="7">
        <f t="shared" si="32"/>
        <v>0</v>
      </c>
      <c r="AX63" s="7">
        <f t="shared" si="32"/>
        <v>0</v>
      </c>
      <c r="AY63" s="7">
        <f t="shared" si="32"/>
        <v>0</v>
      </c>
      <c r="AZ63" s="7">
        <f t="shared" si="32"/>
        <v>0</v>
      </c>
      <c r="BA63" s="7">
        <f t="shared" si="32"/>
        <v>0</v>
      </c>
      <c r="BB63" s="7">
        <f t="shared" si="32"/>
        <v>0</v>
      </c>
      <c r="BC63" s="7">
        <f t="shared" si="32"/>
        <v>0</v>
      </c>
      <c r="BD63" s="7">
        <f t="shared" si="32"/>
        <v>0</v>
      </c>
      <c r="BE63" s="7">
        <f t="shared" si="32"/>
        <v>0</v>
      </c>
      <c r="BF63" s="7">
        <f>BF86</f>
        <v>0</v>
      </c>
      <c r="BG63" s="7">
        <f t="shared" si="32"/>
        <v>0</v>
      </c>
      <c r="BH63" s="7">
        <f t="shared" si="32"/>
        <v>0</v>
      </c>
      <c r="BI63" s="7">
        <f t="shared" si="32"/>
        <v>0</v>
      </c>
      <c r="BJ63" s="7">
        <f t="shared" si="32"/>
        <v>0</v>
      </c>
      <c r="BK63" s="7">
        <f t="shared" si="32"/>
        <v>0</v>
      </c>
      <c r="BL63" s="7">
        <f t="shared" si="32"/>
        <v>0</v>
      </c>
      <c r="BM63" s="7">
        <f t="shared" si="32"/>
        <v>0</v>
      </c>
      <c r="BN63" s="7">
        <f t="shared" si="32"/>
        <v>0</v>
      </c>
      <c r="BO63" s="7">
        <f t="shared" si="32"/>
        <v>0</v>
      </c>
      <c r="BP63" s="7">
        <f t="shared" si="32"/>
        <v>0</v>
      </c>
      <c r="BQ63" s="7">
        <f t="shared" si="32"/>
        <v>0</v>
      </c>
    </row>
    <row r="64" spans="2:69">
      <c r="B64" s="53"/>
      <c r="C64" s="104"/>
      <c r="D64" s="118" t="e">
        <f>#REF!</f>
        <v>#REF!</v>
      </c>
      <c r="E64" s="155" t="s">
        <v>116</v>
      </c>
      <c r="F64" s="120" t="e">
        <f>#REF!</f>
        <v>#REF!</v>
      </c>
      <c r="G64" s="119" t="e">
        <f>#REF!</f>
        <v>#REF!</v>
      </c>
      <c r="H64" s="7" t="e">
        <f t="shared" si="13"/>
        <v>#REF!</v>
      </c>
      <c r="I64" s="7"/>
      <c r="J64" s="7" t="e">
        <f>$F64*J$29*J$9</f>
        <v>#REF!</v>
      </c>
      <c r="K64" s="7" t="e">
        <f t="shared" ref="K64:BQ64" si="33">$F64*K$29*K$9</f>
        <v>#REF!</v>
      </c>
      <c r="L64" s="7" t="e">
        <f t="shared" si="33"/>
        <v>#REF!</v>
      </c>
      <c r="M64" s="7" t="e">
        <f t="shared" si="33"/>
        <v>#REF!</v>
      </c>
      <c r="N64" s="7" t="e">
        <f t="shared" si="33"/>
        <v>#REF!</v>
      </c>
      <c r="O64" s="7" t="e">
        <f t="shared" si="33"/>
        <v>#REF!</v>
      </c>
      <c r="P64" s="7" t="e">
        <f t="shared" si="33"/>
        <v>#REF!</v>
      </c>
      <c r="Q64" s="7" t="e">
        <f t="shared" si="33"/>
        <v>#REF!</v>
      </c>
      <c r="R64" s="7" t="e">
        <f t="shared" si="33"/>
        <v>#REF!</v>
      </c>
      <c r="S64" s="7" t="e">
        <f t="shared" si="33"/>
        <v>#REF!</v>
      </c>
      <c r="T64" s="7" t="e">
        <f t="shared" si="33"/>
        <v>#REF!</v>
      </c>
      <c r="U64" s="7" t="e">
        <f t="shared" si="33"/>
        <v>#REF!</v>
      </c>
      <c r="V64" s="7" t="e">
        <f t="shared" si="33"/>
        <v>#REF!</v>
      </c>
      <c r="W64" s="7" t="e">
        <f t="shared" si="33"/>
        <v>#REF!</v>
      </c>
      <c r="X64" s="7" t="e">
        <f t="shared" si="33"/>
        <v>#REF!</v>
      </c>
      <c r="Y64" s="7" t="e">
        <f t="shared" si="33"/>
        <v>#REF!</v>
      </c>
      <c r="Z64" s="7" t="e">
        <f t="shared" si="33"/>
        <v>#REF!</v>
      </c>
      <c r="AA64" s="7" t="e">
        <f t="shared" si="33"/>
        <v>#REF!</v>
      </c>
      <c r="AB64" s="7" t="e">
        <f t="shared" si="33"/>
        <v>#REF!</v>
      </c>
      <c r="AC64" s="7" t="e">
        <f t="shared" si="33"/>
        <v>#REF!</v>
      </c>
      <c r="AD64" s="7" t="e">
        <f t="shared" si="33"/>
        <v>#REF!</v>
      </c>
      <c r="AE64" s="7" t="e">
        <f t="shared" si="33"/>
        <v>#REF!</v>
      </c>
      <c r="AF64" s="7" t="e">
        <f t="shared" si="33"/>
        <v>#REF!</v>
      </c>
      <c r="AG64" s="7" t="e">
        <f t="shared" si="33"/>
        <v>#REF!</v>
      </c>
      <c r="AH64" s="7" t="e">
        <f t="shared" si="33"/>
        <v>#REF!</v>
      </c>
      <c r="AI64" s="7" t="e">
        <f t="shared" si="33"/>
        <v>#REF!</v>
      </c>
      <c r="AJ64" s="7" t="e">
        <f t="shared" si="33"/>
        <v>#REF!</v>
      </c>
      <c r="AK64" s="7" t="e">
        <f t="shared" si="33"/>
        <v>#REF!</v>
      </c>
      <c r="AL64" s="7" t="e">
        <f t="shared" si="33"/>
        <v>#REF!</v>
      </c>
      <c r="AM64" s="7" t="e">
        <f t="shared" si="33"/>
        <v>#REF!</v>
      </c>
      <c r="AN64" s="7" t="e">
        <f t="shared" si="33"/>
        <v>#REF!</v>
      </c>
      <c r="AO64" s="7" t="e">
        <f t="shared" si="33"/>
        <v>#REF!</v>
      </c>
      <c r="AP64" s="7" t="e">
        <f t="shared" si="33"/>
        <v>#REF!</v>
      </c>
      <c r="AQ64" s="7" t="e">
        <f t="shared" si="33"/>
        <v>#REF!</v>
      </c>
      <c r="AR64" s="7" t="e">
        <f t="shared" si="33"/>
        <v>#REF!</v>
      </c>
      <c r="AS64" s="7" t="e">
        <f t="shared" si="33"/>
        <v>#REF!</v>
      </c>
      <c r="AT64" s="7" t="e">
        <f t="shared" si="33"/>
        <v>#REF!</v>
      </c>
      <c r="AU64" s="7" t="e">
        <f t="shared" si="33"/>
        <v>#REF!</v>
      </c>
      <c r="AV64" s="7" t="e">
        <f t="shared" si="33"/>
        <v>#REF!</v>
      </c>
      <c r="AW64" s="7" t="e">
        <f t="shared" si="33"/>
        <v>#REF!</v>
      </c>
      <c r="AX64" s="7" t="e">
        <f t="shared" si="33"/>
        <v>#REF!</v>
      </c>
      <c r="AY64" s="7" t="e">
        <f t="shared" si="33"/>
        <v>#REF!</v>
      </c>
      <c r="AZ64" s="7" t="e">
        <f t="shared" si="33"/>
        <v>#REF!</v>
      </c>
      <c r="BA64" s="7" t="e">
        <f t="shared" si="33"/>
        <v>#REF!</v>
      </c>
      <c r="BB64" s="7" t="e">
        <f t="shared" si="33"/>
        <v>#REF!</v>
      </c>
      <c r="BC64" s="7" t="e">
        <f t="shared" si="33"/>
        <v>#REF!</v>
      </c>
      <c r="BD64" s="7" t="e">
        <f t="shared" si="33"/>
        <v>#REF!</v>
      </c>
      <c r="BE64" s="7" t="e">
        <f t="shared" si="33"/>
        <v>#REF!</v>
      </c>
      <c r="BF64" s="7" t="e">
        <f>$F64*BF$29*BF$9</f>
        <v>#REF!</v>
      </c>
      <c r="BG64" s="7" t="e">
        <f t="shared" si="33"/>
        <v>#REF!</v>
      </c>
      <c r="BH64" s="7" t="e">
        <f t="shared" si="33"/>
        <v>#REF!</v>
      </c>
      <c r="BI64" s="7" t="e">
        <f t="shared" si="33"/>
        <v>#REF!</v>
      </c>
      <c r="BJ64" s="7" t="e">
        <f t="shared" si="33"/>
        <v>#REF!</v>
      </c>
      <c r="BK64" s="7" t="e">
        <f t="shared" si="33"/>
        <v>#REF!</v>
      </c>
      <c r="BL64" s="7" t="e">
        <f t="shared" si="33"/>
        <v>#REF!</v>
      </c>
      <c r="BM64" s="7" t="e">
        <f t="shared" si="33"/>
        <v>#REF!</v>
      </c>
      <c r="BN64" s="7" t="e">
        <f t="shared" si="33"/>
        <v>#REF!</v>
      </c>
      <c r="BO64" s="7" t="e">
        <f t="shared" si="33"/>
        <v>#REF!</v>
      </c>
      <c r="BP64" s="7" t="e">
        <f t="shared" si="33"/>
        <v>#REF!</v>
      </c>
      <c r="BQ64" s="7" t="e">
        <f t="shared" si="33"/>
        <v>#REF!</v>
      </c>
    </row>
    <row r="65" spans="2:69">
      <c r="B65" s="53"/>
      <c r="C65" s="104"/>
      <c r="D65" s="118" t="e">
        <f>#REF!</f>
        <v>#REF!</v>
      </c>
      <c r="E65" s="156" t="s">
        <v>117</v>
      </c>
      <c r="F65" s="120" t="str">
        <f>F9</f>
        <v>소비자물가상승률</v>
      </c>
      <c r="G65" s="126" t="e">
        <f>#REF!/화폐단위*(단위기간/회계기간)</f>
        <v>#REF!</v>
      </c>
      <c r="H65" s="7" t="e">
        <f t="shared" si="13"/>
        <v>#REF!</v>
      </c>
      <c r="I65" s="7"/>
      <c r="J65" s="7" t="e">
        <f>$G65*J$9</f>
        <v>#REF!</v>
      </c>
      <c r="K65" s="7" t="e">
        <f t="shared" ref="K65:BQ65" si="34">$G65*K$9</f>
        <v>#REF!</v>
      </c>
      <c r="L65" s="7" t="e">
        <f t="shared" si="34"/>
        <v>#REF!</v>
      </c>
      <c r="M65" s="7" t="e">
        <f t="shared" si="34"/>
        <v>#REF!</v>
      </c>
      <c r="N65" s="7" t="e">
        <f t="shared" si="34"/>
        <v>#REF!</v>
      </c>
      <c r="O65" s="7" t="e">
        <f t="shared" si="34"/>
        <v>#REF!</v>
      </c>
      <c r="P65" s="7" t="e">
        <f t="shared" si="34"/>
        <v>#REF!</v>
      </c>
      <c r="Q65" s="7" t="e">
        <f t="shared" si="34"/>
        <v>#REF!</v>
      </c>
      <c r="R65" s="7" t="e">
        <f t="shared" si="34"/>
        <v>#REF!</v>
      </c>
      <c r="S65" s="7" t="e">
        <f t="shared" si="34"/>
        <v>#REF!</v>
      </c>
      <c r="T65" s="7" t="e">
        <f t="shared" si="34"/>
        <v>#REF!</v>
      </c>
      <c r="U65" s="7" t="e">
        <f t="shared" si="34"/>
        <v>#REF!</v>
      </c>
      <c r="V65" s="7" t="e">
        <f t="shared" si="34"/>
        <v>#REF!</v>
      </c>
      <c r="W65" s="7" t="e">
        <f t="shared" si="34"/>
        <v>#REF!</v>
      </c>
      <c r="X65" s="7" t="e">
        <f t="shared" si="34"/>
        <v>#REF!</v>
      </c>
      <c r="Y65" s="7" t="e">
        <f t="shared" si="34"/>
        <v>#REF!</v>
      </c>
      <c r="Z65" s="7" t="e">
        <f t="shared" si="34"/>
        <v>#REF!</v>
      </c>
      <c r="AA65" s="7" t="e">
        <f t="shared" si="34"/>
        <v>#REF!</v>
      </c>
      <c r="AB65" s="7" t="e">
        <f t="shared" si="34"/>
        <v>#REF!</v>
      </c>
      <c r="AC65" s="7" t="e">
        <f t="shared" si="34"/>
        <v>#REF!</v>
      </c>
      <c r="AD65" s="7" t="e">
        <f t="shared" si="34"/>
        <v>#REF!</v>
      </c>
      <c r="AE65" s="7" t="e">
        <f t="shared" si="34"/>
        <v>#REF!</v>
      </c>
      <c r="AF65" s="7" t="e">
        <f t="shared" si="34"/>
        <v>#REF!</v>
      </c>
      <c r="AG65" s="7" t="e">
        <f t="shared" si="34"/>
        <v>#REF!</v>
      </c>
      <c r="AH65" s="7" t="e">
        <f t="shared" si="34"/>
        <v>#REF!</v>
      </c>
      <c r="AI65" s="7" t="e">
        <f t="shared" si="34"/>
        <v>#REF!</v>
      </c>
      <c r="AJ65" s="7" t="e">
        <f t="shared" si="34"/>
        <v>#REF!</v>
      </c>
      <c r="AK65" s="7" t="e">
        <f t="shared" si="34"/>
        <v>#REF!</v>
      </c>
      <c r="AL65" s="7" t="e">
        <f t="shared" si="34"/>
        <v>#REF!</v>
      </c>
      <c r="AM65" s="7" t="e">
        <f t="shared" si="34"/>
        <v>#REF!</v>
      </c>
      <c r="AN65" s="7" t="e">
        <f t="shared" si="34"/>
        <v>#REF!</v>
      </c>
      <c r="AO65" s="7" t="e">
        <f t="shared" si="34"/>
        <v>#REF!</v>
      </c>
      <c r="AP65" s="7" t="e">
        <f t="shared" si="34"/>
        <v>#REF!</v>
      </c>
      <c r="AQ65" s="7" t="e">
        <f t="shared" si="34"/>
        <v>#REF!</v>
      </c>
      <c r="AR65" s="7" t="e">
        <f t="shared" si="34"/>
        <v>#REF!</v>
      </c>
      <c r="AS65" s="7" t="e">
        <f t="shared" si="34"/>
        <v>#REF!</v>
      </c>
      <c r="AT65" s="7" t="e">
        <f t="shared" si="34"/>
        <v>#REF!</v>
      </c>
      <c r="AU65" s="7" t="e">
        <f t="shared" si="34"/>
        <v>#REF!</v>
      </c>
      <c r="AV65" s="7" t="e">
        <f t="shared" si="34"/>
        <v>#REF!</v>
      </c>
      <c r="AW65" s="7" t="e">
        <f t="shared" si="34"/>
        <v>#REF!</v>
      </c>
      <c r="AX65" s="7" t="e">
        <f t="shared" si="34"/>
        <v>#REF!</v>
      </c>
      <c r="AY65" s="7" t="e">
        <f t="shared" si="34"/>
        <v>#REF!</v>
      </c>
      <c r="AZ65" s="7" t="e">
        <f t="shared" si="34"/>
        <v>#REF!</v>
      </c>
      <c r="BA65" s="7" t="e">
        <f t="shared" si="34"/>
        <v>#REF!</v>
      </c>
      <c r="BB65" s="7" t="e">
        <f t="shared" si="34"/>
        <v>#REF!</v>
      </c>
      <c r="BC65" s="7" t="e">
        <f t="shared" si="34"/>
        <v>#REF!</v>
      </c>
      <c r="BD65" s="7" t="e">
        <f t="shared" si="34"/>
        <v>#REF!</v>
      </c>
      <c r="BE65" s="7" t="e">
        <f t="shared" si="34"/>
        <v>#REF!</v>
      </c>
      <c r="BF65" s="7" t="e">
        <f>$G65*BF$9</f>
        <v>#REF!</v>
      </c>
      <c r="BG65" s="7" t="e">
        <f t="shared" si="34"/>
        <v>#REF!</v>
      </c>
      <c r="BH65" s="7" t="e">
        <f t="shared" si="34"/>
        <v>#REF!</v>
      </c>
      <c r="BI65" s="7" t="e">
        <f t="shared" si="34"/>
        <v>#REF!</v>
      </c>
      <c r="BJ65" s="7" t="e">
        <f t="shared" si="34"/>
        <v>#REF!</v>
      </c>
      <c r="BK65" s="7" t="e">
        <f t="shared" si="34"/>
        <v>#REF!</v>
      </c>
      <c r="BL65" s="7" t="e">
        <f t="shared" si="34"/>
        <v>#REF!</v>
      </c>
      <c r="BM65" s="7" t="e">
        <f t="shared" si="34"/>
        <v>#REF!</v>
      </c>
      <c r="BN65" s="7" t="e">
        <f t="shared" si="34"/>
        <v>#REF!</v>
      </c>
      <c r="BO65" s="7" t="e">
        <f t="shared" si="34"/>
        <v>#REF!</v>
      </c>
      <c r="BP65" s="7" t="e">
        <f t="shared" si="34"/>
        <v>#REF!</v>
      </c>
      <c r="BQ65" s="7" t="e">
        <f t="shared" si="34"/>
        <v>#REF!</v>
      </c>
    </row>
    <row r="66" spans="2:69">
      <c r="B66" s="53"/>
      <c r="C66" s="104"/>
      <c r="D66" s="118" t="e">
        <f>#REF!</f>
        <v>#REF!</v>
      </c>
      <c r="E66" s="155" t="s">
        <v>116</v>
      </c>
      <c r="F66" s="120" t="e">
        <f>#REF!</f>
        <v>#REF!</v>
      </c>
      <c r="G66" s="119" t="e">
        <f>#REF!</f>
        <v>#REF!</v>
      </c>
      <c r="H66" s="7" t="e">
        <f t="shared" si="13"/>
        <v>#REF!</v>
      </c>
      <c r="I66" s="7"/>
      <c r="J66" s="7" t="e">
        <f>$F66*J$29*J$9</f>
        <v>#REF!</v>
      </c>
      <c r="K66" s="7" t="e">
        <f t="shared" ref="K66:BQ66" si="35">$F66*K$29*K$9</f>
        <v>#REF!</v>
      </c>
      <c r="L66" s="7" t="e">
        <f t="shared" si="35"/>
        <v>#REF!</v>
      </c>
      <c r="M66" s="7" t="e">
        <f t="shared" si="35"/>
        <v>#REF!</v>
      </c>
      <c r="N66" s="7" t="e">
        <f t="shared" si="35"/>
        <v>#REF!</v>
      </c>
      <c r="O66" s="7" t="e">
        <f t="shared" si="35"/>
        <v>#REF!</v>
      </c>
      <c r="P66" s="7" t="e">
        <f t="shared" si="35"/>
        <v>#REF!</v>
      </c>
      <c r="Q66" s="7" t="e">
        <f t="shared" si="35"/>
        <v>#REF!</v>
      </c>
      <c r="R66" s="7" t="e">
        <f t="shared" si="35"/>
        <v>#REF!</v>
      </c>
      <c r="S66" s="7" t="e">
        <f t="shared" si="35"/>
        <v>#REF!</v>
      </c>
      <c r="T66" s="7" t="e">
        <f t="shared" si="35"/>
        <v>#REF!</v>
      </c>
      <c r="U66" s="7" t="e">
        <f t="shared" si="35"/>
        <v>#REF!</v>
      </c>
      <c r="V66" s="7" t="e">
        <f t="shared" si="35"/>
        <v>#REF!</v>
      </c>
      <c r="W66" s="7" t="e">
        <f t="shared" si="35"/>
        <v>#REF!</v>
      </c>
      <c r="X66" s="7" t="e">
        <f t="shared" si="35"/>
        <v>#REF!</v>
      </c>
      <c r="Y66" s="7" t="e">
        <f t="shared" si="35"/>
        <v>#REF!</v>
      </c>
      <c r="Z66" s="7" t="e">
        <f t="shared" si="35"/>
        <v>#REF!</v>
      </c>
      <c r="AA66" s="7" t="e">
        <f t="shared" si="35"/>
        <v>#REF!</v>
      </c>
      <c r="AB66" s="7" t="e">
        <f t="shared" si="35"/>
        <v>#REF!</v>
      </c>
      <c r="AC66" s="7" t="e">
        <f t="shared" si="35"/>
        <v>#REF!</v>
      </c>
      <c r="AD66" s="7" t="e">
        <f t="shared" si="35"/>
        <v>#REF!</v>
      </c>
      <c r="AE66" s="7" t="e">
        <f t="shared" si="35"/>
        <v>#REF!</v>
      </c>
      <c r="AF66" s="7" t="e">
        <f t="shared" si="35"/>
        <v>#REF!</v>
      </c>
      <c r="AG66" s="7" t="e">
        <f t="shared" si="35"/>
        <v>#REF!</v>
      </c>
      <c r="AH66" s="7" t="e">
        <f t="shared" si="35"/>
        <v>#REF!</v>
      </c>
      <c r="AI66" s="7" t="e">
        <f t="shared" si="35"/>
        <v>#REF!</v>
      </c>
      <c r="AJ66" s="7" t="e">
        <f t="shared" si="35"/>
        <v>#REF!</v>
      </c>
      <c r="AK66" s="7" t="e">
        <f t="shared" si="35"/>
        <v>#REF!</v>
      </c>
      <c r="AL66" s="7" t="e">
        <f t="shared" si="35"/>
        <v>#REF!</v>
      </c>
      <c r="AM66" s="7" t="e">
        <f t="shared" si="35"/>
        <v>#REF!</v>
      </c>
      <c r="AN66" s="7" t="e">
        <f t="shared" si="35"/>
        <v>#REF!</v>
      </c>
      <c r="AO66" s="7" t="e">
        <f t="shared" si="35"/>
        <v>#REF!</v>
      </c>
      <c r="AP66" s="7" t="e">
        <f t="shared" si="35"/>
        <v>#REF!</v>
      </c>
      <c r="AQ66" s="7" t="e">
        <f t="shared" si="35"/>
        <v>#REF!</v>
      </c>
      <c r="AR66" s="7" t="e">
        <f t="shared" si="35"/>
        <v>#REF!</v>
      </c>
      <c r="AS66" s="7" t="e">
        <f t="shared" si="35"/>
        <v>#REF!</v>
      </c>
      <c r="AT66" s="7" t="e">
        <f t="shared" si="35"/>
        <v>#REF!</v>
      </c>
      <c r="AU66" s="7" t="e">
        <f t="shared" si="35"/>
        <v>#REF!</v>
      </c>
      <c r="AV66" s="7" t="e">
        <f t="shared" si="35"/>
        <v>#REF!</v>
      </c>
      <c r="AW66" s="7" t="e">
        <f t="shared" si="35"/>
        <v>#REF!</v>
      </c>
      <c r="AX66" s="7" t="e">
        <f t="shared" si="35"/>
        <v>#REF!</v>
      </c>
      <c r="AY66" s="7" t="e">
        <f t="shared" si="35"/>
        <v>#REF!</v>
      </c>
      <c r="AZ66" s="7" t="e">
        <f t="shared" si="35"/>
        <v>#REF!</v>
      </c>
      <c r="BA66" s="7" t="e">
        <f t="shared" si="35"/>
        <v>#REF!</v>
      </c>
      <c r="BB66" s="7" t="e">
        <f t="shared" si="35"/>
        <v>#REF!</v>
      </c>
      <c r="BC66" s="7" t="e">
        <f t="shared" si="35"/>
        <v>#REF!</v>
      </c>
      <c r="BD66" s="7" t="e">
        <f t="shared" si="35"/>
        <v>#REF!</v>
      </c>
      <c r="BE66" s="7" t="e">
        <f t="shared" si="35"/>
        <v>#REF!</v>
      </c>
      <c r="BF66" s="7" t="e">
        <f>$F66*BF$29*BF$9</f>
        <v>#REF!</v>
      </c>
      <c r="BG66" s="7" t="e">
        <f t="shared" si="35"/>
        <v>#REF!</v>
      </c>
      <c r="BH66" s="7" t="e">
        <f t="shared" si="35"/>
        <v>#REF!</v>
      </c>
      <c r="BI66" s="7" t="e">
        <f t="shared" si="35"/>
        <v>#REF!</v>
      </c>
      <c r="BJ66" s="7" t="e">
        <f t="shared" si="35"/>
        <v>#REF!</v>
      </c>
      <c r="BK66" s="7" t="e">
        <f t="shared" si="35"/>
        <v>#REF!</v>
      </c>
      <c r="BL66" s="7" t="e">
        <f t="shared" si="35"/>
        <v>#REF!</v>
      </c>
      <c r="BM66" s="7" t="e">
        <f t="shared" si="35"/>
        <v>#REF!</v>
      </c>
      <c r="BN66" s="7" t="e">
        <f t="shared" si="35"/>
        <v>#REF!</v>
      </c>
      <c r="BO66" s="7" t="e">
        <f t="shared" si="35"/>
        <v>#REF!</v>
      </c>
      <c r="BP66" s="7" t="e">
        <f t="shared" si="35"/>
        <v>#REF!</v>
      </c>
      <c r="BQ66" s="7" t="e">
        <f t="shared" si="35"/>
        <v>#REF!</v>
      </c>
    </row>
    <row r="67" spans="2:69">
      <c r="B67" s="53"/>
      <c r="C67" s="71" t="s">
        <v>134</v>
      </c>
      <c r="D67" s="110"/>
      <c r="E67" s="110"/>
      <c r="F67" s="111"/>
      <c r="G67" s="111"/>
      <c r="H67" s="112" t="e">
        <f t="shared" ref="H67:AM67" si="36">SUM(H37:H66)</f>
        <v>#REF!</v>
      </c>
      <c r="I67" s="112">
        <f t="shared" si="36"/>
        <v>0</v>
      </c>
      <c r="J67" s="112" t="e">
        <f t="shared" si="36"/>
        <v>#REF!</v>
      </c>
      <c r="K67" s="112" t="e">
        <f t="shared" si="36"/>
        <v>#REF!</v>
      </c>
      <c r="L67" s="112" t="e">
        <f t="shared" si="36"/>
        <v>#REF!</v>
      </c>
      <c r="M67" s="112" t="e">
        <f t="shared" si="36"/>
        <v>#REF!</v>
      </c>
      <c r="N67" s="112" t="e">
        <f t="shared" si="36"/>
        <v>#REF!</v>
      </c>
      <c r="O67" s="112" t="e">
        <f t="shared" si="36"/>
        <v>#REF!</v>
      </c>
      <c r="P67" s="112" t="e">
        <f t="shared" si="36"/>
        <v>#REF!</v>
      </c>
      <c r="Q67" s="112" t="e">
        <f t="shared" si="36"/>
        <v>#REF!</v>
      </c>
      <c r="R67" s="112" t="e">
        <f t="shared" si="36"/>
        <v>#REF!</v>
      </c>
      <c r="S67" s="112" t="e">
        <f t="shared" si="36"/>
        <v>#REF!</v>
      </c>
      <c r="T67" s="112" t="e">
        <f t="shared" si="36"/>
        <v>#REF!</v>
      </c>
      <c r="U67" s="112" t="e">
        <f t="shared" si="36"/>
        <v>#REF!</v>
      </c>
      <c r="V67" s="112" t="e">
        <f t="shared" si="36"/>
        <v>#REF!</v>
      </c>
      <c r="W67" s="112" t="e">
        <f t="shared" si="36"/>
        <v>#REF!</v>
      </c>
      <c r="X67" s="112" t="e">
        <f t="shared" si="36"/>
        <v>#REF!</v>
      </c>
      <c r="Y67" s="112" t="e">
        <f t="shared" si="36"/>
        <v>#REF!</v>
      </c>
      <c r="Z67" s="112" t="e">
        <f t="shared" si="36"/>
        <v>#REF!</v>
      </c>
      <c r="AA67" s="112" t="e">
        <f t="shared" si="36"/>
        <v>#REF!</v>
      </c>
      <c r="AB67" s="112" t="e">
        <f t="shared" si="36"/>
        <v>#REF!</v>
      </c>
      <c r="AC67" s="112" t="e">
        <f t="shared" si="36"/>
        <v>#REF!</v>
      </c>
      <c r="AD67" s="112" t="e">
        <f t="shared" si="36"/>
        <v>#REF!</v>
      </c>
      <c r="AE67" s="112" t="e">
        <f t="shared" si="36"/>
        <v>#REF!</v>
      </c>
      <c r="AF67" s="112" t="e">
        <f t="shared" si="36"/>
        <v>#REF!</v>
      </c>
      <c r="AG67" s="112" t="e">
        <f t="shared" si="36"/>
        <v>#REF!</v>
      </c>
      <c r="AH67" s="112" t="e">
        <f t="shared" si="36"/>
        <v>#REF!</v>
      </c>
      <c r="AI67" s="112" t="e">
        <f t="shared" si="36"/>
        <v>#REF!</v>
      </c>
      <c r="AJ67" s="112" t="e">
        <f t="shared" si="36"/>
        <v>#REF!</v>
      </c>
      <c r="AK67" s="112" t="e">
        <f t="shared" si="36"/>
        <v>#REF!</v>
      </c>
      <c r="AL67" s="112" t="e">
        <f t="shared" si="36"/>
        <v>#REF!</v>
      </c>
      <c r="AM67" s="112" t="e">
        <f t="shared" si="36"/>
        <v>#REF!</v>
      </c>
      <c r="AN67" s="112" t="e">
        <f t="shared" ref="AN67:BQ67" si="37">SUM(AN37:AN66)</f>
        <v>#REF!</v>
      </c>
      <c r="AO67" s="112" t="e">
        <f t="shared" si="37"/>
        <v>#REF!</v>
      </c>
      <c r="AP67" s="112" t="e">
        <f t="shared" si="37"/>
        <v>#REF!</v>
      </c>
      <c r="AQ67" s="112" t="e">
        <f t="shared" si="37"/>
        <v>#REF!</v>
      </c>
      <c r="AR67" s="112" t="e">
        <f t="shared" si="37"/>
        <v>#REF!</v>
      </c>
      <c r="AS67" s="112" t="e">
        <f t="shared" si="37"/>
        <v>#REF!</v>
      </c>
      <c r="AT67" s="112" t="e">
        <f t="shared" si="37"/>
        <v>#REF!</v>
      </c>
      <c r="AU67" s="112" t="e">
        <f t="shared" si="37"/>
        <v>#REF!</v>
      </c>
      <c r="AV67" s="112" t="e">
        <f t="shared" si="37"/>
        <v>#REF!</v>
      </c>
      <c r="AW67" s="112" t="e">
        <f t="shared" si="37"/>
        <v>#REF!</v>
      </c>
      <c r="AX67" s="112" t="e">
        <f t="shared" si="37"/>
        <v>#REF!</v>
      </c>
      <c r="AY67" s="112" t="e">
        <f t="shared" si="37"/>
        <v>#REF!</v>
      </c>
      <c r="AZ67" s="112" t="e">
        <f t="shared" si="37"/>
        <v>#REF!</v>
      </c>
      <c r="BA67" s="112" t="e">
        <f t="shared" si="37"/>
        <v>#REF!</v>
      </c>
      <c r="BB67" s="112" t="e">
        <f t="shared" si="37"/>
        <v>#REF!</v>
      </c>
      <c r="BC67" s="112" t="e">
        <f t="shared" si="37"/>
        <v>#REF!</v>
      </c>
      <c r="BD67" s="112" t="e">
        <f t="shared" si="37"/>
        <v>#REF!</v>
      </c>
      <c r="BE67" s="112" t="e">
        <f t="shared" si="37"/>
        <v>#REF!</v>
      </c>
      <c r="BF67" s="112" t="e">
        <f>SUM(BF37:BF66)</f>
        <v>#REF!</v>
      </c>
      <c r="BG67" s="112" t="e">
        <f t="shared" si="37"/>
        <v>#REF!</v>
      </c>
      <c r="BH67" s="112" t="e">
        <f t="shared" si="37"/>
        <v>#REF!</v>
      </c>
      <c r="BI67" s="112" t="e">
        <f t="shared" si="37"/>
        <v>#REF!</v>
      </c>
      <c r="BJ67" s="112" t="e">
        <f t="shared" si="37"/>
        <v>#REF!</v>
      </c>
      <c r="BK67" s="112" t="e">
        <f t="shared" si="37"/>
        <v>#REF!</v>
      </c>
      <c r="BL67" s="112" t="e">
        <f t="shared" si="37"/>
        <v>#REF!</v>
      </c>
      <c r="BM67" s="112" t="e">
        <f t="shared" si="37"/>
        <v>#REF!</v>
      </c>
      <c r="BN67" s="112" t="e">
        <f t="shared" si="37"/>
        <v>#REF!</v>
      </c>
      <c r="BO67" s="112" t="e">
        <f t="shared" si="37"/>
        <v>#REF!</v>
      </c>
      <c r="BP67" s="112" t="e">
        <f t="shared" si="37"/>
        <v>#REF!</v>
      </c>
      <c r="BQ67" s="112" t="e">
        <f t="shared" si="37"/>
        <v>#REF!</v>
      </c>
    </row>
    <row r="68" spans="2:69">
      <c r="B68" s="53"/>
      <c r="C68" s="53"/>
      <c r="D68" s="53"/>
      <c r="E68" s="53"/>
      <c r="F68" s="79"/>
      <c r="G68" s="79"/>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row>
    <row r="69" spans="2:69">
      <c r="B69" s="98" t="s">
        <v>6</v>
      </c>
      <c r="C69" s="98"/>
      <c r="D69" s="99"/>
      <c r="E69" s="99"/>
      <c r="F69" s="76"/>
      <c r="G69" s="76"/>
      <c r="H69" s="115"/>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98"/>
      <c r="BQ69" s="98"/>
    </row>
    <row r="70" spans="2:69">
      <c r="B70" s="53"/>
      <c r="C70" s="74"/>
      <c r="D70" s="106"/>
      <c r="E70" s="106"/>
      <c r="F70" s="107"/>
      <c r="G70" s="107"/>
      <c r="H70" s="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c r="AS70" s="127"/>
      <c r="AT70" s="127"/>
      <c r="AU70" s="127"/>
      <c r="AV70" s="127"/>
      <c r="AW70" s="127"/>
      <c r="AX70" s="127"/>
      <c r="AY70" s="127"/>
      <c r="AZ70" s="127"/>
      <c r="BA70" s="127"/>
      <c r="BB70" s="127"/>
      <c r="BC70" s="127"/>
      <c r="BD70" s="127"/>
      <c r="BE70" s="127"/>
      <c r="BF70" s="127"/>
      <c r="BG70" s="127"/>
      <c r="BH70" s="127"/>
      <c r="BI70" s="127"/>
      <c r="BJ70" s="127"/>
      <c r="BK70" s="127"/>
      <c r="BL70" s="127"/>
      <c r="BM70" s="127"/>
      <c r="BN70" s="127"/>
      <c r="BO70" s="127"/>
      <c r="BP70" s="127"/>
      <c r="BQ70" s="127"/>
    </row>
    <row r="71" spans="2:69">
      <c r="B71" s="53"/>
      <c r="C71" s="74"/>
      <c r="D71" s="106" t="e">
        <f>#REF!</f>
        <v>#REF!</v>
      </c>
      <c r="E71" s="106" t="s">
        <v>123</v>
      </c>
      <c r="F71" s="108" t="e">
        <f>#REF!</f>
        <v>#REF!</v>
      </c>
      <c r="G71" s="107" t="e">
        <f>#REF!/화폐단위</f>
        <v>#REF!</v>
      </c>
      <c r="H71" s="7" t="e">
        <f t="shared" ref="H71:H78" si="38">_xlfn.SINGLE(_xlfn.XLOOKUP($H$4,$I$3:$BQ$3,$I71:$BQ71))</f>
        <v>#REF!</v>
      </c>
      <c r="I71" s="127" t="e">
        <f t="shared" ref="I71:I78" si="39">G71</f>
        <v>#REF!</v>
      </c>
      <c r="J71" s="127" t="e">
        <f>J$29*(J$15/(J$3-I$3))</f>
        <v>#REF!</v>
      </c>
      <c r="K71" s="127" t="e">
        <f t="shared" ref="K71:BQ71" si="40">K$29*(K$15/(K$3-J$3))</f>
        <v>#REF!</v>
      </c>
      <c r="L71" s="127" t="e">
        <f t="shared" si="40"/>
        <v>#REF!</v>
      </c>
      <c r="M71" s="127" t="e">
        <f t="shared" si="40"/>
        <v>#REF!</v>
      </c>
      <c r="N71" s="127" t="e">
        <f t="shared" si="40"/>
        <v>#REF!</v>
      </c>
      <c r="O71" s="127" t="e">
        <f t="shared" si="40"/>
        <v>#REF!</v>
      </c>
      <c r="P71" s="127" t="e">
        <f t="shared" si="40"/>
        <v>#REF!</v>
      </c>
      <c r="Q71" s="127" t="e">
        <f t="shared" si="40"/>
        <v>#REF!</v>
      </c>
      <c r="R71" s="127" t="e">
        <f t="shared" si="40"/>
        <v>#REF!</v>
      </c>
      <c r="S71" s="127" t="e">
        <f t="shared" si="40"/>
        <v>#REF!</v>
      </c>
      <c r="T71" s="127" t="e">
        <f t="shared" si="40"/>
        <v>#REF!</v>
      </c>
      <c r="U71" s="127" t="e">
        <f t="shared" si="40"/>
        <v>#REF!</v>
      </c>
      <c r="V71" s="127" t="e">
        <f t="shared" si="40"/>
        <v>#REF!</v>
      </c>
      <c r="W71" s="127" t="e">
        <f t="shared" si="40"/>
        <v>#REF!</v>
      </c>
      <c r="X71" s="127" t="e">
        <f t="shared" si="40"/>
        <v>#REF!</v>
      </c>
      <c r="Y71" s="127" t="e">
        <f t="shared" si="40"/>
        <v>#REF!</v>
      </c>
      <c r="Z71" s="127" t="e">
        <f t="shared" si="40"/>
        <v>#REF!</v>
      </c>
      <c r="AA71" s="127" t="e">
        <f t="shared" si="40"/>
        <v>#REF!</v>
      </c>
      <c r="AB71" s="127" t="e">
        <f t="shared" si="40"/>
        <v>#REF!</v>
      </c>
      <c r="AC71" s="127" t="e">
        <f t="shared" si="40"/>
        <v>#REF!</v>
      </c>
      <c r="AD71" s="127" t="e">
        <f t="shared" si="40"/>
        <v>#REF!</v>
      </c>
      <c r="AE71" s="127" t="e">
        <f t="shared" si="40"/>
        <v>#REF!</v>
      </c>
      <c r="AF71" s="127" t="e">
        <f t="shared" si="40"/>
        <v>#REF!</v>
      </c>
      <c r="AG71" s="127" t="e">
        <f t="shared" si="40"/>
        <v>#REF!</v>
      </c>
      <c r="AH71" s="127" t="e">
        <f t="shared" si="40"/>
        <v>#REF!</v>
      </c>
      <c r="AI71" s="127" t="e">
        <f t="shared" si="40"/>
        <v>#REF!</v>
      </c>
      <c r="AJ71" s="127" t="e">
        <f t="shared" si="40"/>
        <v>#REF!</v>
      </c>
      <c r="AK71" s="127" t="e">
        <f t="shared" si="40"/>
        <v>#REF!</v>
      </c>
      <c r="AL71" s="127" t="e">
        <f t="shared" si="40"/>
        <v>#REF!</v>
      </c>
      <c r="AM71" s="127" t="e">
        <f t="shared" si="40"/>
        <v>#REF!</v>
      </c>
      <c r="AN71" s="127" t="e">
        <f t="shared" si="40"/>
        <v>#REF!</v>
      </c>
      <c r="AO71" s="127" t="e">
        <f t="shared" si="40"/>
        <v>#REF!</v>
      </c>
      <c r="AP71" s="127" t="e">
        <f t="shared" si="40"/>
        <v>#REF!</v>
      </c>
      <c r="AQ71" s="127" t="e">
        <f t="shared" si="40"/>
        <v>#REF!</v>
      </c>
      <c r="AR71" s="127" t="e">
        <f t="shared" si="40"/>
        <v>#REF!</v>
      </c>
      <c r="AS71" s="127" t="e">
        <f t="shared" si="40"/>
        <v>#REF!</v>
      </c>
      <c r="AT71" s="127" t="e">
        <f t="shared" si="40"/>
        <v>#REF!</v>
      </c>
      <c r="AU71" s="127" t="e">
        <f t="shared" si="40"/>
        <v>#REF!</v>
      </c>
      <c r="AV71" s="127" t="e">
        <f t="shared" si="40"/>
        <v>#REF!</v>
      </c>
      <c r="AW71" s="127" t="e">
        <f t="shared" si="40"/>
        <v>#REF!</v>
      </c>
      <c r="AX71" s="127" t="e">
        <f t="shared" si="40"/>
        <v>#REF!</v>
      </c>
      <c r="AY71" s="127" t="e">
        <f t="shared" si="40"/>
        <v>#REF!</v>
      </c>
      <c r="AZ71" s="127" t="e">
        <f t="shared" si="40"/>
        <v>#REF!</v>
      </c>
      <c r="BA71" s="127" t="e">
        <f t="shared" si="40"/>
        <v>#REF!</v>
      </c>
      <c r="BB71" s="127" t="e">
        <f t="shared" si="40"/>
        <v>#REF!</v>
      </c>
      <c r="BC71" s="127" t="e">
        <f t="shared" si="40"/>
        <v>#REF!</v>
      </c>
      <c r="BD71" s="127" t="e">
        <f t="shared" si="40"/>
        <v>#REF!</v>
      </c>
      <c r="BE71" s="127" t="e">
        <f t="shared" si="40"/>
        <v>#REF!</v>
      </c>
      <c r="BF71" s="127" t="e">
        <f>BF$29*(BF$15/(BF$3-BE$3))</f>
        <v>#REF!</v>
      </c>
      <c r="BG71" s="127" t="e">
        <f t="shared" si="40"/>
        <v>#REF!</v>
      </c>
      <c r="BH71" s="127" t="e">
        <f t="shared" si="40"/>
        <v>#REF!</v>
      </c>
      <c r="BI71" s="127" t="e">
        <f t="shared" si="40"/>
        <v>#REF!</v>
      </c>
      <c r="BJ71" s="127" t="e">
        <f t="shared" si="40"/>
        <v>#REF!</v>
      </c>
      <c r="BK71" s="127" t="e">
        <f t="shared" si="40"/>
        <v>#REF!</v>
      </c>
      <c r="BL71" s="127" t="e">
        <f t="shared" si="40"/>
        <v>#REF!</v>
      </c>
      <c r="BM71" s="127" t="e">
        <f t="shared" si="40"/>
        <v>#REF!</v>
      </c>
      <c r="BN71" s="127" t="e">
        <f t="shared" si="40"/>
        <v>#REF!</v>
      </c>
      <c r="BO71" s="127" t="e">
        <f t="shared" si="40"/>
        <v>#REF!</v>
      </c>
      <c r="BP71" s="127" t="e">
        <f t="shared" si="40"/>
        <v>#REF!</v>
      </c>
      <c r="BQ71" s="127" t="e">
        <f t="shared" si="40"/>
        <v>#REF!</v>
      </c>
    </row>
    <row r="72" spans="2:69">
      <c r="B72" s="53"/>
      <c r="C72" s="74"/>
      <c r="D72" s="106" t="e">
        <f>#REF!</f>
        <v>#REF!</v>
      </c>
      <c r="E72" s="106" t="s">
        <v>123</v>
      </c>
      <c r="F72" s="108" t="e">
        <f>#REF!</f>
        <v>#REF!</v>
      </c>
      <c r="G72" s="107" t="e">
        <f>#REF!/화폐단위</f>
        <v>#REF!</v>
      </c>
      <c r="H72" s="7" t="e">
        <f t="shared" si="38"/>
        <v>#REF!</v>
      </c>
      <c r="I72" s="127" t="e">
        <f t="shared" si="39"/>
        <v>#REF!</v>
      </c>
      <c r="J72" s="127" t="e">
        <f t="shared" ref="J72:AO72" si="41">J$29*($F72/(J$3-I$3))</f>
        <v>#REF!</v>
      </c>
      <c r="K72" s="127" t="e">
        <f t="shared" si="41"/>
        <v>#REF!</v>
      </c>
      <c r="L72" s="127" t="e">
        <f t="shared" si="41"/>
        <v>#REF!</v>
      </c>
      <c r="M72" s="127" t="e">
        <f t="shared" si="41"/>
        <v>#REF!</v>
      </c>
      <c r="N72" s="127" t="e">
        <f t="shared" si="41"/>
        <v>#REF!</v>
      </c>
      <c r="O72" s="127" t="e">
        <f t="shared" si="41"/>
        <v>#REF!</v>
      </c>
      <c r="P72" s="127" t="e">
        <f t="shared" si="41"/>
        <v>#REF!</v>
      </c>
      <c r="Q72" s="127" t="e">
        <f t="shared" si="41"/>
        <v>#REF!</v>
      </c>
      <c r="R72" s="127" t="e">
        <f t="shared" si="41"/>
        <v>#REF!</v>
      </c>
      <c r="S72" s="127" t="e">
        <f t="shared" si="41"/>
        <v>#REF!</v>
      </c>
      <c r="T72" s="127" t="e">
        <f t="shared" si="41"/>
        <v>#REF!</v>
      </c>
      <c r="U72" s="127" t="e">
        <f t="shared" si="41"/>
        <v>#REF!</v>
      </c>
      <c r="V72" s="127" t="e">
        <f t="shared" si="41"/>
        <v>#REF!</v>
      </c>
      <c r="W72" s="127" t="e">
        <f t="shared" si="41"/>
        <v>#REF!</v>
      </c>
      <c r="X72" s="127" t="e">
        <f t="shared" si="41"/>
        <v>#REF!</v>
      </c>
      <c r="Y72" s="127" t="e">
        <f t="shared" si="41"/>
        <v>#REF!</v>
      </c>
      <c r="Z72" s="127" t="e">
        <f t="shared" si="41"/>
        <v>#REF!</v>
      </c>
      <c r="AA72" s="127" t="e">
        <f t="shared" si="41"/>
        <v>#REF!</v>
      </c>
      <c r="AB72" s="127" t="e">
        <f t="shared" si="41"/>
        <v>#REF!</v>
      </c>
      <c r="AC72" s="127" t="e">
        <f t="shared" si="41"/>
        <v>#REF!</v>
      </c>
      <c r="AD72" s="127" t="e">
        <f t="shared" si="41"/>
        <v>#REF!</v>
      </c>
      <c r="AE72" s="127" t="e">
        <f t="shared" si="41"/>
        <v>#REF!</v>
      </c>
      <c r="AF72" s="127" t="e">
        <f t="shared" si="41"/>
        <v>#REF!</v>
      </c>
      <c r="AG72" s="127" t="e">
        <f t="shared" si="41"/>
        <v>#REF!</v>
      </c>
      <c r="AH72" s="127" t="e">
        <f t="shared" si="41"/>
        <v>#REF!</v>
      </c>
      <c r="AI72" s="127" t="e">
        <f t="shared" si="41"/>
        <v>#REF!</v>
      </c>
      <c r="AJ72" s="127" t="e">
        <f t="shared" si="41"/>
        <v>#REF!</v>
      </c>
      <c r="AK72" s="127" t="e">
        <f t="shared" si="41"/>
        <v>#REF!</v>
      </c>
      <c r="AL72" s="127" t="e">
        <f t="shared" si="41"/>
        <v>#REF!</v>
      </c>
      <c r="AM72" s="127" t="e">
        <f t="shared" si="41"/>
        <v>#REF!</v>
      </c>
      <c r="AN72" s="127" t="e">
        <f t="shared" si="41"/>
        <v>#REF!</v>
      </c>
      <c r="AO72" s="127" t="e">
        <f t="shared" si="41"/>
        <v>#REF!</v>
      </c>
      <c r="AP72" s="127" t="e">
        <f t="shared" ref="AP72:BQ72" si="42">AP$29*($F72/(AP$3-AO$3))</f>
        <v>#REF!</v>
      </c>
      <c r="AQ72" s="127" t="e">
        <f t="shared" si="42"/>
        <v>#REF!</v>
      </c>
      <c r="AR72" s="127" t="e">
        <f t="shared" si="42"/>
        <v>#REF!</v>
      </c>
      <c r="AS72" s="127" t="e">
        <f t="shared" si="42"/>
        <v>#REF!</v>
      </c>
      <c r="AT72" s="127" t="e">
        <f t="shared" si="42"/>
        <v>#REF!</v>
      </c>
      <c r="AU72" s="127" t="e">
        <f t="shared" si="42"/>
        <v>#REF!</v>
      </c>
      <c r="AV72" s="127" t="e">
        <f t="shared" si="42"/>
        <v>#REF!</v>
      </c>
      <c r="AW72" s="127" t="e">
        <f t="shared" si="42"/>
        <v>#REF!</v>
      </c>
      <c r="AX72" s="127" t="e">
        <f t="shared" si="42"/>
        <v>#REF!</v>
      </c>
      <c r="AY72" s="127" t="e">
        <f t="shared" si="42"/>
        <v>#REF!</v>
      </c>
      <c r="AZ72" s="127" t="e">
        <f t="shared" si="42"/>
        <v>#REF!</v>
      </c>
      <c r="BA72" s="127" t="e">
        <f t="shared" si="42"/>
        <v>#REF!</v>
      </c>
      <c r="BB72" s="127" t="e">
        <f t="shared" si="42"/>
        <v>#REF!</v>
      </c>
      <c r="BC72" s="127" t="e">
        <f t="shared" si="42"/>
        <v>#REF!</v>
      </c>
      <c r="BD72" s="127" t="e">
        <f t="shared" si="42"/>
        <v>#REF!</v>
      </c>
      <c r="BE72" s="127" t="e">
        <f t="shared" si="42"/>
        <v>#REF!</v>
      </c>
      <c r="BF72" s="127" t="e">
        <f>BF$29*($F72/(BF$3-BE$3))</f>
        <v>#REF!</v>
      </c>
      <c r="BG72" s="127" t="e">
        <f t="shared" si="42"/>
        <v>#REF!</v>
      </c>
      <c r="BH72" s="127" t="e">
        <f t="shared" si="42"/>
        <v>#REF!</v>
      </c>
      <c r="BI72" s="127" t="e">
        <f t="shared" si="42"/>
        <v>#REF!</v>
      </c>
      <c r="BJ72" s="127" t="e">
        <f t="shared" si="42"/>
        <v>#REF!</v>
      </c>
      <c r="BK72" s="127" t="e">
        <f t="shared" si="42"/>
        <v>#REF!</v>
      </c>
      <c r="BL72" s="127" t="e">
        <f t="shared" si="42"/>
        <v>#REF!</v>
      </c>
      <c r="BM72" s="127" t="e">
        <f t="shared" si="42"/>
        <v>#REF!</v>
      </c>
      <c r="BN72" s="127" t="e">
        <f t="shared" si="42"/>
        <v>#REF!</v>
      </c>
      <c r="BO72" s="127" t="e">
        <f t="shared" si="42"/>
        <v>#REF!</v>
      </c>
      <c r="BP72" s="127" t="e">
        <f t="shared" si="42"/>
        <v>#REF!</v>
      </c>
      <c r="BQ72" s="127" t="e">
        <f t="shared" si="42"/>
        <v>#REF!</v>
      </c>
    </row>
    <row r="73" spans="2:69">
      <c r="B73" s="53"/>
      <c r="C73" s="74"/>
      <c r="D73" s="106" t="e">
        <f>#REF!</f>
        <v>#REF!</v>
      </c>
      <c r="E73" s="106" t="s">
        <v>124</v>
      </c>
      <c r="F73" s="108" t="e">
        <f>#REF!</f>
        <v>#REF!</v>
      </c>
      <c r="G73" s="107" t="e">
        <f>#REF!/화폐단위</f>
        <v>#REF!</v>
      </c>
      <c r="H73" s="7" t="e">
        <f t="shared" si="38"/>
        <v>#REF!</v>
      </c>
      <c r="I73" s="127" t="e">
        <f t="shared" si="39"/>
        <v>#REF!</v>
      </c>
      <c r="J73" s="127" t="e">
        <f t="shared" ref="J73:AO73" si="43">J$34*($F73/(J$3-I$3))</f>
        <v>#REF!</v>
      </c>
      <c r="K73" s="127" t="e">
        <f t="shared" si="43"/>
        <v>#REF!</v>
      </c>
      <c r="L73" s="127" t="e">
        <f t="shared" si="43"/>
        <v>#REF!</v>
      </c>
      <c r="M73" s="127" t="e">
        <f t="shared" si="43"/>
        <v>#REF!</v>
      </c>
      <c r="N73" s="127" t="e">
        <f t="shared" si="43"/>
        <v>#REF!</v>
      </c>
      <c r="O73" s="127" t="e">
        <f t="shared" si="43"/>
        <v>#REF!</v>
      </c>
      <c r="P73" s="127" t="e">
        <f t="shared" si="43"/>
        <v>#REF!</v>
      </c>
      <c r="Q73" s="127" t="e">
        <f t="shared" si="43"/>
        <v>#REF!</v>
      </c>
      <c r="R73" s="127" t="e">
        <f t="shared" si="43"/>
        <v>#REF!</v>
      </c>
      <c r="S73" s="127" t="e">
        <f t="shared" si="43"/>
        <v>#REF!</v>
      </c>
      <c r="T73" s="127" t="e">
        <f t="shared" si="43"/>
        <v>#REF!</v>
      </c>
      <c r="U73" s="127" t="e">
        <f t="shared" si="43"/>
        <v>#REF!</v>
      </c>
      <c r="V73" s="127" t="e">
        <f t="shared" si="43"/>
        <v>#REF!</v>
      </c>
      <c r="W73" s="127" t="e">
        <f t="shared" si="43"/>
        <v>#REF!</v>
      </c>
      <c r="X73" s="127" t="e">
        <f t="shared" si="43"/>
        <v>#REF!</v>
      </c>
      <c r="Y73" s="127" t="e">
        <f t="shared" si="43"/>
        <v>#REF!</v>
      </c>
      <c r="Z73" s="127" t="e">
        <f t="shared" si="43"/>
        <v>#REF!</v>
      </c>
      <c r="AA73" s="127" t="e">
        <f t="shared" si="43"/>
        <v>#REF!</v>
      </c>
      <c r="AB73" s="127" t="e">
        <f t="shared" si="43"/>
        <v>#REF!</v>
      </c>
      <c r="AC73" s="127" t="e">
        <f t="shared" si="43"/>
        <v>#REF!</v>
      </c>
      <c r="AD73" s="127" t="e">
        <f t="shared" si="43"/>
        <v>#REF!</v>
      </c>
      <c r="AE73" s="127" t="e">
        <f t="shared" si="43"/>
        <v>#REF!</v>
      </c>
      <c r="AF73" s="127" t="e">
        <f t="shared" si="43"/>
        <v>#REF!</v>
      </c>
      <c r="AG73" s="127" t="e">
        <f t="shared" si="43"/>
        <v>#REF!</v>
      </c>
      <c r="AH73" s="127" t="e">
        <f t="shared" si="43"/>
        <v>#REF!</v>
      </c>
      <c r="AI73" s="127" t="e">
        <f t="shared" si="43"/>
        <v>#REF!</v>
      </c>
      <c r="AJ73" s="127" t="e">
        <f t="shared" si="43"/>
        <v>#REF!</v>
      </c>
      <c r="AK73" s="127" t="e">
        <f t="shared" si="43"/>
        <v>#REF!</v>
      </c>
      <c r="AL73" s="127" t="e">
        <f t="shared" si="43"/>
        <v>#REF!</v>
      </c>
      <c r="AM73" s="127" t="e">
        <f t="shared" si="43"/>
        <v>#REF!</v>
      </c>
      <c r="AN73" s="127" t="e">
        <f t="shared" si="43"/>
        <v>#REF!</v>
      </c>
      <c r="AO73" s="127" t="e">
        <f t="shared" si="43"/>
        <v>#REF!</v>
      </c>
      <c r="AP73" s="127" t="e">
        <f t="shared" ref="AP73:BQ73" si="44">AP$34*($F73/(AP$3-AO$3))</f>
        <v>#REF!</v>
      </c>
      <c r="AQ73" s="127" t="e">
        <f t="shared" si="44"/>
        <v>#REF!</v>
      </c>
      <c r="AR73" s="127" t="e">
        <f t="shared" si="44"/>
        <v>#REF!</v>
      </c>
      <c r="AS73" s="127" t="e">
        <f t="shared" si="44"/>
        <v>#REF!</v>
      </c>
      <c r="AT73" s="127" t="e">
        <f t="shared" si="44"/>
        <v>#REF!</v>
      </c>
      <c r="AU73" s="127" t="e">
        <f t="shared" si="44"/>
        <v>#REF!</v>
      </c>
      <c r="AV73" s="127" t="e">
        <f t="shared" si="44"/>
        <v>#REF!</v>
      </c>
      <c r="AW73" s="127" t="e">
        <f t="shared" si="44"/>
        <v>#REF!</v>
      </c>
      <c r="AX73" s="127" t="e">
        <f t="shared" si="44"/>
        <v>#REF!</v>
      </c>
      <c r="AY73" s="127" t="e">
        <f t="shared" si="44"/>
        <v>#REF!</v>
      </c>
      <c r="AZ73" s="127" t="e">
        <f t="shared" si="44"/>
        <v>#REF!</v>
      </c>
      <c r="BA73" s="127" t="e">
        <f t="shared" si="44"/>
        <v>#REF!</v>
      </c>
      <c r="BB73" s="127" t="e">
        <f t="shared" si="44"/>
        <v>#REF!</v>
      </c>
      <c r="BC73" s="127" t="e">
        <f t="shared" si="44"/>
        <v>#REF!</v>
      </c>
      <c r="BD73" s="127" t="e">
        <f t="shared" si="44"/>
        <v>#REF!</v>
      </c>
      <c r="BE73" s="127" t="e">
        <f t="shared" si="44"/>
        <v>#REF!</v>
      </c>
      <c r="BF73" s="127" t="e">
        <f t="shared" si="44"/>
        <v>#REF!</v>
      </c>
      <c r="BG73" s="127" t="e">
        <f t="shared" si="44"/>
        <v>#REF!</v>
      </c>
      <c r="BH73" s="127" t="e">
        <f t="shared" si="44"/>
        <v>#REF!</v>
      </c>
      <c r="BI73" s="127" t="e">
        <f t="shared" si="44"/>
        <v>#REF!</v>
      </c>
      <c r="BJ73" s="127" t="e">
        <f t="shared" si="44"/>
        <v>#REF!</v>
      </c>
      <c r="BK73" s="127" t="e">
        <f t="shared" si="44"/>
        <v>#REF!</v>
      </c>
      <c r="BL73" s="127" t="e">
        <f t="shared" si="44"/>
        <v>#REF!</v>
      </c>
      <c r="BM73" s="127" t="e">
        <f t="shared" si="44"/>
        <v>#REF!</v>
      </c>
      <c r="BN73" s="127" t="e">
        <f t="shared" si="44"/>
        <v>#REF!</v>
      </c>
      <c r="BO73" s="127" t="e">
        <f t="shared" si="44"/>
        <v>#REF!</v>
      </c>
      <c r="BP73" s="127" t="e">
        <f t="shared" si="44"/>
        <v>#REF!</v>
      </c>
      <c r="BQ73" s="127" t="e">
        <f t="shared" si="44"/>
        <v>#REF!</v>
      </c>
    </row>
    <row r="74" spans="2:69">
      <c r="B74" s="53"/>
      <c r="C74" s="74"/>
      <c r="D74" s="106" t="e">
        <f>#REF!</f>
        <v>#REF!</v>
      </c>
      <c r="E74" s="106" t="s">
        <v>124</v>
      </c>
      <c r="F74" s="108" t="e">
        <f>#REF!</f>
        <v>#REF!</v>
      </c>
      <c r="G74" s="107" t="e">
        <f>#REF!/화폐단위</f>
        <v>#REF!</v>
      </c>
      <c r="H74" s="7" t="e">
        <f t="shared" si="38"/>
        <v>#REF!</v>
      </c>
      <c r="I74" s="127" t="e">
        <f t="shared" si="39"/>
        <v>#REF!</v>
      </c>
      <c r="J74" s="127" t="e">
        <f t="shared" ref="J74:AO74" si="45">J$34*($F74/(J$3-I$3))</f>
        <v>#REF!</v>
      </c>
      <c r="K74" s="127" t="e">
        <f t="shared" si="45"/>
        <v>#REF!</v>
      </c>
      <c r="L74" s="127" t="e">
        <f t="shared" si="45"/>
        <v>#REF!</v>
      </c>
      <c r="M74" s="127" t="e">
        <f t="shared" si="45"/>
        <v>#REF!</v>
      </c>
      <c r="N74" s="127" t="e">
        <f t="shared" si="45"/>
        <v>#REF!</v>
      </c>
      <c r="O74" s="127" t="e">
        <f t="shared" si="45"/>
        <v>#REF!</v>
      </c>
      <c r="P74" s="127" t="e">
        <f t="shared" si="45"/>
        <v>#REF!</v>
      </c>
      <c r="Q74" s="127" t="e">
        <f t="shared" si="45"/>
        <v>#REF!</v>
      </c>
      <c r="R74" s="127" t="e">
        <f t="shared" si="45"/>
        <v>#REF!</v>
      </c>
      <c r="S74" s="127" t="e">
        <f t="shared" si="45"/>
        <v>#REF!</v>
      </c>
      <c r="T74" s="127" t="e">
        <f t="shared" si="45"/>
        <v>#REF!</v>
      </c>
      <c r="U74" s="127" t="e">
        <f t="shared" si="45"/>
        <v>#REF!</v>
      </c>
      <c r="V74" s="127" t="e">
        <f t="shared" si="45"/>
        <v>#REF!</v>
      </c>
      <c r="W74" s="127" t="e">
        <f t="shared" si="45"/>
        <v>#REF!</v>
      </c>
      <c r="X74" s="127" t="e">
        <f t="shared" si="45"/>
        <v>#REF!</v>
      </c>
      <c r="Y74" s="127" t="e">
        <f t="shared" si="45"/>
        <v>#REF!</v>
      </c>
      <c r="Z74" s="127" t="e">
        <f t="shared" si="45"/>
        <v>#REF!</v>
      </c>
      <c r="AA74" s="127" t="e">
        <f t="shared" si="45"/>
        <v>#REF!</v>
      </c>
      <c r="AB74" s="127" t="e">
        <f t="shared" si="45"/>
        <v>#REF!</v>
      </c>
      <c r="AC74" s="127" t="e">
        <f t="shared" si="45"/>
        <v>#REF!</v>
      </c>
      <c r="AD74" s="127" t="e">
        <f t="shared" si="45"/>
        <v>#REF!</v>
      </c>
      <c r="AE74" s="127" t="e">
        <f t="shared" si="45"/>
        <v>#REF!</v>
      </c>
      <c r="AF74" s="127" t="e">
        <f t="shared" si="45"/>
        <v>#REF!</v>
      </c>
      <c r="AG74" s="127" t="e">
        <f t="shared" si="45"/>
        <v>#REF!</v>
      </c>
      <c r="AH74" s="127" t="e">
        <f t="shared" si="45"/>
        <v>#REF!</v>
      </c>
      <c r="AI74" s="127" t="e">
        <f t="shared" si="45"/>
        <v>#REF!</v>
      </c>
      <c r="AJ74" s="127" t="e">
        <f t="shared" si="45"/>
        <v>#REF!</v>
      </c>
      <c r="AK74" s="127" t="e">
        <f t="shared" si="45"/>
        <v>#REF!</v>
      </c>
      <c r="AL74" s="127" t="e">
        <f t="shared" si="45"/>
        <v>#REF!</v>
      </c>
      <c r="AM74" s="127" t="e">
        <f t="shared" si="45"/>
        <v>#REF!</v>
      </c>
      <c r="AN74" s="127" t="e">
        <f t="shared" si="45"/>
        <v>#REF!</v>
      </c>
      <c r="AO74" s="127" t="e">
        <f t="shared" si="45"/>
        <v>#REF!</v>
      </c>
      <c r="AP74" s="127" t="e">
        <f t="shared" ref="AP74:BQ74" si="46">AP$34*($F74/(AP$3-AO$3))</f>
        <v>#REF!</v>
      </c>
      <c r="AQ74" s="127" t="e">
        <f t="shared" si="46"/>
        <v>#REF!</v>
      </c>
      <c r="AR74" s="127" t="e">
        <f t="shared" si="46"/>
        <v>#REF!</v>
      </c>
      <c r="AS74" s="127" t="e">
        <f t="shared" si="46"/>
        <v>#REF!</v>
      </c>
      <c r="AT74" s="127" t="e">
        <f t="shared" si="46"/>
        <v>#REF!</v>
      </c>
      <c r="AU74" s="127" t="e">
        <f t="shared" si="46"/>
        <v>#REF!</v>
      </c>
      <c r="AV74" s="127" t="e">
        <f t="shared" si="46"/>
        <v>#REF!</v>
      </c>
      <c r="AW74" s="127" t="e">
        <f t="shared" si="46"/>
        <v>#REF!</v>
      </c>
      <c r="AX74" s="127" t="e">
        <f t="shared" si="46"/>
        <v>#REF!</v>
      </c>
      <c r="AY74" s="127" t="e">
        <f t="shared" si="46"/>
        <v>#REF!</v>
      </c>
      <c r="AZ74" s="127" t="e">
        <f t="shared" si="46"/>
        <v>#REF!</v>
      </c>
      <c r="BA74" s="127" t="e">
        <f t="shared" si="46"/>
        <v>#REF!</v>
      </c>
      <c r="BB74" s="127" t="e">
        <f t="shared" si="46"/>
        <v>#REF!</v>
      </c>
      <c r="BC74" s="127" t="e">
        <f t="shared" si="46"/>
        <v>#REF!</v>
      </c>
      <c r="BD74" s="127" t="e">
        <f t="shared" si="46"/>
        <v>#REF!</v>
      </c>
      <c r="BE74" s="127" t="e">
        <f t="shared" si="46"/>
        <v>#REF!</v>
      </c>
      <c r="BF74" s="127" t="e">
        <f t="shared" si="46"/>
        <v>#REF!</v>
      </c>
      <c r="BG74" s="127" t="e">
        <f t="shared" si="46"/>
        <v>#REF!</v>
      </c>
      <c r="BH74" s="127" t="e">
        <f t="shared" si="46"/>
        <v>#REF!</v>
      </c>
      <c r="BI74" s="127" t="e">
        <f t="shared" si="46"/>
        <v>#REF!</v>
      </c>
      <c r="BJ74" s="127" t="e">
        <f t="shared" si="46"/>
        <v>#REF!</v>
      </c>
      <c r="BK74" s="127" t="e">
        <f t="shared" si="46"/>
        <v>#REF!</v>
      </c>
      <c r="BL74" s="127" t="e">
        <f t="shared" si="46"/>
        <v>#REF!</v>
      </c>
      <c r="BM74" s="127" t="e">
        <f t="shared" si="46"/>
        <v>#REF!</v>
      </c>
      <c r="BN74" s="127" t="e">
        <f t="shared" si="46"/>
        <v>#REF!</v>
      </c>
      <c r="BO74" s="127" t="e">
        <f t="shared" si="46"/>
        <v>#REF!</v>
      </c>
      <c r="BP74" s="127" t="e">
        <f t="shared" si="46"/>
        <v>#REF!</v>
      </c>
      <c r="BQ74" s="127" t="e">
        <f t="shared" si="46"/>
        <v>#REF!</v>
      </c>
    </row>
    <row r="75" spans="2:69">
      <c r="B75" s="53"/>
      <c r="C75" s="74"/>
      <c r="D75" s="106" t="e">
        <f>#REF!</f>
        <v>#REF!</v>
      </c>
      <c r="E75" s="106" t="s">
        <v>124</v>
      </c>
      <c r="F75" s="108" t="e">
        <f>#REF!</f>
        <v>#REF!</v>
      </c>
      <c r="G75" s="107" t="e">
        <f>#REF!/화폐단위</f>
        <v>#REF!</v>
      </c>
      <c r="H75" s="7" t="e">
        <f t="shared" si="38"/>
        <v>#REF!</v>
      </c>
      <c r="I75" s="127" t="e">
        <f t="shared" si="39"/>
        <v>#REF!</v>
      </c>
      <c r="J75" s="127" t="e">
        <f t="shared" ref="J75:AO75" si="47">J$34*($F75/(J$3-I$3))</f>
        <v>#REF!</v>
      </c>
      <c r="K75" s="127" t="e">
        <f t="shared" si="47"/>
        <v>#REF!</v>
      </c>
      <c r="L75" s="127" t="e">
        <f t="shared" si="47"/>
        <v>#REF!</v>
      </c>
      <c r="M75" s="127" t="e">
        <f t="shared" si="47"/>
        <v>#REF!</v>
      </c>
      <c r="N75" s="127" t="e">
        <f t="shared" si="47"/>
        <v>#REF!</v>
      </c>
      <c r="O75" s="127" t="e">
        <f t="shared" si="47"/>
        <v>#REF!</v>
      </c>
      <c r="P75" s="127" t="e">
        <f t="shared" si="47"/>
        <v>#REF!</v>
      </c>
      <c r="Q75" s="127" t="e">
        <f t="shared" si="47"/>
        <v>#REF!</v>
      </c>
      <c r="R75" s="127" t="e">
        <f t="shared" si="47"/>
        <v>#REF!</v>
      </c>
      <c r="S75" s="127" t="e">
        <f t="shared" si="47"/>
        <v>#REF!</v>
      </c>
      <c r="T75" s="127" t="e">
        <f t="shared" si="47"/>
        <v>#REF!</v>
      </c>
      <c r="U75" s="127" t="e">
        <f t="shared" si="47"/>
        <v>#REF!</v>
      </c>
      <c r="V75" s="127" t="e">
        <f t="shared" si="47"/>
        <v>#REF!</v>
      </c>
      <c r="W75" s="127" t="e">
        <f t="shared" si="47"/>
        <v>#REF!</v>
      </c>
      <c r="X75" s="127" t="e">
        <f t="shared" si="47"/>
        <v>#REF!</v>
      </c>
      <c r="Y75" s="127" t="e">
        <f t="shared" si="47"/>
        <v>#REF!</v>
      </c>
      <c r="Z75" s="127" t="e">
        <f t="shared" si="47"/>
        <v>#REF!</v>
      </c>
      <c r="AA75" s="127" t="e">
        <f t="shared" si="47"/>
        <v>#REF!</v>
      </c>
      <c r="AB75" s="127" t="e">
        <f t="shared" si="47"/>
        <v>#REF!</v>
      </c>
      <c r="AC75" s="127" t="e">
        <f t="shared" si="47"/>
        <v>#REF!</v>
      </c>
      <c r="AD75" s="127" t="e">
        <f t="shared" si="47"/>
        <v>#REF!</v>
      </c>
      <c r="AE75" s="127" t="e">
        <f t="shared" si="47"/>
        <v>#REF!</v>
      </c>
      <c r="AF75" s="127" t="e">
        <f t="shared" si="47"/>
        <v>#REF!</v>
      </c>
      <c r="AG75" s="127" t="e">
        <f t="shared" si="47"/>
        <v>#REF!</v>
      </c>
      <c r="AH75" s="127" t="e">
        <f t="shared" si="47"/>
        <v>#REF!</v>
      </c>
      <c r="AI75" s="127" t="e">
        <f t="shared" si="47"/>
        <v>#REF!</v>
      </c>
      <c r="AJ75" s="127" t="e">
        <f t="shared" si="47"/>
        <v>#REF!</v>
      </c>
      <c r="AK75" s="127" t="e">
        <f t="shared" si="47"/>
        <v>#REF!</v>
      </c>
      <c r="AL75" s="127" t="e">
        <f t="shared" si="47"/>
        <v>#REF!</v>
      </c>
      <c r="AM75" s="127" t="e">
        <f t="shared" si="47"/>
        <v>#REF!</v>
      </c>
      <c r="AN75" s="127" t="e">
        <f t="shared" si="47"/>
        <v>#REF!</v>
      </c>
      <c r="AO75" s="127" t="e">
        <f t="shared" si="47"/>
        <v>#REF!</v>
      </c>
      <c r="AP75" s="127" t="e">
        <f t="shared" ref="AP75:BQ75" si="48">AP$34*($F75/(AP$3-AO$3))</f>
        <v>#REF!</v>
      </c>
      <c r="AQ75" s="127" t="e">
        <f t="shared" si="48"/>
        <v>#REF!</v>
      </c>
      <c r="AR75" s="127" t="e">
        <f t="shared" si="48"/>
        <v>#REF!</v>
      </c>
      <c r="AS75" s="127" t="e">
        <f t="shared" si="48"/>
        <v>#REF!</v>
      </c>
      <c r="AT75" s="127" t="e">
        <f t="shared" si="48"/>
        <v>#REF!</v>
      </c>
      <c r="AU75" s="127" t="e">
        <f t="shared" si="48"/>
        <v>#REF!</v>
      </c>
      <c r="AV75" s="127" t="e">
        <f t="shared" si="48"/>
        <v>#REF!</v>
      </c>
      <c r="AW75" s="127" t="e">
        <f t="shared" si="48"/>
        <v>#REF!</v>
      </c>
      <c r="AX75" s="127" t="e">
        <f t="shared" si="48"/>
        <v>#REF!</v>
      </c>
      <c r="AY75" s="127" t="e">
        <f t="shared" si="48"/>
        <v>#REF!</v>
      </c>
      <c r="AZ75" s="127" t="e">
        <f t="shared" si="48"/>
        <v>#REF!</v>
      </c>
      <c r="BA75" s="127" t="e">
        <f t="shared" si="48"/>
        <v>#REF!</v>
      </c>
      <c r="BB75" s="127" t="e">
        <f t="shared" si="48"/>
        <v>#REF!</v>
      </c>
      <c r="BC75" s="127" t="e">
        <f t="shared" si="48"/>
        <v>#REF!</v>
      </c>
      <c r="BD75" s="127" t="e">
        <f t="shared" si="48"/>
        <v>#REF!</v>
      </c>
      <c r="BE75" s="127" t="e">
        <f t="shared" si="48"/>
        <v>#REF!</v>
      </c>
      <c r="BF75" s="127" t="e">
        <f t="shared" si="48"/>
        <v>#REF!</v>
      </c>
      <c r="BG75" s="127" t="e">
        <f t="shared" si="48"/>
        <v>#REF!</v>
      </c>
      <c r="BH75" s="127" t="e">
        <f t="shared" si="48"/>
        <v>#REF!</v>
      </c>
      <c r="BI75" s="127" t="e">
        <f t="shared" si="48"/>
        <v>#REF!</v>
      </c>
      <c r="BJ75" s="127" t="e">
        <f t="shared" si="48"/>
        <v>#REF!</v>
      </c>
      <c r="BK75" s="127" t="e">
        <f t="shared" si="48"/>
        <v>#REF!</v>
      </c>
      <c r="BL75" s="127" t="e">
        <f t="shared" si="48"/>
        <v>#REF!</v>
      </c>
      <c r="BM75" s="127" t="e">
        <f t="shared" si="48"/>
        <v>#REF!</v>
      </c>
      <c r="BN75" s="127" t="e">
        <f t="shared" si="48"/>
        <v>#REF!</v>
      </c>
      <c r="BO75" s="127" t="e">
        <f t="shared" si="48"/>
        <v>#REF!</v>
      </c>
      <c r="BP75" s="127" t="e">
        <f t="shared" si="48"/>
        <v>#REF!</v>
      </c>
      <c r="BQ75" s="127" t="e">
        <f t="shared" si="48"/>
        <v>#REF!</v>
      </c>
    </row>
    <row r="76" spans="2:69">
      <c r="B76" s="53"/>
      <c r="C76" s="74"/>
      <c r="D76" s="106" t="e">
        <f>#REF!</f>
        <v>#REF!</v>
      </c>
      <c r="E76" s="106" t="s">
        <v>113</v>
      </c>
      <c r="F76" s="108" t="e">
        <f>#REF!</f>
        <v>#REF!</v>
      </c>
      <c r="G76" s="107" t="e">
        <f>#REF!/화폐단위</f>
        <v>#REF!</v>
      </c>
      <c r="H76" s="7" t="e">
        <f t="shared" si="38"/>
        <v>#REF!</v>
      </c>
      <c r="I76" s="127" t="e">
        <f t="shared" si="39"/>
        <v>#REF!</v>
      </c>
      <c r="J76" s="127" t="e">
        <f>J$67*($F76/(J$3-I$3))</f>
        <v>#REF!</v>
      </c>
      <c r="K76" s="127" t="e">
        <f t="shared" ref="K76:BQ76" si="49">K$67*($F76/(K$3-J$3))</f>
        <v>#REF!</v>
      </c>
      <c r="L76" s="127" t="e">
        <f t="shared" si="49"/>
        <v>#REF!</v>
      </c>
      <c r="M76" s="127" t="e">
        <f t="shared" si="49"/>
        <v>#REF!</v>
      </c>
      <c r="N76" s="127" t="e">
        <f t="shared" si="49"/>
        <v>#REF!</v>
      </c>
      <c r="O76" s="127" t="e">
        <f t="shared" si="49"/>
        <v>#REF!</v>
      </c>
      <c r="P76" s="127" t="e">
        <f t="shared" si="49"/>
        <v>#REF!</v>
      </c>
      <c r="Q76" s="127" t="e">
        <f t="shared" si="49"/>
        <v>#REF!</v>
      </c>
      <c r="R76" s="127" t="e">
        <f t="shared" si="49"/>
        <v>#REF!</v>
      </c>
      <c r="S76" s="127" t="e">
        <f t="shared" si="49"/>
        <v>#REF!</v>
      </c>
      <c r="T76" s="127" t="e">
        <f t="shared" si="49"/>
        <v>#REF!</v>
      </c>
      <c r="U76" s="127" t="e">
        <f t="shared" si="49"/>
        <v>#REF!</v>
      </c>
      <c r="V76" s="127" t="e">
        <f t="shared" si="49"/>
        <v>#REF!</v>
      </c>
      <c r="W76" s="127" t="e">
        <f t="shared" si="49"/>
        <v>#REF!</v>
      </c>
      <c r="X76" s="127" t="e">
        <f t="shared" si="49"/>
        <v>#REF!</v>
      </c>
      <c r="Y76" s="127" t="e">
        <f t="shared" si="49"/>
        <v>#REF!</v>
      </c>
      <c r="Z76" s="127" t="e">
        <f t="shared" si="49"/>
        <v>#REF!</v>
      </c>
      <c r="AA76" s="127" t="e">
        <f t="shared" si="49"/>
        <v>#REF!</v>
      </c>
      <c r="AB76" s="127" t="e">
        <f t="shared" si="49"/>
        <v>#REF!</v>
      </c>
      <c r="AC76" s="127" t="e">
        <f t="shared" si="49"/>
        <v>#REF!</v>
      </c>
      <c r="AD76" s="127" t="e">
        <f t="shared" si="49"/>
        <v>#REF!</v>
      </c>
      <c r="AE76" s="127" t="e">
        <f t="shared" si="49"/>
        <v>#REF!</v>
      </c>
      <c r="AF76" s="127" t="e">
        <f t="shared" si="49"/>
        <v>#REF!</v>
      </c>
      <c r="AG76" s="127" t="e">
        <f t="shared" si="49"/>
        <v>#REF!</v>
      </c>
      <c r="AH76" s="127" t="e">
        <f t="shared" si="49"/>
        <v>#REF!</v>
      </c>
      <c r="AI76" s="127" t="e">
        <f t="shared" si="49"/>
        <v>#REF!</v>
      </c>
      <c r="AJ76" s="127" t="e">
        <f t="shared" si="49"/>
        <v>#REF!</v>
      </c>
      <c r="AK76" s="127" t="e">
        <f t="shared" si="49"/>
        <v>#REF!</v>
      </c>
      <c r="AL76" s="127" t="e">
        <f t="shared" si="49"/>
        <v>#REF!</v>
      </c>
      <c r="AM76" s="127" t="e">
        <f t="shared" si="49"/>
        <v>#REF!</v>
      </c>
      <c r="AN76" s="127" t="e">
        <f t="shared" si="49"/>
        <v>#REF!</v>
      </c>
      <c r="AO76" s="127" t="e">
        <f t="shared" si="49"/>
        <v>#REF!</v>
      </c>
      <c r="AP76" s="127" t="e">
        <f t="shared" si="49"/>
        <v>#REF!</v>
      </c>
      <c r="AQ76" s="127" t="e">
        <f t="shared" si="49"/>
        <v>#REF!</v>
      </c>
      <c r="AR76" s="127" t="e">
        <f t="shared" si="49"/>
        <v>#REF!</v>
      </c>
      <c r="AS76" s="127" t="e">
        <f t="shared" si="49"/>
        <v>#REF!</v>
      </c>
      <c r="AT76" s="127" t="e">
        <f t="shared" si="49"/>
        <v>#REF!</v>
      </c>
      <c r="AU76" s="127" t="e">
        <f t="shared" si="49"/>
        <v>#REF!</v>
      </c>
      <c r="AV76" s="127" t="e">
        <f t="shared" si="49"/>
        <v>#REF!</v>
      </c>
      <c r="AW76" s="127" t="e">
        <f t="shared" si="49"/>
        <v>#REF!</v>
      </c>
      <c r="AX76" s="127" t="e">
        <f t="shared" si="49"/>
        <v>#REF!</v>
      </c>
      <c r="AY76" s="127" t="e">
        <f t="shared" si="49"/>
        <v>#REF!</v>
      </c>
      <c r="AZ76" s="127" t="e">
        <f t="shared" si="49"/>
        <v>#REF!</v>
      </c>
      <c r="BA76" s="127" t="e">
        <f t="shared" si="49"/>
        <v>#REF!</v>
      </c>
      <c r="BB76" s="127" t="e">
        <f t="shared" si="49"/>
        <v>#REF!</v>
      </c>
      <c r="BC76" s="127" t="e">
        <f t="shared" si="49"/>
        <v>#REF!</v>
      </c>
      <c r="BD76" s="127" t="e">
        <f t="shared" si="49"/>
        <v>#REF!</v>
      </c>
      <c r="BE76" s="127" t="e">
        <f t="shared" si="49"/>
        <v>#REF!</v>
      </c>
      <c r="BF76" s="127" t="e">
        <f t="shared" si="49"/>
        <v>#REF!</v>
      </c>
      <c r="BG76" s="127" t="e">
        <f t="shared" si="49"/>
        <v>#REF!</v>
      </c>
      <c r="BH76" s="127" t="e">
        <f t="shared" si="49"/>
        <v>#REF!</v>
      </c>
      <c r="BI76" s="127" t="e">
        <f t="shared" si="49"/>
        <v>#REF!</v>
      </c>
      <c r="BJ76" s="127" t="e">
        <f t="shared" si="49"/>
        <v>#REF!</v>
      </c>
      <c r="BK76" s="127" t="e">
        <f t="shared" si="49"/>
        <v>#REF!</v>
      </c>
      <c r="BL76" s="127" t="e">
        <f t="shared" si="49"/>
        <v>#REF!</v>
      </c>
      <c r="BM76" s="127" t="e">
        <f t="shared" si="49"/>
        <v>#REF!</v>
      </c>
      <c r="BN76" s="127" t="e">
        <f t="shared" si="49"/>
        <v>#REF!</v>
      </c>
      <c r="BO76" s="127" t="e">
        <f t="shared" si="49"/>
        <v>#REF!</v>
      </c>
      <c r="BP76" s="127" t="e">
        <f t="shared" si="49"/>
        <v>#REF!</v>
      </c>
      <c r="BQ76" s="127" t="e">
        <f t="shared" si="49"/>
        <v>#REF!</v>
      </c>
    </row>
    <row r="77" spans="2:69">
      <c r="B77" s="53"/>
      <c r="C77" s="74"/>
      <c r="D77" s="106" t="e">
        <f>#REF!</f>
        <v>#REF!</v>
      </c>
      <c r="E77" s="106" t="s">
        <v>123</v>
      </c>
      <c r="F77" s="108" t="e">
        <f>#REF!</f>
        <v>#REF!</v>
      </c>
      <c r="G77" s="107" t="e">
        <f>#REF!/화폐단위</f>
        <v>#REF!</v>
      </c>
      <c r="H77" s="7" t="e">
        <f t="shared" si="38"/>
        <v>#REF!</v>
      </c>
      <c r="I77" s="127" t="e">
        <f t="shared" si="39"/>
        <v>#REF!</v>
      </c>
      <c r="J77" s="127" t="e">
        <f t="shared" ref="J77:AO77" si="50">J$29*($F77/(J$3-I$3))</f>
        <v>#REF!</v>
      </c>
      <c r="K77" s="127" t="e">
        <f t="shared" si="50"/>
        <v>#REF!</v>
      </c>
      <c r="L77" s="127" t="e">
        <f t="shared" si="50"/>
        <v>#REF!</v>
      </c>
      <c r="M77" s="127" t="e">
        <f t="shared" si="50"/>
        <v>#REF!</v>
      </c>
      <c r="N77" s="127" t="e">
        <f t="shared" si="50"/>
        <v>#REF!</v>
      </c>
      <c r="O77" s="127" t="e">
        <f t="shared" si="50"/>
        <v>#REF!</v>
      </c>
      <c r="P77" s="127" t="e">
        <f t="shared" si="50"/>
        <v>#REF!</v>
      </c>
      <c r="Q77" s="127" t="e">
        <f t="shared" si="50"/>
        <v>#REF!</v>
      </c>
      <c r="R77" s="127" t="e">
        <f t="shared" si="50"/>
        <v>#REF!</v>
      </c>
      <c r="S77" s="127" t="e">
        <f t="shared" si="50"/>
        <v>#REF!</v>
      </c>
      <c r="T77" s="127" t="e">
        <f t="shared" si="50"/>
        <v>#REF!</v>
      </c>
      <c r="U77" s="127" t="e">
        <f t="shared" si="50"/>
        <v>#REF!</v>
      </c>
      <c r="V77" s="127" t="e">
        <f t="shared" si="50"/>
        <v>#REF!</v>
      </c>
      <c r="W77" s="127" t="e">
        <f t="shared" si="50"/>
        <v>#REF!</v>
      </c>
      <c r="X77" s="127" t="e">
        <f t="shared" si="50"/>
        <v>#REF!</v>
      </c>
      <c r="Y77" s="127" t="e">
        <f t="shared" si="50"/>
        <v>#REF!</v>
      </c>
      <c r="Z77" s="127" t="e">
        <f t="shared" si="50"/>
        <v>#REF!</v>
      </c>
      <c r="AA77" s="127" t="e">
        <f t="shared" si="50"/>
        <v>#REF!</v>
      </c>
      <c r="AB77" s="127" t="e">
        <f t="shared" si="50"/>
        <v>#REF!</v>
      </c>
      <c r="AC77" s="127" t="e">
        <f t="shared" si="50"/>
        <v>#REF!</v>
      </c>
      <c r="AD77" s="127" t="e">
        <f t="shared" si="50"/>
        <v>#REF!</v>
      </c>
      <c r="AE77" s="127" t="e">
        <f t="shared" si="50"/>
        <v>#REF!</v>
      </c>
      <c r="AF77" s="127" t="e">
        <f t="shared" si="50"/>
        <v>#REF!</v>
      </c>
      <c r="AG77" s="127" t="e">
        <f t="shared" si="50"/>
        <v>#REF!</v>
      </c>
      <c r="AH77" s="127" t="e">
        <f t="shared" si="50"/>
        <v>#REF!</v>
      </c>
      <c r="AI77" s="127" t="e">
        <f t="shared" si="50"/>
        <v>#REF!</v>
      </c>
      <c r="AJ77" s="127" t="e">
        <f t="shared" si="50"/>
        <v>#REF!</v>
      </c>
      <c r="AK77" s="127" t="e">
        <f t="shared" si="50"/>
        <v>#REF!</v>
      </c>
      <c r="AL77" s="127" t="e">
        <f t="shared" si="50"/>
        <v>#REF!</v>
      </c>
      <c r="AM77" s="127" t="e">
        <f t="shared" si="50"/>
        <v>#REF!</v>
      </c>
      <c r="AN77" s="127" t="e">
        <f t="shared" si="50"/>
        <v>#REF!</v>
      </c>
      <c r="AO77" s="127" t="e">
        <f t="shared" si="50"/>
        <v>#REF!</v>
      </c>
      <c r="AP77" s="127" t="e">
        <f t="shared" ref="AP77:BQ77" si="51">AP$29*($F77/(AP$3-AO$3))</f>
        <v>#REF!</v>
      </c>
      <c r="AQ77" s="127" t="e">
        <f t="shared" si="51"/>
        <v>#REF!</v>
      </c>
      <c r="AR77" s="127" t="e">
        <f t="shared" si="51"/>
        <v>#REF!</v>
      </c>
      <c r="AS77" s="127" t="e">
        <f t="shared" si="51"/>
        <v>#REF!</v>
      </c>
      <c r="AT77" s="127" t="e">
        <f t="shared" si="51"/>
        <v>#REF!</v>
      </c>
      <c r="AU77" s="127" t="e">
        <f t="shared" si="51"/>
        <v>#REF!</v>
      </c>
      <c r="AV77" s="127" t="e">
        <f t="shared" si="51"/>
        <v>#REF!</v>
      </c>
      <c r="AW77" s="127" t="e">
        <f t="shared" si="51"/>
        <v>#REF!</v>
      </c>
      <c r="AX77" s="127" t="e">
        <f t="shared" si="51"/>
        <v>#REF!</v>
      </c>
      <c r="AY77" s="127" t="e">
        <f t="shared" si="51"/>
        <v>#REF!</v>
      </c>
      <c r="AZ77" s="127" t="e">
        <f t="shared" si="51"/>
        <v>#REF!</v>
      </c>
      <c r="BA77" s="127" t="e">
        <f t="shared" si="51"/>
        <v>#REF!</v>
      </c>
      <c r="BB77" s="127" t="e">
        <f t="shared" si="51"/>
        <v>#REF!</v>
      </c>
      <c r="BC77" s="127" t="e">
        <f t="shared" si="51"/>
        <v>#REF!</v>
      </c>
      <c r="BD77" s="127" t="e">
        <f t="shared" si="51"/>
        <v>#REF!</v>
      </c>
      <c r="BE77" s="127" t="e">
        <f t="shared" si="51"/>
        <v>#REF!</v>
      </c>
      <c r="BF77" s="127" t="e">
        <f t="shared" si="51"/>
        <v>#REF!</v>
      </c>
      <c r="BG77" s="127" t="e">
        <f t="shared" si="51"/>
        <v>#REF!</v>
      </c>
      <c r="BH77" s="127" t="e">
        <f t="shared" si="51"/>
        <v>#REF!</v>
      </c>
      <c r="BI77" s="127" t="e">
        <f t="shared" si="51"/>
        <v>#REF!</v>
      </c>
      <c r="BJ77" s="127" t="e">
        <f t="shared" si="51"/>
        <v>#REF!</v>
      </c>
      <c r="BK77" s="127" t="e">
        <f t="shared" si="51"/>
        <v>#REF!</v>
      </c>
      <c r="BL77" s="127" t="e">
        <f t="shared" si="51"/>
        <v>#REF!</v>
      </c>
      <c r="BM77" s="127" t="e">
        <f t="shared" si="51"/>
        <v>#REF!</v>
      </c>
      <c r="BN77" s="127" t="e">
        <f t="shared" si="51"/>
        <v>#REF!</v>
      </c>
      <c r="BO77" s="127" t="e">
        <f t="shared" si="51"/>
        <v>#REF!</v>
      </c>
      <c r="BP77" s="127" t="e">
        <f t="shared" si="51"/>
        <v>#REF!</v>
      </c>
      <c r="BQ77" s="127" t="e">
        <f t="shared" si="51"/>
        <v>#REF!</v>
      </c>
    </row>
    <row r="78" spans="2:69">
      <c r="B78" s="53"/>
      <c r="C78" s="74"/>
      <c r="D78" s="106" t="e">
        <f>#REF!</f>
        <v>#REF!</v>
      </c>
      <c r="E78" s="106" t="s">
        <v>123</v>
      </c>
      <c r="F78" s="108" t="e">
        <f>#REF!</f>
        <v>#REF!</v>
      </c>
      <c r="G78" s="107" t="e">
        <f>#REF!/화폐단위</f>
        <v>#REF!</v>
      </c>
      <c r="H78" s="7" t="e">
        <f t="shared" si="38"/>
        <v>#REF!</v>
      </c>
      <c r="I78" s="127" t="e">
        <f t="shared" si="39"/>
        <v>#REF!</v>
      </c>
      <c r="J78" s="127" t="e">
        <f t="shared" ref="J78:AO78" si="52">J$29*($F78/(J$3-I$3))</f>
        <v>#REF!</v>
      </c>
      <c r="K78" s="127" t="e">
        <f t="shared" si="52"/>
        <v>#REF!</v>
      </c>
      <c r="L78" s="127" t="e">
        <f t="shared" si="52"/>
        <v>#REF!</v>
      </c>
      <c r="M78" s="127" t="e">
        <f t="shared" si="52"/>
        <v>#REF!</v>
      </c>
      <c r="N78" s="127" t="e">
        <f t="shared" si="52"/>
        <v>#REF!</v>
      </c>
      <c r="O78" s="127" t="e">
        <f t="shared" si="52"/>
        <v>#REF!</v>
      </c>
      <c r="P78" s="127" t="e">
        <f t="shared" si="52"/>
        <v>#REF!</v>
      </c>
      <c r="Q78" s="127" t="e">
        <f t="shared" si="52"/>
        <v>#REF!</v>
      </c>
      <c r="R78" s="127" t="e">
        <f t="shared" si="52"/>
        <v>#REF!</v>
      </c>
      <c r="S78" s="127" t="e">
        <f t="shared" si="52"/>
        <v>#REF!</v>
      </c>
      <c r="T78" s="127" t="e">
        <f t="shared" si="52"/>
        <v>#REF!</v>
      </c>
      <c r="U78" s="127" t="e">
        <f t="shared" si="52"/>
        <v>#REF!</v>
      </c>
      <c r="V78" s="127" t="e">
        <f t="shared" si="52"/>
        <v>#REF!</v>
      </c>
      <c r="W78" s="127" t="e">
        <f t="shared" si="52"/>
        <v>#REF!</v>
      </c>
      <c r="X78" s="127" t="e">
        <f t="shared" si="52"/>
        <v>#REF!</v>
      </c>
      <c r="Y78" s="127" t="e">
        <f t="shared" si="52"/>
        <v>#REF!</v>
      </c>
      <c r="Z78" s="127" t="e">
        <f t="shared" si="52"/>
        <v>#REF!</v>
      </c>
      <c r="AA78" s="127" t="e">
        <f t="shared" si="52"/>
        <v>#REF!</v>
      </c>
      <c r="AB78" s="127" t="e">
        <f t="shared" si="52"/>
        <v>#REF!</v>
      </c>
      <c r="AC78" s="127" t="e">
        <f t="shared" si="52"/>
        <v>#REF!</v>
      </c>
      <c r="AD78" s="127" t="e">
        <f t="shared" si="52"/>
        <v>#REF!</v>
      </c>
      <c r="AE78" s="127" t="e">
        <f t="shared" si="52"/>
        <v>#REF!</v>
      </c>
      <c r="AF78" s="127" t="e">
        <f t="shared" si="52"/>
        <v>#REF!</v>
      </c>
      <c r="AG78" s="127" t="e">
        <f t="shared" si="52"/>
        <v>#REF!</v>
      </c>
      <c r="AH78" s="127" t="e">
        <f t="shared" si="52"/>
        <v>#REF!</v>
      </c>
      <c r="AI78" s="127" t="e">
        <f t="shared" si="52"/>
        <v>#REF!</v>
      </c>
      <c r="AJ78" s="127" t="e">
        <f t="shared" si="52"/>
        <v>#REF!</v>
      </c>
      <c r="AK78" s="127" t="e">
        <f t="shared" si="52"/>
        <v>#REF!</v>
      </c>
      <c r="AL78" s="127" t="e">
        <f t="shared" si="52"/>
        <v>#REF!</v>
      </c>
      <c r="AM78" s="127" t="e">
        <f t="shared" si="52"/>
        <v>#REF!</v>
      </c>
      <c r="AN78" s="127" t="e">
        <f t="shared" si="52"/>
        <v>#REF!</v>
      </c>
      <c r="AO78" s="127" t="e">
        <f t="shared" si="52"/>
        <v>#REF!</v>
      </c>
      <c r="AP78" s="127" t="e">
        <f t="shared" ref="AP78:BQ78" si="53">AP$29*($F78/(AP$3-AO$3))</f>
        <v>#REF!</v>
      </c>
      <c r="AQ78" s="127" t="e">
        <f t="shared" si="53"/>
        <v>#REF!</v>
      </c>
      <c r="AR78" s="127" t="e">
        <f t="shared" si="53"/>
        <v>#REF!</v>
      </c>
      <c r="AS78" s="127" t="e">
        <f t="shared" si="53"/>
        <v>#REF!</v>
      </c>
      <c r="AT78" s="127" t="e">
        <f t="shared" si="53"/>
        <v>#REF!</v>
      </c>
      <c r="AU78" s="127" t="e">
        <f t="shared" si="53"/>
        <v>#REF!</v>
      </c>
      <c r="AV78" s="127" t="e">
        <f t="shared" si="53"/>
        <v>#REF!</v>
      </c>
      <c r="AW78" s="127" t="e">
        <f t="shared" si="53"/>
        <v>#REF!</v>
      </c>
      <c r="AX78" s="127" t="e">
        <f t="shared" si="53"/>
        <v>#REF!</v>
      </c>
      <c r="AY78" s="127" t="e">
        <f t="shared" si="53"/>
        <v>#REF!</v>
      </c>
      <c r="AZ78" s="127" t="e">
        <f t="shared" si="53"/>
        <v>#REF!</v>
      </c>
      <c r="BA78" s="127" t="e">
        <f t="shared" si="53"/>
        <v>#REF!</v>
      </c>
      <c r="BB78" s="127" t="e">
        <f t="shared" si="53"/>
        <v>#REF!</v>
      </c>
      <c r="BC78" s="127" t="e">
        <f t="shared" si="53"/>
        <v>#REF!</v>
      </c>
      <c r="BD78" s="127" t="e">
        <f t="shared" si="53"/>
        <v>#REF!</v>
      </c>
      <c r="BE78" s="127" t="e">
        <f t="shared" si="53"/>
        <v>#REF!</v>
      </c>
      <c r="BF78" s="127" t="e">
        <f t="shared" si="53"/>
        <v>#REF!</v>
      </c>
      <c r="BG78" s="127" t="e">
        <f t="shared" si="53"/>
        <v>#REF!</v>
      </c>
      <c r="BH78" s="127" t="e">
        <f t="shared" si="53"/>
        <v>#REF!</v>
      </c>
      <c r="BI78" s="127" t="e">
        <f t="shared" si="53"/>
        <v>#REF!</v>
      </c>
      <c r="BJ78" s="127" t="e">
        <f t="shared" si="53"/>
        <v>#REF!</v>
      </c>
      <c r="BK78" s="127" t="e">
        <f t="shared" si="53"/>
        <v>#REF!</v>
      </c>
      <c r="BL78" s="127" t="e">
        <f t="shared" si="53"/>
        <v>#REF!</v>
      </c>
      <c r="BM78" s="127" t="e">
        <f t="shared" si="53"/>
        <v>#REF!</v>
      </c>
      <c r="BN78" s="127" t="e">
        <f t="shared" si="53"/>
        <v>#REF!</v>
      </c>
      <c r="BO78" s="127" t="e">
        <f t="shared" si="53"/>
        <v>#REF!</v>
      </c>
      <c r="BP78" s="127" t="e">
        <f t="shared" si="53"/>
        <v>#REF!</v>
      </c>
      <c r="BQ78" s="127" t="e">
        <f t="shared" si="53"/>
        <v>#REF!</v>
      </c>
    </row>
    <row r="79" spans="2:69">
      <c r="B79" s="53"/>
      <c r="C79" s="74"/>
      <c r="D79" s="106" t="s">
        <v>5</v>
      </c>
      <c r="E79" s="106"/>
      <c r="F79" s="107"/>
      <c r="G79" s="107"/>
      <c r="H79" s="127" t="e">
        <f>SUM(H71:H74)-SUM(H75:H78)</f>
        <v>#REF!</v>
      </c>
      <c r="I79" s="127" t="e">
        <f>SUM(I71:I74)-SUM(I75:I78)</f>
        <v>#REF!</v>
      </c>
      <c r="J79" s="127" t="e">
        <f t="shared" ref="J79:BQ79" si="54">SUM(J71:J74)-SUM(J75:J78)</f>
        <v>#REF!</v>
      </c>
      <c r="K79" s="127" t="e">
        <f t="shared" si="54"/>
        <v>#REF!</v>
      </c>
      <c r="L79" s="127" t="e">
        <f t="shared" si="54"/>
        <v>#REF!</v>
      </c>
      <c r="M79" s="127" t="e">
        <f t="shared" si="54"/>
        <v>#REF!</v>
      </c>
      <c r="N79" s="127" t="e">
        <f t="shared" si="54"/>
        <v>#REF!</v>
      </c>
      <c r="O79" s="127" t="e">
        <f t="shared" si="54"/>
        <v>#REF!</v>
      </c>
      <c r="P79" s="127" t="e">
        <f t="shared" si="54"/>
        <v>#REF!</v>
      </c>
      <c r="Q79" s="127" t="e">
        <f t="shared" si="54"/>
        <v>#REF!</v>
      </c>
      <c r="R79" s="127" t="e">
        <f t="shared" si="54"/>
        <v>#REF!</v>
      </c>
      <c r="S79" s="127" t="e">
        <f t="shared" si="54"/>
        <v>#REF!</v>
      </c>
      <c r="T79" s="127" t="e">
        <f t="shared" si="54"/>
        <v>#REF!</v>
      </c>
      <c r="U79" s="127" t="e">
        <f t="shared" si="54"/>
        <v>#REF!</v>
      </c>
      <c r="V79" s="127" t="e">
        <f t="shared" si="54"/>
        <v>#REF!</v>
      </c>
      <c r="W79" s="127" t="e">
        <f t="shared" si="54"/>
        <v>#REF!</v>
      </c>
      <c r="X79" s="127" t="e">
        <f t="shared" si="54"/>
        <v>#REF!</v>
      </c>
      <c r="Y79" s="127" t="e">
        <f t="shared" si="54"/>
        <v>#REF!</v>
      </c>
      <c r="Z79" s="127" t="e">
        <f t="shared" si="54"/>
        <v>#REF!</v>
      </c>
      <c r="AA79" s="127" t="e">
        <f t="shared" si="54"/>
        <v>#REF!</v>
      </c>
      <c r="AB79" s="127" t="e">
        <f t="shared" si="54"/>
        <v>#REF!</v>
      </c>
      <c r="AC79" s="127" t="e">
        <f t="shared" si="54"/>
        <v>#REF!</v>
      </c>
      <c r="AD79" s="127" t="e">
        <f t="shared" si="54"/>
        <v>#REF!</v>
      </c>
      <c r="AE79" s="127" t="e">
        <f t="shared" si="54"/>
        <v>#REF!</v>
      </c>
      <c r="AF79" s="127" t="e">
        <f t="shared" si="54"/>
        <v>#REF!</v>
      </c>
      <c r="AG79" s="127" t="e">
        <f t="shared" si="54"/>
        <v>#REF!</v>
      </c>
      <c r="AH79" s="127" t="e">
        <f t="shared" si="54"/>
        <v>#REF!</v>
      </c>
      <c r="AI79" s="127" t="e">
        <f t="shared" si="54"/>
        <v>#REF!</v>
      </c>
      <c r="AJ79" s="127" t="e">
        <f t="shared" si="54"/>
        <v>#REF!</v>
      </c>
      <c r="AK79" s="127" t="e">
        <f t="shared" si="54"/>
        <v>#REF!</v>
      </c>
      <c r="AL79" s="127" t="e">
        <f t="shared" si="54"/>
        <v>#REF!</v>
      </c>
      <c r="AM79" s="127" t="e">
        <f t="shared" si="54"/>
        <v>#REF!</v>
      </c>
      <c r="AN79" s="127" t="e">
        <f t="shared" si="54"/>
        <v>#REF!</v>
      </c>
      <c r="AO79" s="127" t="e">
        <f t="shared" si="54"/>
        <v>#REF!</v>
      </c>
      <c r="AP79" s="127" t="e">
        <f t="shared" si="54"/>
        <v>#REF!</v>
      </c>
      <c r="AQ79" s="127" t="e">
        <f t="shared" si="54"/>
        <v>#REF!</v>
      </c>
      <c r="AR79" s="127" t="e">
        <f t="shared" si="54"/>
        <v>#REF!</v>
      </c>
      <c r="AS79" s="127" t="e">
        <f t="shared" si="54"/>
        <v>#REF!</v>
      </c>
      <c r="AT79" s="127" t="e">
        <f t="shared" si="54"/>
        <v>#REF!</v>
      </c>
      <c r="AU79" s="127" t="e">
        <f t="shared" si="54"/>
        <v>#REF!</v>
      </c>
      <c r="AV79" s="127" t="e">
        <f t="shared" si="54"/>
        <v>#REF!</v>
      </c>
      <c r="AW79" s="127" t="e">
        <f t="shared" si="54"/>
        <v>#REF!</v>
      </c>
      <c r="AX79" s="127" t="e">
        <f t="shared" si="54"/>
        <v>#REF!</v>
      </c>
      <c r="AY79" s="127" t="e">
        <f t="shared" si="54"/>
        <v>#REF!</v>
      </c>
      <c r="AZ79" s="127" t="e">
        <f t="shared" si="54"/>
        <v>#REF!</v>
      </c>
      <c r="BA79" s="127" t="e">
        <f t="shared" si="54"/>
        <v>#REF!</v>
      </c>
      <c r="BB79" s="127" t="e">
        <f t="shared" si="54"/>
        <v>#REF!</v>
      </c>
      <c r="BC79" s="127" t="e">
        <f t="shared" si="54"/>
        <v>#REF!</v>
      </c>
      <c r="BD79" s="127" t="e">
        <f t="shared" si="54"/>
        <v>#REF!</v>
      </c>
      <c r="BE79" s="127" t="e">
        <f t="shared" si="54"/>
        <v>#REF!</v>
      </c>
      <c r="BF79" s="127" t="e">
        <f t="shared" si="54"/>
        <v>#REF!</v>
      </c>
      <c r="BG79" s="127" t="e">
        <f t="shared" si="54"/>
        <v>#REF!</v>
      </c>
      <c r="BH79" s="127" t="e">
        <f t="shared" si="54"/>
        <v>#REF!</v>
      </c>
      <c r="BI79" s="127" t="e">
        <f t="shared" si="54"/>
        <v>#REF!</v>
      </c>
      <c r="BJ79" s="127" t="e">
        <f t="shared" si="54"/>
        <v>#REF!</v>
      </c>
      <c r="BK79" s="127" t="e">
        <f t="shared" si="54"/>
        <v>#REF!</v>
      </c>
      <c r="BL79" s="127" t="e">
        <f t="shared" si="54"/>
        <v>#REF!</v>
      </c>
      <c r="BM79" s="127" t="e">
        <f t="shared" si="54"/>
        <v>#REF!</v>
      </c>
      <c r="BN79" s="127" t="e">
        <f t="shared" si="54"/>
        <v>#REF!</v>
      </c>
      <c r="BO79" s="127" t="e">
        <f t="shared" si="54"/>
        <v>#REF!</v>
      </c>
      <c r="BP79" s="127" t="e">
        <f t="shared" si="54"/>
        <v>#REF!</v>
      </c>
      <c r="BQ79" s="127" t="e">
        <f t="shared" si="54"/>
        <v>#REF!</v>
      </c>
    </row>
    <row r="80" spans="2:69">
      <c r="B80" s="53"/>
      <c r="C80" s="74"/>
      <c r="D80" s="106" t="s">
        <v>4</v>
      </c>
      <c r="E80" s="106"/>
      <c r="F80" s="107"/>
      <c r="G80" s="107"/>
      <c r="H80" s="7"/>
      <c r="I80" s="127"/>
      <c r="J80" s="127" t="e">
        <f>J79-I79</f>
        <v>#REF!</v>
      </c>
      <c r="K80" s="127" t="e">
        <f>K79-J79</f>
        <v>#REF!</v>
      </c>
      <c r="L80" s="127" t="e">
        <f>L79-K79</f>
        <v>#REF!</v>
      </c>
      <c r="M80" s="127" t="e">
        <f>M79-L79</f>
        <v>#REF!</v>
      </c>
      <c r="N80" s="127" t="e">
        <f>N79-M79</f>
        <v>#REF!</v>
      </c>
      <c r="O80" s="127" t="e">
        <f t="shared" ref="O80:BQ80" si="55">O79-N79</f>
        <v>#REF!</v>
      </c>
      <c r="P80" s="127" t="e">
        <f t="shared" si="55"/>
        <v>#REF!</v>
      </c>
      <c r="Q80" s="127" t="e">
        <f t="shared" si="55"/>
        <v>#REF!</v>
      </c>
      <c r="R80" s="127" t="e">
        <f t="shared" si="55"/>
        <v>#REF!</v>
      </c>
      <c r="S80" s="127" t="e">
        <f t="shared" si="55"/>
        <v>#REF!</v>
      </c>
      <c r="T80" s="127" t="e">
        <f t="shared" si="55"/>
        <v>#REF!</v>
      </c>
      <c r="U80" s="127" t="e">
        <f t="shared" si="55"/>
        <v>#REF!</v>
      </c>
      <c r="V80" s="127" t="e">
        <f t="shared" si="55"/>
        <v>#REF!</v>
      </c>
      <c r="W80" s="127" t="e">
        <f t="shared" si="55"/>
        <v>#REF!</v>
      </c>
      <c r="X80" s="127" t="e">
        <f t="shared" si="55"/>
        <v>#REF!</v>
      </c>
      <c r="Y80" s="127" t="e">
        <f t="shared" si="55"/>
        <v>#REF!</v>
      </c>
      <c r="Z80" s="127" t="e">
        <f t="shared" si="55"/>
        <v>#REF!</v>
      </c>
      <c r="AA80" s="127" t="e">
        <f t="shared" si="55"/>
        <v>#REF!</v>
      </c>
      <c r="AB80" s="127" t="e">
        <f t="shared" si="55"/>
        <v>#REF!</v>
      </c>
      <c r="AC80" s="127" t="e">
        <f t="shared" si="55"/>
        <v>#REF!</v>
      </c>
      <c r="AD80" s="127" t="e">
        <f t="shared" si="55"/>
        <v>#REF!</v>
      </c>
      <c r="AE80" s="127" t="e">
        <f t="shared" si="55"/>
        <v>#REF!</v>
      </c>
      <c r="AF80" s="127" t="e">
        <f t="shared" si="55"/>
        <v>#REF!</v>
      </c>
      <c r="AG80" s="127" t="e">
        <f t="shared" si="55"/>
        <v>#REF!</v>
      </c>
      <c r="AH80" s="127" t="e">
        <f t="shared" si="55"/>
        <v>#REF!</v>
      </c>
      <c r="AI80" s="127" t="e">
        <f t="shared" si="55"/>
        <v>#REF!</v>
      </c>
      <c r="AJ80" s="127" t="e">
        <f t="shared" si="55"/>
        <v>#REF!</v>
      </c>
      <c r="AK80" s="127" t="e">
        <f t="shared" si="55"/>
        <v>#REF!</v>
      </c>
      <c r="AL80" s="127" t="e">
        <f t="shared" si="55"/>
        <v>#REF!</v>
      </c>
      <c r="AM80" s="127" t="e">
        <f t="shared" si="55"/>
        <v>#REF!</v>
      </c>
      <c r="AN80" s="127" t="e">
        <f t="shared" si="55"/>
        <v>#REF!</v>
      </c>
      <c r="AO80" s="127" t="e">
        <f t="shared" si="55"/>
        <v>#REF!</v>
      </c>
      <c r="AP80" s="127" t="e">
        <f t="shared" si="55"/>
        <v>#REF!</v>
      </c>
      <c r="AQ80" s="127" t="e">
        <f t="shared" si="55"/>
        <v>#REF!</v>
      </c>
      <c r="AR80" s="127" t="e">
        <f t="shared" si="55"/>
        <v>#REF!</v>
      </c>
      <c r="AS80" s="127" t="e">
        <f t="shared" si="55"/>
        <v>#REF!</v>
      </c>
      <c r="AT80" s="127" t="e">
        <f t="shared" si="55"/>
        <v>#REF!</v>
      </c>
      <c r="AU80" s="127" t="e">
        <f t="shared" si="55"/>
        <v>#REF!</v>
      </c>
      <c r="AV80" s="127" t="e">
        <f t="shared" si="55"/>
        <v>#REF!</v>
      </c>
      <c r="AW80" s="127" t="e">
        <f t="shared" si="55"/>
        <v>#REF!</v>
      </c>
      <c r="AX80" s="127" t="e">
        <f t="shared" si="55"/>
        <v>#REF!</v>
      </c>
      <c r="AY80" s="127" t="e">
        <f t="shared" si="55"/>
        <v>#REF!</v>
      </c>
      <c r="AZ80" s="127" t="e">
        <f t="shared" si="55"/>
        <v>#REF!</v>
      </c>
      <c r="BA80" s="127" t="e">
        <f t="shared" si="55"/>
        <v>#REF!</v>
      </c>
      <c r="BB80" s="127" t="e">
        <f t="shared" si="55"/>
        <v>#REF!</v>
      </c>
      <c r="BC80" s="127" t="e">
        <f t="shared" si="55"/>
        <v>#REF!</v>
      </c>
      <c r="BD80" s="127" t="e">
        <f t="shared" si="55"/>
        <v>#REF!</v>
      </c>
      <c r="BE80" s="127" t="e">
        <f t="shared" si="55"/>
        <v>#REF!</v>
      </c>
      <c r="BF80" s="127" t="e">
        <f t="shared" si="55"/>
        <v>#REF!</v>
      </c>
      <c r="BG80" s="127" t="e">
        <f t="shared" si="55"/>
        <v>#REF!</v>
      </c>
      <c r="BH80" s="127" t="e">
        <f t="shared" si="55"/>
        <v>#REF!</v>
      </c>
      <c r="BI80" s="127" t="e">
        <f t="shared" si="55"/>
        <v>#REF!</v>
      </c>
      <c r="BJ80" s="127" t="e">
        <f t="shared" si="55"/>
        <v>#REF!</v>
      </c>
      <c r="BK80" s="127" t="e">
        <f t="shared" si="55"/>
        <v>#REF!</v>
      </c>
      <c r="BL80" s="127" t="e">
        <f t="shared" si="55"/>
        <v>#REF!</v>
      </c>
      <c r="BM80" s="127" t="e">
        <f t="shared" si="55"/>
        <v>#REF!</v>
      </c>
      <c r="BN80" s="127" t="e">
        <f t="shared" si="55"/>
        <v>#REF!</v>
      </c>
      <c r="BO80" s="127" t="e">
        <f t="shared" si="55"/>
        <v>#REF!</v>
      </c>
      <c r="BP80" s="127" t="e">
        <f t="shared" si="55"/>
        <v>#REF!</v>
      </c>
      <c r="BQ80" s="127" t="e">
        <f t="shared" si="55"/>
        <v>#REF!</v>
      </c>
    </row>
    <row r="82" spans="2:69">
      <c r="B82" s="98" t="s">
        <v>20</v>
      </c>
      <c r="C82" s="98"/>
      <c r="D82" s="99"/>
      <c r="E82" s="99"/>
      <c r="F82" s="76"/>
      <c r="G82" s="76"/>
      <c r="H82" s="115"/>
      <c r="I82" s="98"/>
      <c r="J82" s="98"/>
      <c r="K82" s="98"/>
      <c r="L82" s="98"/>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98"/>
      <c r="BA82" s="98"/>
      <c r="BB82" s="98"/>
      <c r="BC82" s="98"/>
      <c r="BD82" s="98"/>
      <c r="BE82" s="98"/>
      <c r="BF82" s="98"/>
      <c r="BG82" s="98"/>
      <c r="BH82" s="98"/>
      <c r="BI82" s="98"/>
      <c r="BJ82" s="98"/>
      <c r="BK82" s="98"/>
      <c r="BL82" s="98"/>
      <c r="BM82" s="98"/>
      <c r="BN82" s="98"/>
      <c r="BO82" s="98"/>
      <c r="BP82" s="98"/>
      <c r="BQ82" s="98"/>
    </row>
    <row r="83" spans="2:69">
      <c r="B83" s="53"/>
      <c r="C83" s="74"/>
      <c r="D83" s="106"/>
      <c r="E83" s="106"/>
      <c r="F83" s="107"/>
      <c r="G83" s="10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row>
    <row r="84" spans="2:69">
      <c r="B84" s="53"/>
      <c r="C84" s="74" t="s">
        <v>101</v>
      </c>
      <c r="D84" s="106"/>
      <c r="E84" s="106"/>
      <c r="F84" s="107"/>
      <c r="G84" s="10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row>
    <row r="85" spans="2:69">
      <c r="B85" s="53"/>
      <c r="C85" s="135"/>
      <c r="D85" s="106" t="s">
        <v>104</v>
      </c>
      <c r="E85" s="106"/>
      <c r="F85" s="107"/>
      <c r="G85" s="107"/>
      <c r="H85" s="130"/>
      <c r="I85" s="53"/>
      <c r="J85" s="130">
        <f>IFERROR(_xlfn.XLOOKUP(J$6,#REF!,#REF!)*(단위기간/회계기간)/화폐단위,0)</f>
        <v>0</v>
      </c>
      <c r="K85" s="130">
        <f>IFERROR(_xlfn.XLOOKUP(K$6,#REF!,#REF!)*(단위기간/회계기간)/화폐단위,0)</f>
        <v>0</v>
      </c>
      <c r="L85" s="130">
        <f>IFERROR(_xlfn.XLOOKUP(L$6,#REF!,#REF!)*(단위기간/회계기간)/화폐단위,0)</f>
        <v>0</v>
      </c>
      <c r="M85" s="130">
        <f>IFERROR(_xlfn.XLOOKUP(M$6,#REF!,#REF!)*(단위기간/회계기간)/화폐단위,0)</f>
        <v>0</v>
      </c>
      <c r="N85" s="130">
        <f>IFERROR(_xlfn.XLOOKUP(N$6,#REF!,#REF!)*(단위기간/회계기간)/화폐단위,0)</f>
        <v>0</v>
      </c>
      <c r="O85" s="130">
        <f>IFERROR(_xlfn.XLOOKUP(O$6,#REF!,#REF!)*(단위기간/회계기간)/화폐단위,0)</f>
        <v>0</v>
      </c>
      <c r="P85" s="130">
        <f>IFERROR(_xlfn.XLOOKUP(P$6,#REF!,#REF!)*(단위기간/회계기간)/화폐단위,0)</f>
        <v>0</v>
      </c>
      <c r="Q85" s="130">
        <f>IFERROR(_xlfn.XLOOKUP(Q$6,#REF!,#REF!)*(단위기간/회계기간)/화폐단위,0)</f>
        <v>0</v>
      </c>
      <c r="R85" s="130">
        <f>IFERROR(_xlfn.XLOOKUP(R$6,#REF!,#REF!)*(단위기간/회계기간)/화폐단위,0)</f>
        <v>0</v>
      </c>
      <c r="S85" s="130">
        <f>IFERROR(_xlfn.XLOOKUP(S$6,#REF!,#REF!)*(단위기간/회계기간)/화폐단위,0)</f>
        <v>0</v>
      </c>
      <c r="T85" s="130">
        <f>IFERROR(_xlfn.XLOOKUP(T$6,#REF!,#REF!)*(단위기간/회계기간)/화폐단위,0)</f>
        <v>0</v>
      </c>
      <c r="U85" s="130">
        <f>IFERROR(_xlfn.XLOOKUP(U$6,#REF!,#REF!)*(단위기간/회계기간)/화폐단위,0)</f>
        <v>0</v>
      </c>
      <c r="V85" s="130">
        <f>IFERROR(_xlfn.XLOOKUP(V$6,#REF!,#REF!)*(단위기간/회계기간)/화폐단위,0)</f>
        <v>0</v>
      </c>
      <c r="W85" s="130">
        <f>IFERROR(_xlfn.XLOOKUP(W$6,#REF!,#REF!)*(단위기간/회계기간)/화폐단위,0)</f>
        <v>0</v>
      </c>
      <c r="X85" s="130">
        <f>IFERROR(_xlfn.XLOOKUP(X$6,#REF!,#REF!)*(단위기간/회계기간)/화폐단위,0)</f>
        <v>0</v>
      </c>
      <c r="Y85" s="130">
        <f>IFERROR(_xlfn.XLOOKUP(Y$6,#REF!,#REF!)*(단위기간/회계기간)/화폐단위,0)</f>
        <v>0</v>
      </c>
      <c r="Z85" s="130">
        <f>IFERROR(_xlfn.XLOOKUP(Z$6,#REF!,#REF!)*(단위기간/회계기간)/화폐단위,0)</f>
        <v>0</v>
      </c>
      <c r="AA85" s="130">
        <f>IFERROR(_xlfn.XLOOKUP(AA$6,#REF!,#REF!)*(단위기간/회계기간)/화폐단위,0)</f>
        <v>0</v>
      </c>
      <c r="AB85" s="130">
        <f>IFERROR(_xlfn.XLOOKUP(AB$6,#REF!,#REF!)*(단위기간/회계기간)/화폐단위,0)</f>
        <v>0</v>
      </c>
      <c r="AC85" s="130">
        <f>IFERROR(_xlfn.XLOOKUP(AC$6,#REF!,#REF!)*(단위기간/회계기간)/화폐단위,0)</f>
        <v>0</v>
      </c>
      <c r="AD85" s="130">
        <f>IFERROR(_xlfn.XLOOKUP(AD$6,#REF!,#REF!)*(단위기간/회계기간)/화폐단위,0)</f>
        <v>0</v>
      </c>
      <c r="AE85" s="130">
        <f>IFERROR(_xlfn.XLOOKUP(AE$6,#REF!,#REF!)*(단위기간/회계기간)/화폐단위,0)</f>
        <v>0</v>
      </c>
      <c r="AF85" s="130">
        <f>IFERROR(_xlfn.XLOOKUP(AF$6,#REF!,#REF!)*(단위기간/회계기간)/화폐단위,0)</f>
        <v>0</v>
      </c>
      <c r="AG85" s="130">
        <f>IFERROR(_xlfn.XLOOKUP(AG$6,#REF!,#REF!)*(단위기간/회계기간)/화폐단위,0)</f>
        <v>0</v>
      </c>
      <c r="AH85" s="130">
        <f>IFERROR(_xlfn.XLOOKUP(AH$6,#REF!,#REF!)*(단위기간/회계기간)/화폐단위,0)</f>
        <v>0</v>
      </c>
      <c r="AI85" s="130">
        <f>IFERROR(_xlfn.XLOOKUP(AI$6,#REF!,#REF!)*(단위기간/회계기간)/화폐단위,0)</f>
        <v>0</v>
      </c>
      <c r="AJ85" s="130">
        <f>IFERROR(_xlfn.XLOOKUP(AJ$6,#REF!,#REF!)*(단위기간/회계기간)/화폐단위,0)</f>
        <v>0</v>
      </c>
      <c r="AK85" s="130">
        <f>IFERROR(_xlfn.XLOOKUP(AK$6,#REF!,#REF!)*(단위기간/회계기간)/화폐단위,0)</f>
        <v>0</v>
      </c>
      <c r="AL85" s="130">
        <f>IFERROR(_xlfn.XLOOKUP(AL$6,#REF!,#REF!)*(단위기간/회계기간)/화폐단위,0)</f>
        <v>0</v>
      </c>
      <c r="AM85" s="130">
        <f>IFERROR(_xlfn.XLOOKUP(AM$6,#REF!,#REF!)*(단위기간/회계기간)/화폐단위,0)</f>
        <v>0</v>
      </c>
      <c r="AN85" s="130">
        <f>IFERROR(_xlfn.XLOOKUP(AN$6,#REF!,#REF!)*(단위기간/회계기간)/화폐단위,0)</f>
        <v>0</v>
      </c>
      <c r="AO85" s="130">
        <f>IFERROR(_xlfn.XLOOKUP(AO$6,#REF!,#REF!)*(단위기간/회계기간)/화폐단위,0)</f>
        <v>0</v>
      </c>
      <c r="AP85" s="130">
        <f>IFERROR(_xlfn.XLOOKUP(AP$6,#REF!,#REF!)*(단위기간/회계기간)/화폐단위,0)</f>
        <v>0</v>
      </c>
      <c r="AQ85" s="130">
        <f>IFERROR(_xlfn.XLOOKUP(AQ$6,#REF!,#REF!)*(단위기간/회계기간)/화폐단위,0)</f>
        <v>0</v>
      </c>
      <c r="AR85" s="130">
        <f>IFERROR(_xlfn.XLOOKUP(AR$6,#REF!,#REF!)*(단위기간/회계기간)/화폐단위,0)</f>
        <v>0</v>
      </c>
      <c r="AS85" s="130">
        <f>IFERROR(_xlfn.XLOOKUP(AS$6,#REF!,#REF!)*(단위기간/회계기간)/화폐단위,0)</f>
        <v>0</v>
      </c>
      <c r="AT85" s="130">
        <f>IFERROR(_xlfn.XLOOKUP(AT$6,#REF!,#REF!)*(단위기간/회계기간)/화폐단위,0)</f>
        <v>0</v>
      </c>
      <c r="AU85" s="130">
        <f>IFERROR(_xlfn.XLOOKUP(AU$6,#REF!,#REF!)*(단위기간/회계기간)/화폐단위,0)</f>
        <v>0</v>
      </c>
      <c r="AV85" s="130">
        <f>IFERROR(_xlfn.XLOOKUP(AV$6,#REF!,#REF!)*(단위기간/회계기간)/화폐단위,0)</f>
        <v>0</v>
      </c>
      <c r="AW85" s="130">
        <f>IFERROR(_xlfn.XLOOKUP(AW$6,#REF!,#REF!)*(단위기간/회계기간)/화폐단위,0)</f>
        <v>0</v>
      </c>
      <c r="AX85" s="130">
        <f>IFERROR(_xlfn.XLOOKUP(AX$6,#REF!,#REF!)*(단위기간/회계기간)/화폐단위,0)</f>
        <v>0</v>
      </c>
      <c r="AY85" s="130">
        <f>IFERROR(_xlfn.XLOOKUP(AY$6,#REF!,#REF!)*(단위기간/회계기간)/화폐단위,0)</f>
        <v>0</v>
      </c>
      <c r="AZ85" s="130">
        <f>IFERROR(_xlfn.XLOOKUP(AZ$6,#REF!,#REF!)*(단위기간/회계기간)/화폐단위,0)</f>
        <v>0</v>
      </c>
      <c r="BA85" s="130">
        <f>IFERROR(_xlfn.XLOOKUP(BA$6,#REF!,#REF!)*(단위기간/회계기간)/화폐단위,0)</f>
        <v>0</v>
      </c>
      <c r="BB85" s="130">
        <f>IFERROR(_xlfn.XLOOKUP(BB$6,#REF!,#REF!)*(단위기간/회계기간)/화폐단위,0)</f>
        <v>0</v>
      </c>
      <c r="BC85" s="130">
        <f>IFERROR(_xlfn.XLOOKUP(BC$6,#REF!,#REF!)*(단위기간/회계기간)/화폐단위,0)</f>
        <v>0</v>
      </c>
      <c r="BD85" s="130">
        <f>IFERROR(_xlfn.XLOOKUP(BD$6,#REF!,#REF!)*(단위기간/회계기간)/화폐단위,0)</f>
        <v>0</v>
      </c>
      <c r="BE85" s="130">
        <f>IFERROR(_xlfn.XLOOKUP(BE$6,#REF!,#REF!)*(단위기간/회계기간)/화폐단위,0)</f>
        <v>0</v>
      </c>
      <c r="BF85" s="130">
        <f>IFERROR(_xlfn.XLOOKUP(BF$6,#REF!,#REF!)*(단위기간/회계기간)/화폐단위,0)</f>
        <v>0</v>
      </c>
      <c r="BG85" s="130">
        <f>IFERROR(_xlfn.XLOOKUP(BG$6,#REF!,#REF!)*(단위기간/회계기간)/화폐단위,0)</f>
        <v>0</v>
      </c>
      <c r="BH85" s="130">
        <f>IFERROR(_xlfn.XLOOKUP(BH$6,#REF!,#REF!)*(단위기간/회계기간)/화폐단위,0)</f>
        <v>0</v>
      </c>
      <c r="BI85" s="130">
        <f>IFERROR(_xlfn.XLOOKUP(BI$6,#REF!,#REF!)*(단위기간/회계기간)/화폐단위,0)</f>
        <v>0</v>
      </c>
      <c r="BJ85" s="130">
        <f>IFERROR(_xlfn.XLOOKUP(BJ$6,#REF!,#REF!)*(단위기간/회계기간)/화폐단위,0)</f>
        <v>0</v>
      </c>
      <c r="BK85" s="130">
        <f>IFERROR(_xlfn.XLOOKUP(BK$6,#REF!,#REF!)*(단위기간/회계기간)/화폐단위,0)</f>
        <v>0</v>
      </c>
      <c r="BL85" s="130">
        <f>IFERROR(_xlfn.XLOOKUP(BL$6,#REF!,#REF!)*(단위기간/회계기간)/화폐단위,0)</f>
        <v>0</v>
      </c>
      <c r="BM85" s="130">
        <f>IFERROR(_xlfn.XLOOKUP(BM$6,#REF!,#REF!)*(단위기간/회계기간)/화폐단위,0)</f>
        <v>0</v>
      </c>
      <c r="BN85" s="130">
        <f>IFERROR(_xlfn.XLOOKUP(BN$6,#REF!,#REF!)*(단위기간/회계기간)/화폐단위,0)</f>
        <v>0</v>
      </c>
      <c r="BO85" s="130">
        <f>IFERROR(_xlfn.XLOOKUP(BO$6,#REF!,#REF!)*(단위기간/회계기간)/화폐단위,0)</f>
        <v>0</v>
      </c>
      <c r="BP85" s="130">
        <f>IFERROR(_xlfn.XLOOKUP(BP$6,#REF!,#REF!)*(단위기간/회계기간)/화폐단위,0)</f>
        <v>0</v>
      </c>
      <c r="BQ85" s="130">
        <f>IFERROR(_xlfn.XLOOKUP(BQ$6,#REF!,#REF!)*(단위기간/회계기간)/화폐단위,0)</f>
        <v>0</v>
      </c>
    </row>
    <row r="86" spans="2:69">
      <c r="B86" s="53"/>
      <c r="C86" s="74"/>
      <c r="D86" s="106" t="s">
        <v>105</v>
      </c>
      <c r="E86" s="106"/>
      <c r="F86" s="107"/>
      <c r="G86" s="107"/>
      <c r="H86" s="130"/>
      <c r="I86" s="53"/>
      <c r="J86" s="136">
        <f>IFERROR(_xlfn.XLOOKUP(J$6,#REF!,#REF!)*(단위기간/회계기간)/화폐단위,0)</f>
        <v>0</v>
      </c>
      <c r="K86" s="136">
        <f>IFERROR(_xlfn.XLOOKUP(K$6,#REF!,#REF!)*(단위기간/회계기간)/화폐단위,0)</f>
        <v>0</v>
      </c>
      <c r="L86" s="136">
        <f>IFERROR(_xlfn.XLOOKUP(L$6,#REF!,#REF!)*(단위기간/회계기간)/화폐단위,0)</f>
        <v>0</v>
      </c>
      <c r="M86" s="136">
        <f>IFERROR(_xlfn.XLOOKUP(M$6,#REF!,#REF!)*(단위기간/회계기간)/화폐단위,0)</f>
        <v>0</v>
      </c>
      <c r="N86" s="136">
        <f>IFERROR(_xlfn.XLOOKUP(N$6,#REF!,#REF!)*(단위기간/회계기간)/화폐단위,0)</f>
        <v>0</v>
      </c>
      <c r="O86" s="136">
        <f>IFERROR(_xlfn.XLOOKUP(O$6,#REF!,#REF!)*(단위기간/회계기간)/화폐단위,0)</f>
        <v>0</v>
      </c>
      <c r="P86" s="136">
        <f>IFERROR(_xlfn.XLOOKUP(P$6,#REF!,#REF!)*(단위기간/회계기간)/화폐단위,0)</f>
        <v>0</v>
      </c>
      <c r="Q86" s="136">
        <f>IFERROR(_xlfn.XLOOKUP(Q$6,#REF!,#REF!)*(단위기간/회계기간)/화폐단위,0)</f>
        <v>0</v>
      </c>
      <c r="R86" s="136">
        <f>IFERROR(_xlfn.XLOOKUP(R$6,#REF!,#REF!)*(단위기간/회계기간)/화폐단위,0)</f>
        <v>0</v>
      </c>
      <c r="S86" s="136">
        <f>IFERROR(_xlfn.XLOOKUP(S$6,#REF!,#REF!)*(단위기간/회계기간)/화폐단위,0)</f>
        <v>0</v>
      </c>
      <c r="T86" s="136">
        <f>IFERROR(_xlfn.XLOOKUP(T$6,#REF!,#REF!)*(단위기간/회계기간)/화폐단위,0)</f>
        <v>0</v>
      </c>
      <c r="U86" s="136">
        <f>IFERROR(_xlfn.XLOOKUP(U$6,#REF!,#REF!)*(단위기간/회계기간)/화폐단위,0)</f>
        <v>0</v>
      </c>
      <c r="V86" s="136">
        <f>IFERROR(_xlfn.XLOOKUP(V$6,#REF!,#REF!)*(단위기간/회계기간)/화폐단위,0)</f>
        <v>0</v>
      </c>
      <c r="W86" s="136">
        <f>IFERROR(_xlfn.XLOOKUP(W$6,#REF!,#REF!)*(단위기간/회계기간)/화폐단위,0)</f>
        <v>0</v>
      </c>
      <c r="X86" s="136">
        <f>IFERROR(_xlfn.XLOOKUP(X$6,#REF!,#REF!)*(단위기간/회계기간)/화폐단위,0)</f>
        <v>0</v>
      </c>
      <c r="Y86" s="136">
        <f>IFERROR(_xlfn.XLOOKUP(Y$6,#REF!,#REF!)*(단위기간/회계기간)/화폐단위,0)</f>
        <v>0</v>
      </c>
      <c r="Z86" s="136">
        <f>IFERROR(_xlfn.XLOOKUP(Z$6,#REF!,#REF!)*(단위기간/회계기간)/화폐단위,0)</f>
        <v>0</v>
      </c>
      <c r="AA86" s="136">
        <f>IFERROR(_xlfn.XLOOKUP(AA$6,#REF!,#REF!)*(단위기간/회계기간)/화폐단위,0)</f>
        <v>0</v>
      </c>
      <c r="AB86" s="136">
        <f>IFERROR(_xlfn.XLOOKUP(AB$6,#REF!,#REF!)*(단위기간/회계기간)/화폐단위,0)</f>
        <v>0</v>
      </c>
      <c r="AC86" s="136">
        <f>IFERROR(_xlfn.XLOOKUP(AC$6,#REF!,#REF!)*(단위기간/회계기간)/화폐단위,0)</f>
        <v>0</v>
      </c>
      <c r="AD86" s="136">
        <f>IFERROR(_xlfn.XLOOKUP(AD$6,#REF!,#REF!)*(단위기간/회계기간)/화폐단위,0)</f>
        <v>0</v>
      </c>
      <c r="AE86" s="136">
        <f>IFERROR(_xlfn.XLOOKUP(AE$6,#REF!,#REF!)*(단위기간/회계기간)/화폐단위,0)</f>
        <v>0</v>
      </c>
      <c r="AF86" s="136">
        <f>IFERROR(_xlfn.XLOOKUP(AF$6,#REF!,#REF!)*(단위기간/회계기간)/화폐단위,0)</f>
        <v>0</v>
      </c>
      <c r="AG86" s="136">
        <f>IFERROR(_xlfn.XLOOKUP(AG$6,#REF!,#REF!)*(단위기간/회계기간)/화폐단위,0)</f>
        <v>0</v>
      </c>
      <c r="AH86" s="136">
        <f>IFERROR(_xlfn.XLOOKUP(AH$6,#REF!,#REF!)*(단위기간/회계기간)/화폐단위,0)</f>
        <v>0</v>
      </c>
      <c r="AI86" s="136">
        <f>IFERROR(_xlfn.XLOOKUP(AI$6,#REF!,#REF!)*(단위기간/회계기간)/화폐단위,0)</f>
        <v>0</v>
      </c>
      <c r="AJ86" s="136">
        <f>IFERROR(_xlfn.XLOOKUP(AJ$6,#REF!,#REF!)*(단위기간/회계기간)/화폐단위,0)</f>
        <v>0</v>
      </c>
      <c r="AK86" s="136">
        <f>IFERROR(_xlfn.XLOOKUP(AK$6,#REF!,#REF!)*(단위기간/회계기간)/화폐단위,0)</f>
        <v>0</v>
      </c>
      <c r="AL86" s="136">
        <f>IFERROR(_xlfn.XLOOKUP(AL$6,#REF!,#REF!)*(단위기간/회계기간)/화폐단위,0)</f>
        <v>0</v>
      </c>
      <c r="AM86" s="136">
        <f>IFERROR(_xlfn.XLOOKUP(AM$6,#REF!,#REF!)*(단위기간/회계기간)/화폐단위,0)</f>
        <v>0</v>
      </c>
      <c r="AN86" s="136">
        <f>IFERROR(_xlfn.XLOOKUP(AN$6,#REF!,#REF!)*(단위기간/회계기간)/화폐단위,0)</f>
        <v>0</v>
      </c>
      <c r="AO86" s="136">
        <f>IFERROR(_xlfn.XLOOKUP(AO$6,#REF!,#REF!)*(단위기간/회계기간)/화폐단위,0)</f>
        <v>0</v>
      </c>
      <c r="AP86" s="136">
        <f>IFERROR(_xlfn.XLOOKUP(AP$6,#REF!,#REF!)*(단위기간/회계기간)/화폐단위,0)</f>
        <v>0</v>
      </c>
      <c r="AQ86" s="136">
        <f>IFERROR(_xlfn.XLOOKUP(AQ$6,#REF!,#REF!)*(단위기간/회계기간)/화폐단위,0)</f>
        <v>0</v>
      </c>
      <c r="AR86" s="136">
        <f>IFERROR(_xlfn.XLOOKUP(AR$6,#REF!,#REF!)*(단위기간/회계기간)/화폐단위,0)</f>
        <v>0</v>
      </c>
      <c r="AS86" s="136">
        <f>IFERROR(_xlfn.XLOOKUP(AS$6,#REF!,#REF!)*(단위기간/회계기간)/화폐단위,0)</f>
        <v>0</v>
      </c>
      <c r="AT86" s="136">
        <f>IFERROR(_xlfn.XLOOKUP(AT$6,#REF!,#REF!)*(단위기간/회계기간)/화폐단위,0)</f>
        <v>0</v>
      </c>
      <c r="AU86" s="136">
        <f>IFERROR(_xlfn.XLOOKUP(AU$6,#REF!,#REF!)*(단위기간/회계기간)/화폐단위,0)</f>
        <v>0</v>
      </c>
      <c r="AV86" s="136">
        <f>IFERROR(_xlfn.XLOOKUP(AV$6,#REF!,#REF!)*(단위기간/회계기간)/화폐단위,0)</f>
        <v>0</v>
      </c>
      <c r="AW86" s="136">
        <f>IFERROR(_xlfn.XLOOKUP(AW$6,#REF!,#REF!)*(단위기간/회계기간)/화폐단위,0)</f>
        <v>0</v>
      </c>
      <c r="AX86" s="136">
        <f>IFERROR(_xlfn.XLOOKUP(AX$6,#REF!,#REF!)*(단위기간/회계기간)/화폐단위,0)</f>
        <v>0</v>
      </c>
      <c r="AY86" s="136">
        <f>IFERROR(_xlfn.XLOOKUP(AY$6,#REF!,#REF!)*(단위기간/회계기간)/화폐단위,0)</f>
        <v>0</v>
      </c>
      <c r="AZ86" s="136">
        <f>IFERROR(_xlfn.XLOOKUP(AZ$6,#REF!,#REF!)*(단위기간/회계기간)/화폐단위,0)</f>
        <v>0</v>
      </c>
      <c r="BA86" s="136">
        <f>IFERROR(_xlfn.XLOOKUP(BA$6,#REF!,#REF!)*(단위기간/회계기간)/화폐단위,0)</f>
        <v>0</v>
      </c>
      <c r="BB86" s="136">
        <f>IFERROR(_xlfn.XLOOKUP(BB$6,#REF!,#REF!)*(단위기간/회계기간)/화폐단위,0)</f>
        <v>0</v>
      </c>
      <c r="BC86" s="136">
        <f>IFERROR(_xlfn.XLOOKUP(BC$6,#REF!,#REF!)*(단위기간/회계기간)/화폐단위,0)</f>
        <v>0</v>
      </c>
      <c r="BD86" s="136">
        <f>IFERROR(_xlfn.XLOOKUP(BD$6,#REF!,#REF!)*(단위기간/회계기간)/화폐단위,0)</f>
        <v>0</v>
      </c>
      <c r="BE86" s="136">
        <f>IFERROR(_xlfn.XLOOKUP(BE$6,#REF!,#REF!)*(단위기간/회계기간)/화폐단위,0)</f>
        <v>0</v>
      </c>
      <c r="BF86" s="136">
        <f>IFERROR(_xlfn.XLOOKUP(BF$6,#REF!,#REF!)*(단위기간/회계기간)/화폐단위,0)</f>
        <v>0</v>
      </c>
      <c r="BG86" s="136">
        <f>IFERROR(_xlfn.XLOOKUP(BG$6,#REF!,#REF!)*(단위기간/회계기간)/화폐단위,0)</f>
        <v>0</v>
      </c>
      <c r="BH86" s="136">
        <f>IFERROR(_xlfn.XLOOKUP(BH$6,#REF!,#REF!)*(단위기간/회계기간)/화폐단위,0)</f>
        <v>0</v>
      </c>
      <c r="BI86" s="136">
        <f>IFERROR(_xlfn.XLOOKUP(BI$6,#REF!,#REF!)*(단위기간/회계기간)/화폐단위,0)</f>
        <v>0</v>
      </c>
      <c r="BJ86" s="136">
        <f>IFERROR(_xlfn.XLOOKUP(BJ$6,#REF!,#REF!)*(단위기간/회계기간)/화폐단위,0)</f>
        <v>0</v>
      </c>
      <c r="BK86" s="136">
        <f>IFERROR(_xlfn.XLOOKUP(BK$6,#REF!,#REF!)*(단위기간/회계기간)/화폐단위,0)</f>
        <v>0</v>
      </c>
      <c r="BL86" s="136">
        <f>IFERROR(_xlfn.XLOOKUP(BL$6,#REF!,#REF!)*(단위기간/회계기간)/화폐단위,0)</f>
        <v>0</v>
      </c>
      <c r="BM86" s="136">
        <f>IFERROR(_xlfn.XLOOKUP(BM$6,#REF!,#REF!)*(단위기간/회계기간)/화폐단위,0)</f>
        <v>0</v>
      </c>
      <c r="BN86" s="136">
        <f>IFERROR(_xlfn.XLOOKUP(BN$6,#REF!,#REF!)*(단위기간/회계기간)/화폐단위,0)</f>
        <v>0</v>
      </c>
      <c r="BO86" s="136">
        <f>IFERROR(_xlfn.XLOOKUP(BO$6,#REF!,#REF!)*(단위기간/회계기간)/화폐단위,0)</f>
        <v>0</v>
      </c>
      <c r="BP86" s="136">
        <f>IFERROR(_xlfn.XLOOKUP(BP$6,#REF!,#REF!)*(단위기간/회계기간)/화폐단위,0)</f>
        <v>0</v>
      </c>
      <c r="BQ86" s="136">
        <f>IFERROR(_xlfn.XLOOKUP(BQ$6,#REF!,#REF!)*(단위기간/회계기간)/화폐단위,0)</f>
        <v>0</v>
      </c>
    </row>
    <row r="87" spans="2:69">
      <c r="B87" s="53"/>
      <c r="C87" s="74"/>
      <c r="D87" s="106"/>
      <c r="E87" s="106"/>
      <c r="F87" s="107"/>
      <c r="G87" s="107"/>
      <c r="H87" s="130"/>
      <c r="I87" s="53"/>
      <c r="J87" s="130"/>
      <c r="K87" s="130"/>
      <c r="L87" s="130"/>
      <c r="M87" s="130"/>
      <c r="N87" s="130"/>
      <c r="O87" s="130"/>
      <c r="P87" s="130"/>
      <c r="Q87" s="130"/>
      <c r="R87" s="130"/>
      <c r="S87" s="130"/>
      <c r="T87" s="130"/>
      <c r="U87" s="130"/>
      <c r="V87" s="130"/>
      <c r="W87" s="130"/>
      <c r="X87" s="130"/>
      <c r="Y87" s="130"/>
      <c r="Z87" s="130"/>
      <c r="AA87" s="130"/>
      <c r="AB87" s="130"/>
      <c r="AC87" s="130"/>
      <c r="AD87" s="130"/>
      <c r="AE87" s="130"/>
      <c r="AF87" s="130"/>
      <c r="AG87" s="130"/>
      <c r="AH87" s="130"/>
      <c r="AI87" s="130"/>
      <c r="AJ87" s="130"/>
      <c r="AK87" s="130"/>
      <c r="AL87" s="130"/>
      <c r="AM87" s="130"/>
      <c r="AN87" s="130"/>
      <c r="AO87" s="130"/>
      <c r="AP87" s="130"/>
      <c r="AQ87" s="130"/>
      <c r="AR87" s="130"/>
      <c r="AS87" s="130"/>
      <c r="AT87" s="130"/>
      <c r="AU87" s="130"/>
      <c r="AV87" s="130"/>
      <c r="AW87" s="130"/>
      <c r="AX87" s="130"/>
      <c r="AY87" s="130"/>
      <c r="AZ87" s="130"/>
      <c r="BA87" s="130"/>
      <c r="BB87" s="130"/>
      <c r="BC87" s="130"/>
      <c r="BD87" s="130"/>
      <c r="BE87" s="130"/>
      <c r="BF87" s="130"/>
      <c r="BG87" s="130"/>
      <c r="BH87" s="130"/>
      <c r="BI87" s="130"/>
      <c r="BJ87" s="130"/>
      <c r="BK87" s="130"/>
      <c r="BL87" s="130"/>
      <c r="BM87" s="130"/>
      <c r="BN87" s="130"/>
      <c r="BO87" s="130"/>
      <c r="BP87" s="130"/>
      <c r="BQ87" s="130"/>
    </row>
    <row r="88" spans="2:69">
      <c r="B88" s="53"/>
      <c r="C88" s="74" t="s">
        <v>137</v>
      </c>
      <c r="D88" s="106"/>
      <c r="E88" s="106"/>
      <c r="F88" s="107"/>
      <c r="G88" s="107"/>
      <c r="H88" s="130"/>
      <c r="I88" s="53"/>
      <c r="J88" s="130"/>
      <c r="K88" s="130"/>
      <c r="L88" s="130"/>
      <c r="M88" s="130"/>
      <c r="N88" s="130"/>
      <c r="O88" s="130"/>
      <c r="P88" s="130"/>
      <c r="Q88" s="130"/>
      <c r="R88" s="130"/>
      <c r="S88" s="130"/>
      <c r="T88" s="130"/>
      <c r="U88" s="130"/>
      <c r="V88" s="130"/>
      <c r="W88" s="130"/>
      <c r="X88" s="130"/>
      <c r="Y88" s="130"/>
      <c r="Z88" s="130"/>
      <c r="AA88" s="130"/>
      <c r="AB88" s="130"/>
      <c r="AC88" s="130"/>
      <c r="AD88" s="130"/>
      <c r="AE88" s="130"/>
      <c r="AF88" s="130"/>
      <c r="AG88" s="130"/>
      <c r="AH88" s="130"/>
      <c r="AI88" s="130"/>
      <c r="AJ88" s="130"/>
      <c r="AK88" s="130"/>
      <c r="AL88" s="130"/>
      <c r="AM88" s="130"/>
      <c r="AN88" s="130"/>
      <c r="AO88" s="130"/>
      <c r="AP88" s="130"/>
      <c r="AQ88" s="130"/>
      <c r="AR88" s="130"/>
      <c r="AS88" s="130"/>
      <c r="AT88" s="130"/>
      <c r="AU88" s="130"/>
      <c r="AV88" s="130"/>
      <c r="AW88" s="130"/>
      <c r="AX88" s="130"/>
      <c r="AY88" s="130"/>
      <c r="AZ88" s="130"/>
      <c r="BA88" s="130"/>
      <c r="BB88" s="130"/>
      <c r="BC88" s="130"/>
      <c r="BD88" s="130"/>
      <c r="BE88" s="130"/>
      <c r="BF88" s="130"/>
      <c r="BG88" s="130"/>
      <c r="BH88" s="130"/>
      <c r="BI88" s="130"/>
      <c r="BJ88" s="130"/>
      <c r="BK88" s="130"/>
      <c r="BL88" s="130"/>
      <c r="BM88" s="130"/>
      <c r="BN88" s="130"/>
      <c r="BO88" s="130"/>
      <c r="BP88" s="130"/>
      <c r="BQ88" s="130"/>
    </row>
    <row r="89" spans="2:69">
      <c r="B89" s="53"/>
      <c r="C89" s="74"/>
      <c r="D89" s="106" t="s">
        <v>104</v>
      </c>
      <c r="E89" s="106"/>
      <c r="F89" s="107"/>
      <c r="G89" s="107"/>
      <c r="H89" s="130"/>
      <c r="I89" s="53"/>
      <c r="J89" s="130">
        <f>IFERROR(_xlfn.XLOOKUP(J$6,#REF!,#REF!)*(단위기간/회계기간)/화폐단위,0)</f>
        <v>0</v>
      </c>
      <c r="K89" s="130">
        <f>IFERROR(_xlfn.XLOOKUP(K$6,#REF!,#REF!)*(단위기간/회계기간)/화폐단위,0)</f>
        <v>0</v>
      </c>
      <c r="L89" s="130">
        <f>IFERROR(_xlfn.XLOOKUP(L$6,#REF!,#REF!)*(단위기간/회계기간)/화폐단위,0)</f>
        <v>0</v>
      </c>
      <c r="M89" s="130">
        <f>IFERROR(_xlfn.XLOOKUP(M$6,#REF!,#REF!)*(단위기간/회계기간)/화폐단위,0)</f>
        <v>0</v>
      </c>
      <c r="N89" s="130">
        <f>IFERROR(_xlfn.XLOOKUP(N$6,#REF!,#REF!)*(단위기간/회계기간)/화폐단위,0)</f>
        <v>0</v>
      </c>
      <c r="O89" s="130">
        <f>IFERROR(_xlfn.XLOOKUP(O$6,#REF!,#REF!)*(단위기간/회계기간)/화폐단위,0)</f>
        <v>0</v>
      </c>
      <c r="P89" s="130">
        <f>IFERROR(_xlfn.XLOOKUP(P$6,#REF!,#REF!)*(단위기간/회계기간)/화폐단위,0)</f>
        <v>0</v>
      </c>
      <c r="Q89" s="130">
        <f>IFERROR(_xlfn.XLOOKUP(Q$6,#REF!,#REF!)*(단위기간/회계기간)/화폐단위,0)</f>
        <v>0</v>
      </c>
      <c r="R89" s="130">
        <f>IFERROR(_xlfn.XLOOKUP(R$6,#REF!,#REF!)*(단위기간/회계기간)/화폐단위,0)</f>
        <v>0</v>
      </c>
      <c r="S89" s="130">
        <f>IFERROR(_xlfn.XLOOKUP(S$6,#REF!,#REF!)*(단위기간/회계기간)/화폐단위,0)</f>
        <v>0</v>
      </c>
      <c r="T89" s="130">
        <f>IFERROR(_xlfn.XLOOKUP(T$6,#REF!,#REF!)*(단위기간/회계기간)/화폐단위,0)</f>
        <v>0</v>
      </c>
      <c r="U89" s="130">
        <f>IFERROR(_xlfn.XLOOKUP(U$6,#REF!,#REF!)*(단위기간/회계기간)/화폐단위,0)</f>
        <v>0</v>
      </c>
      <c r="V89" s="130">
        <f>IFERROR(_xlfn.XLOOKUP(V$6,#REF!,#REF!)*(단위기간/회계기간)/화폐단위,0)</f>
        <v>0</v>
      </c>
      <c r="W89" s="130">
        <f>IFERROR(_xlfn.XLOOKUP(W$6,#REF!,#REF!)*(단위기간/회계기간)/화폐단위,0)</f>
        <v>0</v>
      </c>
      <c r="X89" s="130">
        <f>IFERROR(_xlfn.XLOOKUP(X$6,#REF!,#REF!)*(단위기간/회계기간)/화폐단위,0)</f>
        <v>0</v>
      </c>
      <c r="Y89" s="130">
        <f>IFERROR(_xlfn.XLOOKUP(Y$6,#REF!,#REF!)*(단위기간/회계기간)/화폐단위,0)</f>
        <v>0</v>
      </c>
      <c r="Z89" s="130">
        <f>IFERROR(_xlfn.XLOOKUP(Z$6,#REF!,#REF!)*(단위기간/회계기간)/화폐단위,0)</f>
        <v>0</v>
      </c>
      <c r="AA89" s="130">
        <f>IFERROR(_xlfn.XLOOKUP(AA$6,#REF!,#REF!)*(단위기간/회계기간)/화폐단위,0)</f>
        <v>0</v>
      </c>
      <c r="AB89" s="130">
        <f>IFERROR(_xlfn.XLOOKUP(AB$6,#REF!,#REF!)*(단위기간/회계기간)/화폐단위,0)</f>
        <v>0</v>
      </c>
      <c r="AC89" s="130">
        <f>IFERROR(_xlfn.XLOOKUP(AC$6,#REF!,#REF!)*(단위기간/회계기간)/화폐단위,0)</f>
        <v>0</v>
      </c>
      <c r="AD89" s="130">
        <f>IFERROR(_xlfn.XLOOKUP(AD$6,#REF!,#REF!)*(단위기간/회계기간)/화폐단위,0)</f>
        <v>0</v>
      </c>
      <c r="AE89" s="130">
        <f>IFERROR(_xlfn.XLOOKUP(AE$6,#REF!,#REF!)*(단위기간/회계기간)/화폐단위,0)</f>
        <v>0</v>
      </c>
      <c r="AF89" s="130">
        <f>IFERROR(_xlfn.XLOOKUP(AF$6,#REF!,#REF!)*(단위기간/회계기간)/화폐단위,0)</f>
        <v>0</v>
      </c>
      <c r="AG89" s="130">
        <f>IFERROR(_xlfn.XLOOKUP(AG$6,#REF!,#REF!)*(단위기간/회계기간)/화폐단위,0)</f>
        <v>0</v>
      </c>
      <c r="AH89" s="130">
        <f>IFERROR(_xlfn.XLOOKUP(AH$6,#REF!,#REF!)*(단위기간/회계기간)/화폐단위,0)</f>
        <v>0</v>
      </c>
      <c r="AI89" s="130">
        <f>IFERROR(_xlfn.XLOOKUP(AI$6,#REF!,#REF!)*(단위기간/회계기간)/화폐단위,0)</f>
        <v>0</v>
      </c>
      <c r="AJ89" s="130">
        <f>IFERROR(_xlfn.XLOOKUP(AJ$6,#REF!,#REF!)*(단위기간/회계기간)/화폐단위,0)</f>
        <v>0</v>
      </c>
      <c r="AK89" s="130">
        <f>IFERROR(_xlfn.XLOOKUP(AK$6,#REF!,#REF!)*(단위기간/회계기간)/화폐단위,0)</f>
        <v>0</v>
      </c>
      <c r="AL89" s="130">
        <f>IFERROR(_xlfn.XLOOKUP(AL$6,#REF!,#REF!)*(단위기간/회계기간)/화폐단위,0)</f>
        <v>0</v>
      </c>
      <c r="AM89" s="130">
        <f>IFERROR(_xlfn.XLOOKUP(AM$6,#REF!,#REF!)*(단위기간/회계기간)/화폐단위,0)</f>
        <v>0</v>
      </c>
      <c r="AN89" s="130">
        <f>IFERROR(_xlfn.XLOOKUP(AN$6,#REF!,#REF!)*(단위기간/회계기간)/화폐단위,0)</f>
        <v>0</v>
      </c>
      <c r="AO89" s="130">
        <f>IFERROR(_xlfn.XLOOKUP(AO$6,#REF!,#REF!)*(단위기간/회계기간)/화폐단위,0)</f>
        <v>0</v>
      </c>
      <c r="AP89" s="130">
        <f>IFERROR(_xlfn.XLOOKUP(AP$6,#REF!,#REF!)*(단위기간/회계기간)/화폐단위,0)</f>
        <v>0</v>
      </c>
      <c r="AQ89" s="130">
        <f>IFERROR(_xlfn.XLOOKUP(AQ$6,#REF!,#REF!)*(단위기간/회계기간)/화폐단위,0)</f>
        <v>0</v>
      </c>
      <c r="AR89" s="130">
        <f>IFERROR(_xlfn.XLOOKUP(AR$6,#REF!,#REF!)*(단위기간/회계기간)/화폐단위,0)</f>
        <v>0</v>
      </c>
      <c r="AS89" s="130">
        <f>IFERROR(_xlfn.XLOOKUP(AS$6,#REF!,#REF!)*(단위기간/회계기간)/화폐단위,0)</f>
        <v>0</v>
      </c>
      <c r="AT89" s="130">
        <f>IFERROR(_xlfn.XLOOKUP(AT$6,#REF!,#REF!)*(단위기간/회계기간)/화폐단위,0)</f>
        <v>0</v>
      </c>
      <c r="AU89" s="130">
        <f>IFERROR(_xlfn.XLOOKUP(AU$6,#REF!,#REF!)*(단위기간/회계기간)/화폐단위,0)</f>
        <v>0</v>
      </c>
      <c r="AV89" s="130">
        <f>IFERROR(_xlfn.XLOOKUP(AV$6,#REF!,#REF!)*(단위기간/회계기간)/화폐단위,0)</f>
        <v>0</v>
      </c>
      <c r="AW89" s="130">
        <f>IFERROR(_xlfn.XLOOKUP(AW$6,#REF!,#REF!)*(단위기간/회계기간)/화폐단위,0)</f>
        <v>0</v>
      </c>
      <c r="AX89" s="130">
        <f>IFERROR(_xlfn.XLOOKUP(AX$6,#REF!,#REF!)*(단위기간/회계기간)/화폐단위,0)</f>
        <v>0</v>
      </c>
      <c r="AY89" s="130">
        <f>IFERROR(_xlfn.XLOOKUP(AY$6,#REF!,#REF!)*(단위기간/회계기간)/화폐단위,0)</f>
        <v>0</v>
      </c>
      <c r="AZ89" s="130">
        <f>IFERROR(_xlfn.XLOOKUP(AZ$6,#REF!,#REF!)*(단위기간/회계기간)/화폐단위,0)</f>
        <v>0</v>
      </c>
      <c r="BA89" s="130">
        <f>IFERROR(_xlfn.XLOOKUP(BA$6,#REF!,#REF!)*(단위기간/회계기간)/화폐단위,0)</f>
        <v>0</v>
      </c>
      <c r="BB89" s="130">
        <f>IFERROR(_xlfn.XLOOKUP(BB$6,#REF!,#REF!)*(단위기간/회계기간)/화폐단위,0)</f>
        <v>0</v>
      </c>
      <c r="BC89" s="130">
        <f>IFERROR(_xlfn.XLOOKUP(BC$6,#REF!,#REF!)*(단위기간/회계기간)/화폐단위,0)</f>
        <v>0</v>
      </c>
      <c r="BD89" s="130">
        <f>IFERROR(_xlfn.XLOOKUP(BD$6,#REF!,#REF!)*(단위기간/회계기간)/화폐단위,0)</f>
        <v>0</v>
      </c>
      <c r="BE89" s="130">
        <f>IFERROR(_xlfn.XLOOKUP(BE$6,#REF!,#REF!)*(단위기간/회계기간)/화폐단위,0)</f>
        <v>0</v>
      </c>
      <c r="BF89" s="130">
        <f>IFERROR(_xlfn.XLOOKUP(BF$6,#REF!,#REF!)*(단위기간/회계기간)/화폐단위,0)</f>
        <v>0</v>
      </c>
      <c r="BG89" s="130">
        <f>IFERROR(_xlfn.XLOOKUP(BG$6,#REF!,#REF!)*(단위기간/회계기간)/화폐단위,0)</f>
        <v>0</v>
      </c>
      <c r="BH89" s="130">
        <f>IFERROR(_xlfn.XLOOKUP(BH$6,#REF!,#REF!)*(단위기간/회계기간)/화폐단위,0)</f>
        <v>0</v>
      </c>
      <c r="BI89" s="130">
        <f>IFERROR(_xlfn.XLOOKUP(BI$6,#REF!,#REF!)*(단위기간/회계기간)/화폐단위,0)</f>
        <v>0</v>
      </c>
      <c r="BJ89" s="130">
        <f>IFERROR(_xlfn.XLOOKUP(BJ$6,#REF!,#REF!)*(단위기간/회계기간)/화폐단위,0)</f>
        <v>0</v>
      </c>
      <c r="BK89" s="130">
        <f>IFERROR(_xlfn.XLOOKUP(BK$6,#REF!,#REF!)*(단위기간/회계기간)/화폐단위,0)</f>
        <v>0</v>
      </c>
      <c r="BL89" s="130">
        <f>IFERROR(_xlfn.XLOOKUP(BL$6,#REF!,#REF!)*(단위기간/회계기간)/화폐단위,0)</f>
        <v>0</v>
      </c>
      <c r="BM89" s="130">
        <f>IFERROR(_xlfn.XLOOKUP(BM$6,#REF!,#REF!)*(단위기간/회계기간)/화폐단위,0)</f>
        <v>0</v>
      </c>
      <c r="BN89" s="130">
        <f>IFERROR(_xlfn.XLOOKUP(BN$6,#REF!,#REF!)*(단위기간/회계기간)/화폐단위,0)</f>
        <v>0</v>
      </c>
      <c r="BO89" s="130">
        <f>IFERROR(_xlfn.XLOOKUP(BO$6,#REF!,#REF!)*(단위기간/회계기간)/화폐단위,0)</f>
        <v>0</v>
      </c>
      <c r="BP89" s="130">
        <f>IFERROR(_xlfn.XLOOKUP(BP$6,#REF!,#REF!)*(단위기간/회계기간)/화폐단위,0)</f>
        <v>0</v>
      </c>
      <c r="BQ89" s="130">
        <f>IFERROR(_xlfn.XLOOKUP(BQ$6,#REF!,#REF!)*(단위기간/회계기간)/화폐단위,0)</f>
        <v>0</v>
      </c>
    </row>
    <row r="90" spans="2:69">
      <c r="B90" s="53"/>
      <c r="C90" s="74"/>
      <c r="D90" s="106" t="s">
        <v>105</v>
      </c>
      <c r="E90" s="106"/>
      <c r="F90" s="107"/>
      <c r="G90" s="107"/>
      <c r="H90" s="130"/>
      <c r="I90" s="53"/>
      <c r="J90" s="136">
        <f>IFERROR(_xlfn.XLOOKUP(J$6,#REF!,#REF!)*(단위기간/회계기간)/화폐단위,0)</f>
        <v>0</v>
      </c>
      <c r="K90" s="136">
        <f>IFERROR(_xlfn.XLOOKUP(K$6,#REF!,#REF!)*(단위기간/회계기간)/화폐단위,0)</f>
        <v>0</v>
      </c>
      <c r="L90" s="136">
        <f>IFERROR(_xlfn.XLOOKUP(L$6,#REF!,#REF!)*(단위기간/회계기간)/화폐단위,0)</f>
        <v>0</v>
      </c>
      <c r="M90" s="136">
        <f>IFERROR(_xlfn.XLOOKUP(M$6,#REF!,#REF!)*(단위기간/회계기간)/화폐단위,0)</f>
        <v>0</v>
      </c>
      <c r="N90" s="136">
        <f>IFERROR(_xlfn.XLOOKUP(N$6,#REF!,#REF!)*(단위기간/회계기간)/화폐단위,0)</f>
        <v>0</v>
      </c>
      <c r="O90" s="136">
        <f>IFERROR(_xlfn.XLOOKUP(O$6,#REF!,#REF!)*(단위기간/회계기간)/화폐단위,0)</f>
        <v>0</v>
      </c>
      <c r="P90" s="136">
        <f>IFERROR(_xlfn.XLOOKUP(P$6,#REF!,#REF!)*(단위기간/회계기간)/화폐단위,0)</f>
        <v>0</v>
      </c>
      <c r="Q90" s="136">
        <f>IFERROR(_xlfn.XLOOKUP(Q$6,#REF!,#REF!)*(단위기간/회계기간)/화폐단위,0)</f>
        <v>0</v>
      </c>
      <c r="R90" s="136">
        <f>IFERROR(_xlfn.XLOOKUP(R$6,#REF!,#REF!)*(단위기간/회계기간)/화폐단위,0)</f>
        <v>0</v>
      </c>
      <c r="S90" s="136">
        <f>IFERROR(_xlfn.XLOOKUP(S$6,#REF!,#REF!)*(단위기간/회계기간)/화폐단위,0)</f>
        <v>0</v>
      </c>
      <c r="T90" s="136">
        <f>IFERROR(_xlfn.XLOOKUP(T$6,#REF!,#REF!)*(단위기간/회계기간)/화폐단위,0)</f>
        <v>0</v>
      </c>
      <c r="U90" s="136">
        <f>IFERROR(_xlfn.XLOOKUP(U$6,#REF!,#REF!)*(단위기간/회계기간)/화폐단위,0)</f>
        <v>0</v>
      </c>
      <c r="V90" s="136">
        <f>IFERROR(_xlfn.XLOOKUP(V$6,#REF!,#REF!)*(단위기간/회계기간)/화폐단위,0)</f>
        <v>0</v>
      </c>
      <c r="W90" s="136">
        <f>IFERROR(_xlfn.XLOOKUP(W$6,#REF!,#REF!)*(단위기간/회계기간)/화폐단위,0)</f>
        <v>0</v>
      </c>
      <c r="X90" s="136">
        <f>IFERROR(_xlfn.XLOOKUP(X$6,#REF!,#REF!)*(단위기간/회계기간)/화폐단위,0)</f>
        <v>0</v>
      </c>
      <c r="Y90" s="136">
        <f>IFERROR(_xlfn.XLOOKUP(Y$6,#REF!,#REF!)*(단위기간/회계기간)/화폐단위,0)</f>
        <v>0</v>
      </c>
      <c r="Z90" s="136">
        <f>IFERROR(_xlfn.XLOOKUP(Z$6,#REF!,#REF!)*(단위기간/회계기간)/화폐단위,0)</f>
        <v>0</v>
      </c>
      <c r="AA90" s="136">
        <f>IFERROR(_xlfn.XLOOKUP(AA$6,#REF!,#REF!)*(단위기간/회계기간)/화폐단위,0)</f>
        <v>0</v>
      </c>
      <c r="AB90" s="136">
        <f>IFERROR(_xlfn.XLOOKUP(AB$6,#REF!,#REF!)*(단위기간/회계기간)/화폐단위,0)</f>
        <v>0</v>
      </c>
      <c r="AC90" s="136">
        <f>IFERROR(_xlfn.XLOOKUP(AC$6,#REF!,#REF!)*(단위기간/회계기간)/화폐단위,0)</f>
        <v>0</v>
      </c>
      <c r="AD90" s="136">
        <f>IFERROR(_xlfn.XLOOKUP(AD$6,#REF!,#REF!)*(단위기간/회계기간)/화폐단위,0)</f>
        <v>0</v>
      </c>
      <c r="AE90" s="136">
        <f>IFERROR(_xlfn.XLOOKUP(AE$6,#REF!,#REF!)*(단위기간/회계기간)/화폐단위,0)</f>
        <v>0</v>
      </c>
      <c r="AF90" s="136">
        <f>IFERROR(_xlfn.XLOOKUP(AF$6,#REF!,#REF!)*(단위기간/회계기간)/화폐단위,0)</f>
        <v>0</v>
      </c>
      <c r="AG90" s="136">
        <f>IFERROR(_xlfn.XLOOKUP(AG$6,#REF!,#REF!)*(단위기간/회계기간)/화폐단위,0)</f>
        <v>0</v>
      </c>
      <c r="AH90" s="136">
        <f>IFERROR(_xlfn.XLOOKUP(AH$6,#REF!,#REF!)*(단위기간/회계기간)/화폐단위,0)</f>
        <v>0</v>
      </c>
      <c r="AI90" s="136">
        <f>IFERROR(_xlfn.XLOOKUP(AI$6,#REF!,#REF!)*(단위기간/회계기간)/화폐단위,0)</f>
        <v>0</v>
      </c>
      <c r="AJ90" s="136">
        <f>IFERROR(_xlfn.XLOOKUP(AJ$6,#REF!,#REF!)*(단위기간/회계기간)/화폐단위,0)</f>
        <v>0</v>
      </c>
      <c r="AK90" s="136">
        <f>IFERROR(_xlfn.XLOOKUP(AK$6,#REF!,#REF!)*(단위기간/회계기간)/화폐단위,0)</f>
        <v>0</v>
      </c>
      <c r="AL90" s="136">
        <f>IFERROR(_xlfn.XLOOKUP(AL$6,#REF!,#REF!)*(단위기간/회계기간)/화폐단위,0)</f>
        <v>0</v>
      </c>
      <c r="AM90" s="136">
        <f>IFERROR(_xlfn.XLOOKUP(AM$6,#REF!,#REF!)*(단위기간/회계기간)/화폐단위,0)</f>
        <v>0</v>
      </c>
      <c r="AN90" s="136">
        <f>IFERROR(_xlfn.XLOOKUP(AN$6,#REF!,#REF!)*(단위기간/회계기간)/화폐단위,0)</f>
        <v>0</v>
      </c>
      <c r="AO90" s="136">
        <f>IFERROR(_xlfn.XLOOKUP(AO$6,#REF!,#REF!)*(단위기간/회계기간)/화폐단위,0)</f>
        <v>0</v>
      </c>
      <c r="AP90" s="136">
        <f>IFERROR(_xlfn.XLOOKUP(AP$6,#REF!,#REF!)*(단위기간/회계기간)/화폐단위,0)</f>
        <v>0</v>
      </c>
      <c r="AQ90" s="136">
        <f>IFERROR(_xlfn.XLOOKUP(AQ$6,#REF!,#REF!)*(단위기간/회계기간)/화폐단위,0)</f>
        <v>0</v>
      </c>
      <c r="AR90" s="136">
        <f>IFERROR(_xlfn.XLOOKUP(AR$6,#REF!,#REF!)*(단위기간/회계기간)/화폐단위,0)</f>
        <v>0</v>
      </c>
      <c r="AS90" s="136">
        <f>IFERROR(_xlfn.XLOOKUP(AS$6,#REF!,#REF!)*(단위기간/회계기간)/화폐단위,0)</f>
        <v>0</v>
      </c>
      <c r="AT90" s="136">
        <f>IFERROR(_xlfn.XLOOKUP(AT$6,#REF!,#REF!)*(단위기간/회계기간)/화폐단위,0)</f>
        <v>0</v>
      </c>
      <c r="AU90" s="136">
        <f>IFERROR(_xlfn.XLOOKUP(AU$6,#REF!,#REF!)*(단위기간/회계기간)/화폐단위,0)</f>
        <v>0</v>
      </c>
      <c r="AV90" s="136">
        <f>IFERROR(_xlfn.XLOOKUP(AV$6,#REF!,#REF!)*(단위기간/회계기간)/화폐단위,0)</f>
        <v>0</v>
      </c>
      <c r="AW90" s="136">
        <f>IFERROR(_xlfn.XLOOKUP(AW$6,#REF!,#REF!)*(단위기간/회계기간)/화폐단위,0)</f>
        <v>0</v>
      </c>
      <c r="AX90" s="136">
        <f>IFERROR(_xlfn.XLOOKUP(AX$6,#REF!,#REF!)*(단위기간/회계기간)/화폐단위,0)</f>
        <v>0</v>
      </c>
      <c r="AY90" s="136">
        <f>IFERROR(_xlfn.XLOOKUP(AY$6,#REF!,#REF!)*(단위기간/회계기간)/화폐단위,0)</f>
        <v>0</v>
      </c>
      <c r="AZ90" s="136">
        <f>IFERROR(_xlfn.XLOOKUP(AZ$6,#REF!,#REF!)*(단위기간/회계기간)/화폐단위,0)</f>
        <v>0</v>
      </c>
      <c r="BA90" s="136">
        <f>IFERROR(_xlfn.XLOOKUP(BA$6,#REF!,#REF!)*(단위기간/회계기간)/화폐단위,0)</f>
        <v>0</v>
      </c>
      <c r="BB90" s="136">
        <f>IFERROR(_xlfn.XLOOKUP(BB$6,#REF!,#REF!)*(단위기간/회계기간)/화폐단위,0)</f>
        <v>0</v>
      </c>
      <c r="BC90" s="136">
        <f>IFERROR(_xlfn.XLOOKUP(BC$6,#REF!,#REF!)*(단위기간/회계기간)/화폐단위,0)</f>
        <v>0</v>
      </c>
      <c r="BD90" s="136">
        <f>IFERROR(_xlfn.XLOOKUP(BD$6,#REF!,#REF!)*(단위기간/회계기간)/화폐단위,0)</f>
        <v>0</v>
      </c>
      <c r="BE90" s="136">
        <f>IFERROR(_xlfn.XLOOKUP(BE$6,#REF!,#REF!)*(단위기간/회계기간)/화폐단위,0)</f>
        <v>0</v>
      </c>
      <c r="BF90" s="136">
        <f>IFERROR(_xlfn.XLOOKUP(BF$6,#REF!,#REF!)*(단위기간/회계기간)/화폐단위,0)</f>
        <v>0</v>
      </c>
      <c r="BG90" s="136">
        <f>IFERROR(_xlfn.XLOOKUP(BG$6,#REF!,#REF!)*(단위기간/회계기간)/화폐단위,0)</f>
        <v>0</v>
      </c>
      <c r="BH90" s="136">
        <f>IFERROR(_xlfn.XLOOKUP(BH$6,#REF!,#REF!)*(단위기간/회계기간)/화폐단위,0)</f>
        <v>0</v>
      </c>
      <c r="BI90" s="136">
        <f>IFERROR(_xlfn.XLOOKUP(BI$6,#REF!,#REF!)*(단위기간/회계기간)/화폐단위,0)</f>
        <v>0</v>
      </c>
      <c r="BJ90" s="136">
        <f>IFERROR(_xlfn.XLOOKUP(BJ$6,#REF!,#REF!)*(단위기간/회계기간)/화폐단위,0)</f>
        <v>0</v>
      </c>
      <c r="BK90" s="136">
        <f>IFERROR(_xlfn.XLOOKUP(BK$6,#REF!,#REF!)*(단위기간/회계기간)/화폐단위,0)</f>
        <v>0</v>
      </c>
      <c r="BL90" s="136">
        <f>IFERROR(_xlfn.XLOOKUP(BL$6,#REF!,#REF!)*(단위기간/회계기간)/화폐단위,0)</f>
        <v>0</v>
      </c>
      <c r="BM90" s="136">
        <f>IFERROR(_xlfn.XLOOKUP(BM$6,#REF!,#REF!)*(단위기간/회계기간)/화폐단위,0)</f>
        <v>0</v>
      </c>
      <c r="BN90" s="136">
        <f>IFERROR(_xlfn.XLOOKUP(BN$6,#REF!,#REF!)*(단위기간/회계기간)/화폐단위,0)</f>
        <v>0</v>
      </c>
      <c r="BO90" s="136">
        <f>IFERROR(_xlfn.XLOOKUP(BO$6,#REF!,#REF!)*(단위기간/회계기간)/화폐단위,0)</f>
        <v>0</v>
      </c>
      <c r="BP90" s="136">
        <f>IFERROR(_xlfn.XLOOKUP(BP$6,#REF!,#REF!)*(단위기간/회계기간)/화폐단위,0)</f>
        <v>0</v>
      </c>
      <c r="BQ90" s="136">
        <f>IFERROR(_xlfn.XLOOKUP(BQ$6,#REF!,#REF!)*(단위기간/회계기간)/화폐단위,0)</f>
        <v>0</v>
      </c>
    </row>
    <row r="91" spans="2:69">
      <c r="B91" s="53"/>
      <c r="C91" s="74"/>
      <c r="D91" s="106"/>
      <c r="E91" s="106"/>
      <c r="F91" s="107"/>
      <c r="G91" s="107"/>
      <c r="H91" s="130"/>
      <c r="I91" s="53"/>
      <c r="J91" s="130"/>
      <c r="K91" s="130"/>
      <c r="L91" s="130"/>
      <c r="M91" s="130"/>
      <c r="N91" s="130"/>
      <c r="O91" s="130"/>
      <c r="P91" s="130"/>
      <c r="Q91" s="130"/>
      <c r="R91" s="130"/>
      <c r="S91" s="130"/>
      <c r="T91" s="130"/>
      <c r="U91" s="130"/>
      <c r="V91" s="130"/>
      <c r="W91" s="130"/>
      <c r="X91" s="130"/>
      <c r="Y91" s="130"/>
      <c r="Z91" s="130"/>
      <c r="AA91" s="130"/>
      <c r="AB91" s="130"/>
      <c r="AC91" s="130"/>
      <c r="AD91" s="130"/>
      <c r="AE91" s="130"/>
      <c r="AF91" s="130"/>
      <c r="AG91" s="130"/>
      <c r="AH91" s="130"/>
      <c r="AI91" s="130"/>
      <c r="AJ91" s="130"/>
      <c r="AK91" s="130"/>
      <c r="AL91" s="130"/>
      <c r="AM91" s="130"/>
      <c r="AN91" s="130"/>
      <c r="AO91" s="130"/>
      <c r="AP91" s="130"/>
      <c r="AQ91" s="130"/>
      <c r="AR91" s="130"/>
      <c r="AS91" s="130"/>
      <c r="AT91" s="130"/>
      <c r="AU91" s="130"/>
      <c r="AV91" s="130"/>
      <c r="AW91" s="130"/>
      <c r="AX91" s="130"/>
      <c r="AY91" s="130"/>
      <c r="AZ91" s="130"/>
      <c r="BA91" s="130"/>
      <c r="BB91" s="130"/>
      <c r="BC91" s="130"/>
      <c r="BD91" s="130"/>
      <c r="BE91" s="130"/>
      <c r="BF91" s="130"/>
      <c r="BG91" s="130"/>
      <c r="BH91" s="130"/>
      <c r="BI91" s="130"/>
      <c r="BJ91" s="130"/>
      <c r="BK91" s="130"/>
      <c r="BL91" s="130"/>
      <c r="BM91" s="130"/>
      <c r="BN91" s="130"/>
      <c r="BO91" s="130"/>
      <c r="BP91" s="130"/>
      <c r="BQ91" s="130"/>
    </row>
    <row r="92" spans="2:69">
      <c r="B92" s="53"/>
      <c r="C92" s="53"/>
      <c r="D92" s="128"/>
      <c r="E92" s="128"/>
      <c r="F92" s="79"/>
      <c r="G92" s="79"/>
      <c r="H92" s="7"/>
      <c r="I92" s="53"/>
      <c r="J92" s="53"/>
      <c r="K92" s="53"/>
      <c r="L92" s="53"/>
      <c r="M92" s="53"/>
      <c r="N92" s="129"/>
      <c r="O92" s="53"/>
      <c r="P92" s="53"/>
      <c r="Q92" s="53"/>
      <c r="R92" s="129"/>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c r="BP92" s="53"/>
      <c r="BQ92" s="53"/>
    </row>
    <row r="93" spans="2:69">
      <c r="U93" s="68"/>
    </row>
    <row r="94" spans="2:69">
      <c r="H94" s="161" t="s">
        <v>182</v>
      </c>
      <c r="V94" s="68"/>
    </row>
    <row r="95" spans="2:69">
      <c r="V95" s="68"/>
    </row>
    <row r="96" spans="2:69">
      <c r="H96" s="147"/>
      <c r="I96" s="147"/>
      <c r="J96" s="152"/>
      <c r="K96" s="152"/>
      <c r="L96" s="152"/>
      <c r="M96" s="152"/>
      <c r="N96" s="148" t="s">
        <v>146</v>
      </c>
    </row>
    <row r="97" spans="8:14">
      <c r="H97" s="153" t="s">
        <v>95</v>
      </c>
      <c r="I97" s="153" t="s">
        <v>152</v>
      </c>
      <c r="J97" s="153" t="s">
        <v>111</v>
      </c>
      <c r="K97" s="153" t="s">
        <v>147</v>
      </c>
      <c r="L97" s="153" t="s">
        <v>148</v>
      </c>
      <c r="M97" s="153" t="s">
        <v>149</v>
      </c>
      <c r="N97" s="153" t="s">
        <v>150</v>
      </c>
    </row>
    <row r="98" spans="8:14">
      <c r="H98" s="150" t="s">
        <v>119</v>
      </c>
      <c r="I98" s="151" t="e">
        <f>#REF!/1000</f>
        <v>#REF!</v>
      </c>
      <c r="J98" s="151" t="e">
        <f>SUM(J37:K37)</f>
        <v>#REF!</v>
      </c>
      <c r="K98" s="151" t="e">
        <f>SUM(L37:M37)</f>
        <v>#REF!</v>
      </c>
      <c r="L98" s="151" t="e">
        <f>SUM(N37:O37)</f>
        <v>#REF!</v>
      </c>
      <c r="M98" s="151" t="e">
        <f>SUM(P37:Q37)</f>
        <v>#REF!</v>
      </c>
      <c r="N98" s="151" t="e">
        <f>SUM(R37:S37)</f>
        <v>#REF!</v>
      </c>
    </row>
    <row r="99" spans="8:14">
      <c r="H99" s="150" t="s">
        <v>153</v>
      </c>
      <c r="I99" s="151" t="e">
        <f>#REF!/1000</f>
        <v>#REF!</v>
      </c>
      <c r="J99" s="151" t="e">
        <f>SUM(J38:K38)</f>
        <v>#REF!</v>
      </c>
      <c r="K99" s="151" t="e">
        <f>SUM(L38:M38)</f>
        <v>#REF!</v>
      </c>
      <c r="L99" s="151" t="e">
        <f>SUM(N38:O38)</f>
        <v>#REF!</v>
      </c>
      <c r="M99" s="151" t="e">
        <f>SUM(P38:Q38)</f>
        <v>#REF!</v>
      </c>
      <c r="N99" s="151" t="e">
        <f>SUM(R38:S38)</f>
        <v>#REF!</v>
      </c>
    </row>
    <row r="100" spans="8:14">
      <c r="H100" s="150" t="s">
        <v>154</v>
      </c>
      <c r="I100" s="151" t="e">
        <f>#REF!/1000</f>
        <v>#REF!</v>
      </c>
      <c r="J100" s="151" t="e">
        <f>SUM(J39:K39)</f>
        <v>#REF!</v>
      </c>
      <c r="K100" s="151" t="e">
        <f>SUM(L39:M39)</f>
        <v>#REF!</v>
      </c>
      <c r="L100" s="151" t="e">
        <f>SUM(N39:O39)</f>
        <v>#REF!</v>
      </c>
      <c r="M100" s="151" t="e">
        <f>SUM(P39:Q39)</f>
        <v>#REF!</v>
      </c>
      <c r="N100" s="151" t="e">
        <f>SUM(R39:S39)</f>
        <v>#REF!</v>
      </c>
    </row>
    <row r="101" spans="8:14">
      <c r="H101" s="150" t="s">
        <v>155</v>
      </c>
      <c r="I101" s="151" t="e">
        <f>#REF!/1000</f>
        <v>#REF!</v>
      </c>
      <c r="J101" s="151" t="e">
        <f>SUM(J40:K40)</f>
        <v>#REF!</v>
      </c>
      <c r="K101" s="151" t="e">
        <f>SUM(L40:M40)</f>
        <v>#REF!</v>
      </c>
      <c r="L101" s="151" t="e">
        <f>SUM(N40:O40)</f>
        <v>#REF!</v>
      </c>
      <c r="M101" s="151" t="e">
        <f>SUM(P40:Q40)</f>
        <v>#REF!</v>
      </c>
      <c r="N101" s="151" t="e">
        <f>SUM(R40:S40)</f>
        <v>#REF!</v>
      </c>
    </row>
    <row r="102" spans="8:14">
      <c r="H102" s="150" t="s">
        <v>156</v>
      </c>
      <c r="I102" s="151" t="e">
        <f>#REF!/1000</f>
        <v>#REF!</v>
      </c>
      <c r="J102" s="151" t="e">
        <f>SUM(J41:K41)</f>
        <v>#REF!</v>
      </c>
      <c r="K102" s="151" t="e">
        <f>SUM(L41:M41)</f>
        <v>#REF!</v>
      </c>
      <c r="L102" s="151" t="e">
        <f>SUM(N41:O41)</f>
        <v>#REF!</v>
      </c>
      <c r="M102" s="151" t="e">
        <f>SUM(P41:Q41)</f>
        <v>#REF!</v>
      </c>
      <c r="N102" s="151" t="e">
        <f>SUM(R41:S41)</f>
        <v>#REF!</v>
      </c>
    </row>
    <row r="103" spans="8:14">
      <c r="H103" s="149" t="s">
        <v>151</v>
      </c>
      <c r="I103" s="151" t="e">
        <f t="shared" ref="I103:N103" si="56">SUM(I98:I102)</f>
        <v>#REF!</v>
      </c>
      <c r="J103" s="151" t="e">
        <f t="shared" si="56"/>
        <v>#REF!</v>
      </c>
      <c r="K103" s="151" t="e">
        <f t="shared" si="56"/>
        <v>#REF!</v>
      </c>
      <c r="L103" s="151" t="e">
        <f t="shared" si="56"/>
        <v>#REF!</v>
      </c>
      <c r="M103" s="151" t="e">
        <f t="shared" si="56"/>
        <v>#REF!</v>
      </c>
      <c r="N103" s="151" t="e">
        <f t="shared" si="56"/>
        <v>#REF!</v>
      </c>
    </row>
    <row r="104" spans="8:14">
      <c r="I104" s="154" t="e">
        <f>IF(I103=SUM(#REF!)/1000,"OK!","ERROR!")</f>
        <v>#REF!</v>
      </c>
      <c r="J104" s="154" t="e">
        <f>IF(INT(J103)=INT(DCF!G12),"OK!","ERROR!")</f>
        <v>#REF!</v>
      </c>
      <c r="K104" s="154" t="e">
        <f>IF(K103=DCF!I12,"OK!","ERROR!")</f>
        <v>#REF!</v>
      </c>
      <c r="L104" s="154" t="e">
        <f>IF(L103=DCF!J12,"OK!","ERROR!")</f>
        <v>#REF!</v>
      </c>
      <c r="M104" s="154" t="e">
        <f>IF(M103=DCF!#REF!,"OK!","ERROR!")</f>
        <v>#REF!</v>
      </c>
      <c r="N104" s="154" t="e">
        <f>IF(N103=DCF!#REF!,"OK!","ERROR!")</f>
        <v>#REF!</v>
      </c>
    </row>
    <row r="106" spans="8:14">
      <c r="H106" s="147"/>
      <c r="I106" s="147"/>
      <c r="J106" s="152"/>
      <c r="K106" s="152"/>
      <c r="L106" s="152"/>
      <c r="M106" s="152"/>
      <c r="N106" s="148" t="s">
        <v>146</v>
      </c>
    </row>
    <row r="107" spans="8:14">
      <c r="H107" s="153" t="s">
        <v>157</v>
      </c>
      <c r="I107" s="153" t="s">
        <v>152</v>
      </c>
      <c r="J107" s="153" t="s">
        <v>111</v>
      </c>
      <c r="K107" s="153" t="s">
        <v>147</v>
      </c>
      <c r="L107" s="153" t="s">
        <v>148</v>
      </c>
      <c r="M107" s="153" t="s">
        <v>149</v>
      </c>
      <c r="N107" s="153" t="s">
        <v>150</v>
      </c>
    </row>
    <row r="108" spans="8:14">
      <c r="H108" s="150" t="s">
        <v>158</v>
      </c>
      <c r="I108" s="157" t="e">
        <f>#REF!/1000</f>
        <v>#REF!</v>
      </c>
      <c r="J108" s="157" t="e">
        <f>SUM(J42:K42)</f>
        <v>#REF!</v>
      </c>
      <c r="K108" s="157" t="e">
        <f>SUM(L42:M42)</f>
        <v>#REF!</v>
      </c>
      <c r="L108" s="157" t="e">
        <f>SUM(N42:O42)</f>
        <v>#REF!</v>
      </c>
      <c r="M108" s="157" t="e">
        <f>SUM(P42:Q42)</f>
        <v>#REF!</v>
      </c>
      <c r="N108" s="157" t="e">
        <f>SUM(R42:S42)</f>
        <v>#REF!</v>
      </c>
    </row>
    <row r="109" spans="8:14">
      <c r="H109" s="150" t="s">
        <v>159</v>
      </c>
      <c r="I109" s="157" t="e">
        <f>#REF!/1000</f>
        <v>#REF!</v>
      </c>
      <c r="J109" s="157" t="e">
        <f>SUM(J43:K43)</f>
        <v>#REF!</v>
      </c>
      <c r="K109" s="157" t="e">
        <f>SUM(L43:M43)</f>
        <v>#REF!</v>
      </c>
      <c r="L109" s="157" t="e">
        <f>SUM(N43:O43)</f>
        <v>#REF!</v>
      </c>
      <c r="M109" s="157" t="e">
        <f>SUM(P43:Q43)</f>
        <v>#REF!</v>
      </c>
      <c r="N109" s="157" t="e">
        <f>SUM(R43:S43)</f>
        <v>#REF!</v>
      </c>
    </row>
    <row r="110" spans="8:14">
      <c r="H110" s="150" t="s">
        <v>160</v>
      </c>
      <c r="I110" s="157" t="e">
        <f>#REF!/1000</f>
        <v>#REF!</v>
      </c>
      <c r="J110" s="157" t="e">
        <f>SUM(J46:K46)</f>
        <v>#REF!</v>
      </c>
      <c r="K110" s="157" t="e">
        <f>SUM(L46:M46)</f>
        <v>#REF!</v>
      </c>
      <c r="L110" s="157" t="e">
        <f>SUM(N46:O46)</f>
        <v>#REF!</v>
      </c>
      <c r="M110" s="157" t="e">
        <f>SUM(P46:Q46)</f>
        <v>#REF!</v>
      </c>
      <c r="N110" s="157" t="e">
        <f>SUM(R46:S46)</f>
        <v>#REF!</v>
      </c>
    </row>
    <row r="111" spans="8:14">
      <c r="H111" s="150" t="s">
        <v>161</v>
      </c>
      <c r="I111" s="157" t="e">
        <f>#REF!/1000</f>
        <v>#REF!</v>
      </c>
      <c r="J111" s="157" t="e">
        <f>SUM(J50:K50)</f>
        <v>#REF!</v>
      </c>
      <c r="K111" s="157" t="e">
        <f>SUM(L50:M50)</f>
        <v>#REF!</v>
      </c>
      <c r="L111" s="157" t="e">
        <f>SUM(N50:O50)</f>
        <v>#REF!</v>
      </c>
      <c r="M111" s="157" t="e">
        <f>SUM(P50:Q50)</f>
        <v>#REF!</v>
      </c>
      <c r="N111" s="157" t="e">
        <f>SUM(R50:S50)</f>
        <v>#REF!</v>
      </c>
    </row>
    <row r="112" spans="8:14">
      <c r="H112" s="150" t="s">
        <v>162</v>
      </c>
      <c r="I112" s="157" t="e">
        <f>#REF!/1000</f>
        <v>#REF!</v>
      </c>
      <c r="J112" s="157" t="e">
        <f>SUM(J53:K53)</f>
        <v>#REF!</v>
      </c>
      <c r="K112" s="157" t="e">
        <f>SUM(L53:M53)</f>
        <v>#REF!</v>
      </c>
      <c r="L112" s="157" t="e">
        <f>SUM(N53:O53)</f>
        <v>#REF!</v>
      </c>
      <c r="M112" s="157" t="e">
        <f>SUM(P53:Q53)</f>
        <v>#REF!</v>
      </c>
      <c r="N112" s="157" t="e">
        <f>SUM(R53:S53)</f>
        <v>#REF!</v>
      </c>
    </row>
    <row r="113" spans="8:14">
      <c r="H113" s="150" t="s">
        <v>163</v>
      </c>
      <c r="I113" s="157" t="e">
        <f>#REF!/1000</f>
        <v>#REF!</v>
      </c>
      <c r="J113" s="157" t="e">
        <f>SUM(J55:K55)</f>
        <v>#REF!</v>
      </c>
      <c r="K113" s="157" t="e">
        <f>SUM(L55:M55)</f>
        <v>#REF!</v>
      </c>
      <c r="L113" s="157" t="e">
        <f>SUM(N55:O55)</f>
        <v>#REF!</v>
      </c>
      <c r="M113" s="157" t="e">
        <f>SUM(P55:Q55)</f>
        <v>#REF!</v>
      </c>
      <c r="N113" s="157" t="e">
        <f>SUM(R55:S55)</f>
        <v>#REF!</v>
      </c>
    </row>
    <row r="114" spans="8:14">
      <c r="H114" s="150" t="s">
        <v>164</v>
      </c>
      <c r="I114" s="157" t="e">
        <f>#REF!</f>
        <v>#REF!</v>
      </c>
      <c r="J114" s="157" t="e">
        <f>SUM(J61:K61)</f>
        <v>#REF!</v>
      </c>
      <c r="K114" s="157" t="e">
        <f>SUM(L61:M61)</f>
        <v>#REF!</v>
      </c>
      <c r="L114" s="157" t="e">
        <f>SUM(N61:O61)</f>
        <v>#REF!</v>
      </c>
      <c r="M114" s="157" t="e">
        <f>SUM(P61:Q61)</f>
        <v>#REF!</v>
      </c>
      <c r="N114" s="157" t="e">
        <f>SUM(R61:S61)</f>
        <v>#REF!</v>
      </c>
    </row>
    <row r="115" spans="8:14">
      <c r="H115" s="150" t="s">
        <v>165</v>
      </c>
      <c r="I115" s="157" t="e">
        <f>#REF!/1000</f>
        <v>#REF!</v>
      </c>
      <c r="J115" s="157" t="e">
        <f>SUM(J64:K64)</f>
        <v>#REF!</v>
      </c>
      <c r="K115" s="157" t="e">
        <f>SUM(L64:M64)</f>
        <v>#REF!</v>
      </c>
      <c r="L115" s="157" t="e">
        <f>SUM(N64:O64)</f>
        <v>#REF!</v>
      </c>
      <c r="M115" s="157" t="e">
        <f>SUM(P64:Q64)</f>
        <v>#REF!</v>
      </c>
      <c r="N115" s="157" t="e">
        <f>SUM(R64:S64)</f>
        <v>#REF!</v>
      </c>
    </row>
    <row r="116" spans="8:14">
      <c r="H116" s="150" t="s">
        <v>166</v>
      </c>
      <c r="I116" s="157" t="e">
        <f>#REF!/1000</f>
        <v>#REF!</v>
      </c>
      <c r="J116" s="157" t="e">
        <f>SUM(J66:K66)</f>
        <v>#REF!</v>
      </c>
      <c r="K116" s="157" t="e">
        <f>SUM(L66:M66)</f>
        <v>#REF!</v>
      </c>
      <c r="L116" s="157" t="e">
        <f>SUM(N66:O66)</f>
        <v>#REF!</v>
      </c>
      <c r="M116" s="157" t="e">
        <f>SUM(P66:Q66)</f>
        <v>#REF!</v>
      </c>
      <c r="N116" s="157" t="e">
        <f>SUM(R66:S66)</f>
        <v>#REF!</v>
      </c>
    </row>
    <row r="117" spans="8:14">
      <c r="H117" s="149" t="s">
        <v>151</v>
      </c>
      <c r="I117" s="157" t="e">
        <f t="shared" ref="I117:N117" si="57">SUM(I108:I116)</f>
        <v>#REF!</v>
      </c>
      <c r="J117" s="157" t="e">
        <f t="shared" si="57"/>
        <v>#REF!</v>
      </c>
      <c r="K117" s="157" t="e">
        <f t="shared" si="57"/>
        <v>#REF!</v>
      </c>
      <c r="L117" s="157" t="e">
        <f t="shared" si="57"/>
        <v>#REF!</v>
      </c>
      <c r="M117" s="157" t="e">
        <f t="shared" si="57"/>
        <v>#REF!</v>
      </c>
      <c r="N117" s="157" t="e">
        <f t="shared" si="57"/>
        <v>#REF!</v>
      </c>
    </row>
    <row r="118" spans="8:14">
      <c r="I118" s="154" t="e">
        <f>IF(I117=DCF!#REF!,"OK!","ERROR!")</f>
        <v>#REF!</v>
      </c>
      <c r="J118" s="154" t="e">
        <f>IF(INT(J117)=INT(DCF!#REF!),"OK!","ERROR!")</f>
        <v>#REF!</v>
      </c>
      <c r="K118" s="154" t="e">
        <f>IF(K117=DCF!#REF!,"OK!","ERROR!")</f>
        <v>#REF!</v>
      </c>
      <c r="L118" s="154" t="e">
        <f>IF(INT(L117)=INT(DCF!#REF!),"OK!","ERROR!")</f>
        <v>#REF!</v>
      </c>
      <c r="M118" s="154" t="e">
        <f>IF(INT(M117)=INT(DCF!#REF!),"OK!","ERROR!")</f>
        <v>#REF!</v>
      </c>
      <c r="N118" s="154" t="e">
        <f>IF(N117=DCF!#REF!,"OK!","ERROR!")</f>
        <v>#REF!</v>
      </c>
    </row>
    <row r="120" spans="8:14">
      <c r="H120" s="147"/>
      <c r="I120" s="147"/>
      <c r="J120" s="152"/>
      <c r="K120" s="152"/>
      <c r="L120" s="152"/>
      <c r="M120" s="152"/>
      <c r="N120" s="148" t="s">
        <v>146</v>
      </c>
    </row>
    <row r="121" spans="8:14">
      <c r="H121" s="153" t="s">
        <v>167</v>
      </c>
      <c r="I121" s="153" t="s">
        <v>14</v>
      </c>
      <c r="J121" s="153" t="s">
        <v>168</v>
      </c>
      <c r="K121" s="153" t="s">
        <v>169</v>
      </c>
      <c r="L121" s="153" t="s">
        <v>170</v>
      </c>
      <c r="M121" s="153" t="s">
        <v>171</v>
      </c>
      <c r="N121" s="153" t="s">
        <v>172</v>
      </c>
    </row>
    <row r="122" spans="8:14">
      <c r="H122" s="150" t="s">
        <v>173</v>
      </c>
      <c r="I122" s="151" t="e">
        <f>I71</f>
        <v>#REF!</v>
      </c>
      <c r="J122" s="157" t="e">
        <f>K71</f>
        <v>#REF!</v>
      </c>
      <c r="K122" s="157" t="e">
        <f>M71</f>
        <v>#REF!</v>
      </c>
      <c r="L122" s="157" t="e">
        <f>O71</f>
        <v>#REF!</v>
      </c>
      <c r="M122" s="157" t="e">
        <f>Q71</f>
        <v>#REF!</v>
      </c>
      <c r="N122" s="157" t="e">
        <f>S71</f>
        <v>#REF!</v>
      </c>
    </row>
    <row r="123" spans="8:14">
      <c r="H123" s="150" t="s">
        <v>174</v>
      </c>
      <c r="I123" s="151" t="e">
        <f t="shared" ref="I123:I129" si="58">I72</f>
        <v>#REF!</v>
      </c>
      <c r="J123" s="157" t="e">
        <f t="shared" ref="J123:J129" si="59">K72</f>
        <v>#REF!</v>
      </c>
      <c r="K123" s="157" t="e">
        <f t="shared" ref="K123:K129" si="60">M72</f>
        <v>#REF!</v>
      </c>
      <c r="L123" s="157" t="e">
        <f t="shared" ref="L123:L129" si="61">O72</f>
        <v>#REF!</v>
      </c>
      <c r="M123" s="157" t="e">
        <f t="shared" ref="M123:M129" si="62">Q72</f>
        <v>#REF!</v>
      </c>
      <c r="N123" s="157" t="e">
        <f t="shared" ref="N123:N129" si="63">S72</f>
        <v>#REF!</v>
      </c>
    </row>
    <row r="124" spans="8:14">
      <c r="H124" s="150" t="s">
        <v>175</v>
      </c>
      <c r="I124" s="151" t="e">
        <f t="shared" si="58"/>
        <v>#REF!</v>
      </c>
      <c r="J124" s="157" t="e">
        <f t="shared" si="59"/>
        <v>#REF!</v>
      </c>
      <c r="K124" s="157" t="e">
        <f t="shared" si="60"/>
        <v>#REF!</v>
      </c>
      <c r="L124" s="157" t="e">
        <f t="shared" si="61"/>
        <v>#REF!</v>
      </c>
      <c r="M124" s="157" t="e">
        <f t="shared" si="62"/>
        <v>#REF!</v>
      </c>
      <c r="N124" s="157" t="e">
        <f t="shared" si="63"/>
        <v>#REF!</v>
      </c>
    </row>
    <row r="125" spans="8:14">
      <c r="H125" s="150" t="s">
        <v>176</v>
      </c>
      <c r="I125" s="151" t="e">
        <f t="shared" si="58"/>
        <v>#REF!</v>
      </c>
      <c r="J125" s="157" t="e">
        <f t="shared" si="59"/>
        <v>#REF!</v>
      </c>
      <c r="K125" s="157" t="e">
        <f t="shared" si="60"/>
        <v>#REF!</v>
      </c>
      <c r="L125" s="157" t="e">
        <f t="shared" si="61"/>
        <v>#REF!</v>
      </c>
      <c r="M125" s="157" t="e">
        <f t="shared" si="62"/>
        <v>#REF!</v>
      </c>
      <c r="N125" s="157" t="e">
        <f t="shared" si="63"/>
        <v>#REF!</v>
      </c>
    </row>
    <row r="126" spans="8:14">
      <c r="H126" s="150" t="s">
        <v>177</v>
      </c>
      <c r="I126" s="159" t="e">
        <f t="shared" si="58"/>
        <v>#REF!</v>
      </c>
      <c r="J126" s="157" t="e">
        <f t="shared" si="59"/>
        <v>#REF!</v>
      </c>
      <c r="K126" s="157" t="e">
        <f t="shared" si="60"/>
        <v>#REF!</v>
      </c>
      <c r="L126" s="157" t="e">
        <f t="shared" si="61"/>
        <v>#REF!</v>
      </c>
      <c r="M126" s="157" t="e">
        <f t="shared" si="62"/>
        <v>#REF!</v>
      </c>
      <c r="N126" s="157" t="e">
        <f t="shared" si="63"/>
        <v>#REF!</v>
      </c>
    </row>
    <row r="127" spans="8:14">
      <c r="H127" s="150" t="s">
        <v>178</v>
      </c>
      <c r="I127" s="151" t="e">
        <f t="shared" si="58"/>
        <v>#REF!</v>
      </c>
      <c r="J127" s="157" t="e">
        <f t="shared" si="59"/>
        <v>#REF!</v>
      </c>
      <c r="K127" s="157" t="e">
        <f t="shared" si="60"/>
        <v>#REF!</v>
      </c>
      <c r="L127" s="157" t="e">
        <f t="shared" si="61"/>
        <v>#REF!</v>
      </c>
      <c r="M127" s="157" t="e">
        <f t="shared" si="62"/>
        <v>#REF!</v>
      </c>
      <c r="N127" s="157" t="e">
        <f t="shared" si="63"/>
        <v>#REF!</v>
      </c>
    </row>
    <row r="128" spans="8:14">
      <c r="H128" s="150" t="s">
        <v>179</v>
      </c>
      <c r="I128" s="151" t="e">
        <f t="shared" si="58"/>
        <v>#REF!</v>
      </c>
      <c r="J128" s="157" t="e">
        <f t="shared" si="59"/>
        <v>#REF!</v>
      </c>
      <c r="K128" s="157" t="e">
        <f t="shared" si="60"/>
        <v>#REF!</v>
      </c>
      <c r="L128" s="157" t="e">
        <f t="shared" si="61"/>
        <v>#REF!</v>
      </c>
      <c r="M128" s="157" t="e">
        <f t="shared" si="62"/>
        <v>#REF!</v>
      </c>
      <c r="N128" s="157" t="e">
        <f t="shared" si="63"/>
        <v>#REF!</v>
      </c>
    </row>
    <row r="129" spans="8:14">
      <c r="H129" s="150" t="s">
        <v>180</v>
      </c>
      <c r="I129" s="151" t="e">
        <f t="shared" si="58"/>
        <v>#REF!</v>
      </c>
      <c r="J129" s="157" t="e">
        <f t="shared" si="59"/>
        <v>#REF!</v>
      </c>
      <c r="K129" s="157" t="e">
        <f t="shared" si="60"/>
        <v>#REF!</v>
      </c>
      <c r="L129" s="157" t="e">
        <f t="shared" si="61"/>
        <v>#REF!</v>
      </c>
      <c r="M129" s="157" t="e">
        <f t="shared" si="62"/>
        <v>#REF!</v>
      </c>
      <c r="N129" s="157" t="e">
        <f t="shared" si="63"/>
        <v>#REF!</v>
      </c>
    </row>
    <row r="130" spans="8:14">
      <c r="H130" s="150" t="s">
        <v>5</v>
      </c>
      <c r="I130" s="160" t="e">
        <f t="shared" ref="I130:N130" si="64">-SUM(I126:I129)+SUM(I122:I125)</f>
        <v>#REF!</v>
      </c>
      <c r="J130" s="158" t="e">
        <f t="shared" si="64"/>
        <v>#REF!</v>
      </c>
      <c r="K130" s="158" t="e">
        <f t="shared" si="64"/>
        <v>#REF!</v>
      </c>
      <c r="L130" s="158" t="e">
        <f t="shared" si="64"/>
        <v>#REF!</v>
      </c>
      <c r="M130" s="158" t="e">
        <f t="shared" si="64"/>
        <v>#REF!</v>
      </c>
      <c r="N130" s="158" t="e">
        <f t="shared" si="64"/>
        <v>#REF!</v>
      </c>
    </row>
    <row r="131" spans="8:14">
      <c r="H131" s="149" t="s">
        <v>4</v>
      </c>
      <c r="I131" s="149" t="s">
        <v>181</v>
      </c>
      <c r="J131" s="158" t="e">
        <f>I130-J130</f>
        <v>#REF!</v>
      </c>
      <c r="K131" s="158" t="e">
        <f>J130-K130</f>
        <v>#REF!</v>
      </c>
      <c r="L131" s="158" t="e">
        <f>K130-L130</f>
        <v>#REF!</v>
      </c>
      <c r="M131" s="158" t="e">
        <f>L130-M130</f>
        <v>#REF!</v>
      </c>
      <c r="N131" s="158" t="e">
        <f>M130-N130</f>
        <v>#REF!</v>
      </c>
    </row>
    <row r="132" spans="8:14">
      <c r="J132" s="154" t="e">
        <f>IF(INT(J131)=INT(DCF!#REF!),"OK!","ERROR!")</f>
        <v>#REF!</v>
      </c>
      <c r="K132" s="154" t="e">
        <f>IF(INT(K131)=INT(DCF!#REF!),"OK!","ERROR!")</f>
        <v>#REF!</v>
      </c>
      <c r="L132" s="154" t="e">
        <f>IF(INT(L131)=INT(DCF!#REF!),"OK!","ERROR!")</f>
        <v>#REF!</v>
      </c>
      <c r="M132" s="154" t="e">
        <f>IF(INT(M131)=INT(DCF!#REF!),"OK!","ERROR!")</f>
        <v>#REF!</v>
      </c>
      <c r="N132" s="154" t="e">
        <f>IF(INT(N131)=INT(DCF!#REF!),"OK!","ERROR!")</f>
        <v>#REF!</v>
      </c>
    </row>
  </sheetData>
  <phoneticPr fontId="10"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78"/>
  <sheetViews>
    <sheetView showGridLines="0" topLeftCell="A67" workbookViewId="0">
      <selection activeCell="L49" sqref="L48:L49"/>
    </sheetView>
  </sheetViews>
  <sheetFormatPr defaultColWidth="9.140625" defaultRowHeight="16.5"/>
  <cols>
    <col min="1" max="1" width="3.5703125" style="13" customWidth="1"/>
    <col min="2" max="2" width="29.5703125" style="13" customWidth="1"/>
    <col min="3" max="8" width="16" style="13" customWidth="1"/>
    <col min="9" max="9" width="37.85546875" style="13" customWidth="1"/>
    <col min="10" max="16384" width="9.140625" style="13"/>
  </cols>
  <sheetData>
    <row r="1" spans="1:9" ht="20.25">
      <c r="A1" s="5" t="str">
        <f ca="1">REPLACE(CELL("filename",$A$1),1,FIND("]",CELL("filename",$A$1),1),"")</f>
        <v>Pro FS</v>
      </c>
      <c r="B1" s="4"/>
      <c r="C1" s="4"/>
      <c r="D1" s="4"/>
      <c r="E1" s="4"/>
      <c r="F1" s="4"/>
      <c r="G1" s="4"/>
      <c r="H1" s="4"/>
      <c r="I1" s="4"/>
    </row>
    <row r="4" spans="1:9">
      <c r="A4" s="48" t="s">
        <v>34</v>
      </c>
      <c r="B4" s="45" t="s">
        <v>44</v>
      </c>
      <c r="F4" s="52"/>
    </row>
    <row r="6" spans="1:9">
      <c r="B6" s="359" t="s">
        <v>2</v>
      </c>
      <c r="C6" s="16" t="s">
        <v>45</v>
      </c>
      <c r="D6" s="16">
        <v>43830</v>
      </c>
      <c r="E6" s="16">
        <f>EOMONTH(D6,12)</f>
        <v>44196</v>
      </c>
      <c r="F6" s="16">
        <f>EOMONTH(E6,12)</f>
        <v>44561</v>
      </c>
      <c r="G6" s="16">
        <f>EOMONTH(F6,12)</f>
        <v>44926</v>
      </c>
      <c r="H6" s="16">
        <f>EOMONTH(G6,12)</f>
        <v>45291</v>
      </c>
      <c r="I6" s="359" t="s">
        <v>1</v>
      </c>
    </row>
    <row r="7" spans="1:9">
      <c r="B7" s="359"/>
      <c r="C7" s="17">
        <v>0</v>
      </c>
      <c r="D7" s="17">
        <v>1</v>
      </c>
      <c r="E7" s="17">
        <v>2</v>
      </c>
      <c r="F7" s="17">
        <v>3</v>
      </c>
      <c r="G7" s="17">
        <v>4</v>
      </c>
      <c r="H7" s="17">
        <v>5</v>
      </c>
      <c r="I7" s="359"/>
    </row>
    <row r="8" spans="1:9">
      <c r="B8" s="49" t="s">
        <v>67</v>
      </c>
      <c r="C8" s="22"/>
      <c r="D8" s="22"/>
      <c r="E8" s="22"/>
      <c r="F8" s="22"/>
      <c r="G8" s="22"/>
      <c r="H8" s="22"/>
      <c r="I8" s="50"/>
    </row>
    <row r="9" spans="1:9">
      <c r="B9" s="18" t="s">
        <v>48</v>
      </c>
      <c r="C9" s="22" t="e">
        <f t="shared" ref="C9:H9" si="0">C10+C11+C12+C13</f>
        <v>#REF!</v>
      </c>
      <c r="D9" s="22" t="e">
        <f t="shared" si="0"/>
        <v>#REF!</v>
      </c>
      <c r="E9" s="22" t="e">
        <f t="shared" si="0"/>
        <v>#REF!</v>
      </c>
      <c r="F9" s="22" t="e">
        <f t="shared" si="0"/>
        <v>#REF!</v>
      </c>
      <c r="G9" s="22" t="e">
        <f t="shared" si="0"/>
        <v>#REF!</v>
      </c>
      <c r="H9" s="22" t="e">
        <f t="shared" si="0"/>
        <v>#REF!</v>
      </c>
      <c r="I9" s="50"/>
    </row>
    <row r="10" spans="1:9">
      <c r="B10" s="19" t="s">
        <v>51</v>
      </c>
      <c r="C10" s="20" t="e">
        <f>SUM(#REF!/화폐단위)</f>
        <v>#REF!</v>
      </c>
      <c r="D10" s="20" t="e">
        <f>D78</f>
        <v>#REF!</v>
      </c>
      <c r="E10" s="20" t="e">
        <f>E78</f>
        <v>#REF!</v>
      </c>
      <c r="F10" s="20" t="e">
        <f>F78</f>
        <v>#REF!</v>
      </c>
      <c r="G10" s="20" t="e">
        <f>G78</f>
        <v>#REF!</v>
      </c>
      <c r="H10" s="20" t="e">
        <f>H78</f>
        <v>#REF!</v>
      </c>
      <c r="I10" s="50"/>
    </row>
    <row r="11" spans="1:9">
      <c r="B11" s="19" t="s">
        <v>87</v>
      </c>
      <c r="C11" s="20" t="e">
        <f>SUM(#REF!)/화폐단위</f>
        <v>#REF!</v>
      </c>
      <c r="D11" s="20" t="e">
        <f>C11-D72</f>
        <v>#REF!</v>
      </c>
      <c r="E11" s="20" t="e">
        <f>D11-E72</f>
        <v>#REF!</v>
      </c>
      <c r="F11" s="20" t="e">
        <f>E11-F72</f>
        <v>#REF!</v>
      </c>
      <c r="G11" s="20" t="e">
        <f>F11-G72</f>
        <v>#REF!</v>
      </c>
      <c r="H11" s="20" t="e">
        <f>G11-H72</f>
        <v>#REF!</v>
      </c>
      <c r="I11" s="50"/>
    </row>
    <row r="12" spans="1:9">
      <c r="B12" s="19" t="s">
        <v>32</v>
      </c>
      <c r="C12" s="20" t="e">
        <f>SUM(#REF!)/화폐단위</f>
        <v>#REF!</v>
      </c>
      <c r="D12" s="20">
        <f>SUMIF('Cash Flow'!$J$19:$BQ$19,D$6,'Cash Flow'!$J$71:$BQ$71)</f>
        <v>0</v>
      </c>
      <c r="E12" s="20">
        <f>SUMIF('Cash Flow'!$J$19:$BQ$19,E$6,'Cash Flow'!$J$71:$BQ$71)</f>
        <v>0</v>
      </c>
      <c r="F12" s="20">
        <f>SUMIF('Cash Flow'!$J$19:$BQ$19,F$6,'Cash Flow'!$J$71:$BQ$71)</f>
        <v>0</v>
      </c>
      <c r="G12" s="20">
        <f>SUMIF('Cash Flow'!$J$19:$BQ$19,G$6,'Cash Flow'!$J$71:$BQ$71)</f>
        <v>0</v>
      </c>
      <c r="H12" s="20">
        <f>SUMIF('Cash Flow'!$J$19:$BQ$19,H$6,'Cash Flow'!$J$71:$BQ$71)</f>
        <v>0</v>
      </c>
      <c r="I12" s="50"/>
    </row>
    <row r="13" spans="1:9">
      <c r="B13" s="19" t="s">
        <v>52</v>
      </c>
      <c r="C13" s="20" t="e">
        <f>SUM(#REF!)/화폐단위-C10-C11-C12</f>
        <v>#REF!</v>
      </c>
      <c r="D13" s="20" t="e">
        <f>C13</f>
        <v>#REF!</v>
      </c>
      <c r="E13" s="20" t="e">
        <f>D13</f>
        <v>#REF!</v>
      </c>
      <c r="F13" s="20" t="e">
        <f>E13</f>
        <v>#REF!</v>
      </c>
      <c r="G13" s="20" t="e">
        <f>F13</f>
        <v>#REF!</v>
      </c>
      <c r="H13" s="20" t="e">
        <f>G13</f>
        <v>#REF!</v>
      </c>
      <c r="I13" s="50" t="s">
        <v>94</v>
      </c>
    </row>
    <row r="14" spans="1:9">
      <c r="B14" s="18" t="s">
        <v>49</v>
      </c>
      <c r="C14" s="22" t="e">
        <f t="shared" ref="C14:H14" si="1">C15+C16</f>
        <v>#REF!</v>
      </c>
      <c r="D14" s="22" t="e">
        <f t="shared" si="1"/>
        <v>#REF!</v>
      </c>
      <c r="E14" s="22" t="e">
        <f t="shared" si="1"/>
        <v>#REF!</v>
      </c>
      <c r="F14" s="22" t="e">
        <f t="shared" si="1"/>
        <v>#REF!</v>
      </c>
      <c r="G14" s="22" t="e">
        <f t="shared" si="1"/>
        <v>#REF!</v>
      </c>
      <c r="H14" s="22" t="e">
        <f t="shared" si="1"/>
        <v>#REF!</v>
      </c>
      <c r="I14" s="50"/>
    </row>
    <row r="15" spans="1:9">
      <c r="B15" s="19" t="s">
        <v>53</v>
      </c>
      <c r="C15" s="20" t="e">
        <f>SUM(#REF!,#REF!)/화폐단위</f>
        <v>#REF!</v>
      </c>
      <c r="D15" s="20" t="e">
        <f>C15-DCF!#REF!-DCF!#REF!</f>
        <v>#REF!</v>
      </c>
      <c r="E15" s="20" t="e">
        <f>D15-DCF!#REF!-DCF!#REF!</f>
        <v>#REF!</v>
      </c>
      <c r="F15" s="20" t="e">
        <f>E15-DCF!#REF!-DCF!#REF!</f>
        <v>#REF!</v>
      </c>
      <c r="G15" s="20" t="e">
        <f>F15-DCF!#REF!-DCF!#REF!</f>
        <v>#REF!</v>
      </c>
      <c r="H15" s="20" t="e">
        <f>G15-DCF!#REF!-DCF!#REF!</f>
        <v>#REF!</v>
      </c>
      <c r="I15" s="50"/>
    </row>
    <row r="16" spans="1:9">
      <c r="B16" s="19" t="s">
        <v>54</v>
      </c>
      <c r="C16" s="20" t="e">
        <f>SUM(#REF!)/화폐단위-C15</f>
        <v>#REF!</v>
      </c>
      <c r="D16" s="20" t="e">
        <f>C16</f>
        <v>#REF!</v>
      </c>
      <c r="E16" s="20" t="e">
        <f>D16</f>
        <v>#REF!</v>
      </c>
      <c r="F16" s="20" t="e">
        <f>E16</f>
        <v>#REF!</v>
      </c>
      <c r="G16" s="20" t="e">
        <f>F16</f>
        <v>#REF!</v>
      </c>
      <c r="H16" s="20" t="e">
        <f>G16</f>
        <v>#REF!</v>
      </c>
      <c r="I16" s="50" t="s">
        <v>94</v>
      </c>
    </row>
    <row r="17" spans="2:9">
      <c r="B17" s="18" t="s">
        <v>50</v>
      </c>
      <c r="C17" s="22" t="e">
        <f t="shared" ref="C17:H17" si="2">C9+C14</f>
        <v>#REF!</v>
      </c>
      <c r="D17" s="22" t="e">
        <f t="shared" si="2"/>
        <v>#REF!</v>
      </c>
      <c r="E17" s="22" t="e">
        <f t="shared" si="2"/>
        <v>#REF!</v>
      </c>
      <c r="F17" s="22" t="e">
        <f t="shared" si="2"/>
        <v>#REF!</v>
      </c>
      <c r="G17" s="22" t="e">
        <f t="shared" si="2"/>
        <v>#REF!</v>
      </c>
      <c r="H17" s="22" t="e">
        <f t="shared" si="2"/>
        <v>#REF!</v>
      </c>
      <c r="I17" s="50"/>
    </row>
    <row r="18" spans="2:9">
      <c r="B18" s="49" t="s">
        <v>68</v>
      </c>
      <c r="C18" s="22"/>
      <c r="D18" s="22"/>
      <c r="E18" s="22"/>
      <c r="F18" s="22"/>
      <c r="G18" s="22"/>
      <c r="H18" s="22"/>
      <c r="I18" s="50"/>
    </row>
    <row r="19" spans="2:9">
      <c r="B19" s="18" t="s">
        <v>55</v>
      </c>
      <c r="C19" s="22" t="e">
        <f t="shared" ref="C19:H19" si="3">C20+C21+C22</f>
        <v>#REF!</v>
      </c>
      <c r="D19" s="22" t="e">
        <f t="shared" si="3"/>
        <v>#REF!</v>
      </c>
      <c r="E19" s="22" t="e">
        <f t="shared" si="3"/>
        <v>#REF!</v>
      </c>
      <c r="F19" s="22" t="e">
        <f t="shared" si="3"/>
        <v>#REF!</v>
      </c>
      <c r="G19" s="22" t="e">
        <f t="shared" si="3"/>
        <v>#REF!</v>
      </c>
      <c r="H19" s="22" t="e">
        <f t="shared" si="3"/>
        <v>#REF!</v>
      </c>
      <c r="I19" s="50"/>
    </row>
    <row r="20" spans="2:9">
      <c r="B20" s="19" t="s">
        <v>33</v>
      </c>
      <c r="C20" s="20" t="e">
        <f>SUM(#REF!)/화폐단위</f>
        <v>#REF!</v>
      </c>
      <c r="D20" s="20">
        <f>SUMIF('Cash Flow'!$J$19:$BQ$19,D$6,'Cash Flow'!$J$75:$BQ$75)</f>
        <v>0</v>
      </c>
      <c r="E20" s="20">
        <f>SUMIF('Cash Flow'!$J$19:$BQ$19,E$6,'Cash Flow'!$J$75:$BQ$75)</f>
        <v>0</v>
      </c>
      <c r="F20" s="20">
        <f>SUMIF('Cash Flow'!$J$19:$BQ$19,F$6,'Cash Flow'!$J$75:$BQ$75)</f>
        <v>0</v>
      </c>
      <c r="G20" s="20">
        <f>SUMIF('Cash Flow'!$J$19:$BQ$19,G$6,'Cash Flow'!$J$75:$BQ$75)</f>
        <v>0</v>
      </c>
      <c r="H20" s="20">
        <f>SUMIF('Cash Flow'!$J$19:$BQ$19,H$6,'Cash Flow'!$J$75:$BQ$75)</f>
        <v>0</v>
      </c>
      <c r="I20" s="50"/>
    </row>
    <row r="21" spans="2:9">
      <c r="B21" s="19" t="s">
        <v>85</v>
      </c>
      <c r="C21" s="20" t="e">
        <f>SUM(#REF!,#REF!)/화폐단위</f>
        <v>#REF!</v>
      </c>
      <c r="D21" s="20">
        <v>0</v>
      </c>
      <c r="E21" s="20">
        <v>0</v>
      </c>
      <c r="F21" s="20" t="e">
        <f>E26+F53</f>
        <v>#REF!</v>
      </c>
      <c r="G21" s="20">
        <v>0</v>
      </c>
      <c r="H21" s="20">
        <v>0</v>
      </c>
      <c r="I21" s="50"/>
    </row>
    <row r="22" spans="2:9">
      <c r="B22" s="19" t="s">
        <v>56</v>
      </c>
      <c r="C22" s="20" t="e">
        <f>SUM(#REF!)/화폐단위-C20-C21</f>
        <v>#REF!</v>
      </c>
      <c r="D22" s="20" t="e">
        <f>C22</f>
        <v>#REF!</v>
      </c>
      <c r="E22" s="20" t="e">
        <f>D22</f>
        <v>#REF!</v>
      </c>
      <c r="F22" s="20" t="e">
        <f>E22</f>
        <v>#REF!</v>
      </c>
      <c r="G22" s="20" t="e">
        <f>F22</f>
        <v>#REF!</v>
      </c>
      <c r="H22" s="20" t="e">
        <f>G22</f>
        <v>#REF!</v>
      </c>
      <c r="I22" s="50" t="s">
        <v>94</v>
      </c>
    </row>
    <row r="23" spans="2:9">
      <c r="B23" s="18" t="s">
        <v>57</v>
      </c>
      <c r="C23" s="22" t="e">
        <f t="shared" ref="C23:H23" si="4">C24+C25+C26+C27</f>
        <v>#REF!</v>
      </c>
      <c r="D23" s="22" t="e">
        <f t="shared" si="4"/>
        <v>#REF!</v>
      </c>
      <c r="E23" s="22" t="e">
        <f t="shared" si="4"/>
        <v>#REF!</v>
      </c>
      <c r="F23" s="22" t="e">
        <f t="shared" si="4"/>
        <v>#REF!</v>
      </c>
      <c r="G23" s="22" t="e">
        <f t="shared" si="4"/>
        <v>#REF!</v>
      </c>
      <c r="H23" s="22" t="e">
        <f t="shared" si="4"/>
        <v>#REF!</v>
      </c>
      <c r="I23" s="50"/>
    </row>
    <row r="24" spans="2:9">
      <c r="B24" s="19" t="s">
        <v>58</v>
      </c>
      <c r="C24" s="20" t="e">
        <f>SUM(#REF!)/화폐단위</f>
        <v>#REF!</v>
      </c>
      <c r="D24" s="20" t="e">
        <f>C24+D66</f>
        <v>#REF!</v>
      </c>
      <c r="E24" s="20" t="e">
        <f>D24+E66</f>
        <v>#REF!</v>
      </c>
      <c r="F24" s="20" t="e">
        <f>E24+F66</f>
        <v>#REF!</v>
      </c>
      <c r="G24" s="20" t="e">
        <f>F24+G66</f>
        <v>#REF!</v>
      </c>
      <c r="H24" s="20" t="e">
        <f>G24+H66</f>
        <v>#REF!</v>
      </c>
      <c r="I24" s="50"/>
    </row>
    <row r="25" spans="2:9">
      <c r="B25" s="19" t="s">
        <v>59</v>
      </c>
      <c r="C25" s="20" t="e">
        <f>SUM(#REF!)/화폐단위</f>
        <v>#REF!</v>
      </c>
      <c r="D25" s="20" t="e">
        <f>C25+D71</f>
        <v>#REF!</v>
      </c>
      <c r="E25" s="20" t="e">
        <f>D25+E71</f>
        <v>#REF!</v>
      </c>
      <c r="F25" s="20" t="e">
        <f>E25+F71</f>
        <v>#REF!</v>
      </c>
      <c r="G25" s="20" t="e">
        <f>F25+G71</f>
        <v>#REF!</v>
      </c>
      <c r="H25" s="20" t="e">
        <f>G25+H71</f>
        <v>#REF!</v>
      </c>
      <c r="I25" s="50"/>
    </row>
    <row r="26" spans="2:9">
      <c r="B26" s="19" t="s">
        <v>77</v>
      </c>
      <c r="C26" s="20" t="e">
        <f>SUM(#REF!,#REF!,#REF!)/화폐단위</f>
        <v>#REF!</v>
      </c>
      <c r="D26" s="20" t="e">
        <f>C26+(D53+(C21+D75))</f>
        <v>#REF!</v>
      </c>
      <c r="E26" s="20" t="e">
        <f>D26+E53</f>
        <v>#REF!</v>
      </c>
      <c r="F26" s="20">
        <v>0</v>
      </c>
      <c r="G26" s="20">
        <v>0</v>
      </c>
      <c r="H26" s="20">
        <v>0</v>
      </c>
      <c r="I26" s="50" t="s">
        <v>78</v>
      </c>
    </row>
    <row r="27" spans="2:9">
      <c r="B27" s="19" t="s">
        <v>60</v>
      </c>
      <c r="C27" s="20" t="e">
        <f>SUM(#REF!)/화폐단위-C24-C25-C26</f>
        <v>#REF!</v>
      </c>
      <c r="D27" s="20" t="e">
        <f>C27</f>
        <v>#REF!</v>
      </c>
      <c r="E27" s="20" t="e">
        <f>D27</f>
        <v>#REF!</v>
      </c>
      <c r="F27" s="20" t="e">
        <f>E27</f>
        <v>#REF!</v>
      </c>
      <c r="G27" s="20" t="e">
        <f>F27</f>
        <v>#REF!</v>
      </c>
      <c r="H27" s="20" t="e">
        <f>G27</f>
        <v>#REF!</v>
      </c>
      <c r="I27" s="50" t="s">
        <v>94</v>
      </c>
    </row>
    <row r="28" spans="2:9">
      <c r="B28" s="18" t="s">
        <v>61</v>
      </c>
      <c r="C28" s="22" t="e">
        <f t="shared" ref="C28:H28" si="5">C19+C23</f>
        <v>#REF!</v>
      </c>
      <c r="D28" s="22" t="e">
        <f t="shared" si="5"/>
        <v>#REF!</v>
      </c>
      <c r="E28" s="22" t="e">
        <f t="shared" si="5"/>
        <v>#REF!</v>
      </c>
      <c r="F28" s="22" t="e">
        <f t="shared" si="5"/>
        <v>#REF!</v>
      </c>
      <c r="G28" s="22" t="e">
        <f t="shared" si="5"/>
        <v>#REF!</v>
      </c>
      <c r="H28" s="22" t="e">
        <f t="shared" si="5"/>
        <v>#REF!</v>
      </c>
      <c r="I28" s="50"/>
    </row>
    <row r="29" spans="2:9">
      <c r="B29" s="49" t="s">
        <v>69</v>
      </c>
      <c r="C29" s="22"/>
      <c r="D29" s="22"/>
      <c r="E29" s="22"/>
      <c r="F29" s="22"/>
      <c r="G29" s="22"/>
      <c r="H29" s="22"/>
      <c r="I29" s="50"/>
    </row>
    <row r="30" spans="2:9">
      <c r="B30" s="19" t="s">
        <v>62</v>
      </c>
      <c r="C30" s="20" t="e">
        <f>SUM(#REF!)/화폐단위</f>
        <v>#REF!</v>
      </c>
      <c r="D30" s="20" t="e">
        <f t="shared" ref="D30:H31" si="6">C30</f>
        <v>#REF!</v>
      </c>
      <c r="E30" s="20" t="e">
        <f t="shared" si="6"/>
        <v>#REF!</v>
      </c>
      <c r="F30" s="20" t="e">
        <f t="shared" si="6"/>
        <v>#REF!</v>
      </c>
      <c r="G30" s="20" t="e">
        <f t="shared" si="6"/>
        <v>#REF!</v>
      </c>
      <c r="H30" s="20" t="e">
        <f t="shared" si="6"/>
        <v>#REF!</v>
      </c>
      <c r="I30" s="50" t="s">
        <v>94</v>
      </c>
    </row>
    <row r="31" spans="2:9">
      <c r="B31" s="19" t="s">
        <v>63</v>
      </c>
      <c r="C31" s="20" t="e">
        <f>SUM(#REF!,#REF!)/화폐단위</f>
        <v>#REF!</v>
      </c>
      <c r="D31" s="20" t="e">
        <f t="shared" si="6"/>
        <v>#REF!</v>
      </c>
      <c r="E31" s="20" t="e">
        <f t="shared" si="6"/>
        <v>#REF!</v>
      </c>
      <c r="F31" s="20" t="e">
        <f t="shared" si="6"/>
        <v>#REF!</v>
      </c>
      <c r="G31" s="20" t="e">
        <f t="shared" si="6"/>
        <v>#REF!</v>
      </c>
      <c r="H31" s="20" t="e">
        <f t="shared" si="6"/>
        <v>#REF!</v>
      </c>
      <c r="I31" s="50" t="s">
        <v>94</v>
      </c>
    </row>
    <row r="32" spans="2:9">
      <c r="B32" s="19" t="s">
        <v>64</v>
      </c>
      <c r="C32" s="20" t="e">
        <f>-SUM(#REF!)/화폐단위</f>
        <v>#REF!</v>
      </c>
      <c r="D32" s="20" t="e">
        <f>C32+D56</f>
        <v>#REF!</v>
      </c>
      <c r="E32" s="20" t="e">
        <f>D32+E56</f>
        <v>#REF!</v>
      </c>
      <c r="F32" s="20" t="e">
        <f>E32+F56</f>
        <v>#REF!</v>
      </c>
      <c r="G32" s="20" t="e">
        <f>F32+G56</f>
        <v>#REF!</v>
      </c>
      <c r="H32" s="20" t="e">
        <f>G32+H56</f>
        <v>#REF!</v>
      </c>
      <c r="I32" s="50"/>
    </row>
    <row r="33" spans="1:9">
      <c r="B33" s="18" t="s">
        <v>65</v>
      </c>
      <c r="C33" s="22" t="e">
        <f t="shared" ref="C33:H33" si="7">C30+C31+C32</f>
        <v>#REF!</v>
      </c>
      <c r="D33" s="22" t="e">
        <f t="shared" si="7"/>
        <v>#REF!</v>
      </c>
      <c r="E33" s="22" t="e">
        <f t="shared" si="7"/>
        <v>#REF!</v>
      </c>
      <c r="F33" s="22" t="e">
        <f t="shared" si="7"/>
        <v>#REF!</v>
      </c>
      <c r="G33" s="22" t="e">
        <f t="shared" si="7"/>
        <v>#REF!</v>
      </c>
      <c r="H33" s="22" t="e">
        <f t="shared" si="7"/>
        <v>#REF!</v>
      </c>
      <c r="I33" s="50"/>
    </row>
    <row r="34" spans="1:9">
      <c r="B34" s="18" t="s">
        <v>66</v>
      </c>
      <c r="C34" s="22" t="e">
        <f t="shared" ref="C34:H34" si="8">C28+C33</f>
        <v>#REF!</v>
      </c>
      <c r="D34" s="22" t="e">
        <f t="shared" si="8"/>
        <v>#REF!</v>
      </c>
      <c r="E34" s="22" t="e">
        <f t="shared" si="8"/>
        <v>#REF!</v>
      </c>
      <c r="F34" s="22" t="e">
        <f t="shared" si="8"/>
        <v>#REF!</v>
      </c>
      <c r="G34" s="22" t="e">
        <f t="shared" si="8"/>
        <v>#REF!</v>
      </c>
      <c r="H34" s="22" t="e">
        <f t="shared" si="8"/>
        <v>#REF!</v>
      </c>
      <c r="I34" s="50"/>
    </row>
    <row r="35" spans="1:9">
      <c r="C35" s="13" t="e">
        <f t="shared" ref="C35:H35" si="9">C34=C17</f>
        <v>#REF!</v>
      </c>
      <c r="D35" s="13" t="e">
        <f t="shared" si="9"/>
        <v>#REF!</v>
      </c>
      <c r="E35" s="13" t="e">
        <f t="shared" si="9"/>
        <v>#REF!</v>
      </c>
      <c r="F35" s="13" t="e">
        <f t="shared" si="9"/>
        <v>#REF!</v>
      </c>
      <c r="G35" s="13" t="e">
        <f t="shared" si="9"/>
        <v>#REF!</v>
      </c>
      <c r="H35" s="13" t="e">
        <f t="shared" si="9"/>
        <v>#REF!</v>
      </c>
    </row>
    <row r="36" spans="1:9">
      <c r="D36" s="51"/>
      <c r="E36" s="51"/>
      <c r="F36" s="51"/>
      <c r="G36" s="51"/>
      <c r="H36" s="51"/>
    </row>
    <row r="37" spans="1:9">
      <c r="A37" s="48" t="s">
        <v>34</v>
      </c>
      <c r="B37" s="45" t="s">
        <v>46</v>
      </c>
    </row>
    <row r="39" spans="1:9">
      <c r="B39" s="359" t="s">
        <v>2</v>
      </c>
      <c r="C39" s="16">
        <v>43465</v>
      </c>
      <c r="D39" s="16">
        <v>43830</v>
      </c>
      <c r="E39" s="16">
        <f>EOMONTH(D39,12)</f>
        <v>44196</v>
      </c>
      <c r="F39" s="16">
        <f>EOMONTH(E39,12)</f>
        <v>44561</v>
      </c>
      <c r="G39" s="16">
        <f>EOMONTH(F39,12)</f>
        <v>44926</v>
      </c>
      <c r="H39" s="16">
        <f>EOMONTH(G39,12)</f>
        <v>45291</v>
      </c>
      <c r="I39" s="359" t="s">
        <v>1</v>
      </c>
    </row>
    <row r="40" spans="1:9">
      <c r="B40" s="359"/>
      <c r="C40" s="17">
        <v>0</v>
      </c>
      <c r="D40" s="17">
        <v>1</v>
      </c>
      <c r="E40" s="17">
        <v>2</v>
      </c>
      <c r="F40" s="17">
        <v>3</v>
      </c>
      <c r="G40" s="17">
        <v>4</v>
      </c>
      <c r="H40" s="17">
        <v>5</v>
      </c>
      <c r="I40" s="359"/>
    </row>
    <row r="41" spans="1:9">
      <c r="B41" s="18" t="s">
        <v>21</v>
      </c>
      <c r="C41" s="22">
        <v>65098.881635999998</v>
      </c>
      <c r="D41" s="22" t="e">
        <f>D42+D43+D44</f>
        <v>#REF!</v>
      </c>
      <c r="E41" s="22" t="e">
        <f>E42+E43+E44</f>
        <v>#REF!</v>
      </c>
      <c r="F41" s="22" t="e">
        <f>F42+F43+F44</f>
        <v>#REF!</v>
      </c>
      <c r="G41" s="22" t="e">
        <f>G42+G43+G44</f>
        <v>#REF!</v>
      </c>
      <c r="H41" s="22" t="e">
        <f>H42+H43+H44</f>
        <v>#REF!</v>
      </c>
      <c r="I41" s="50"/>
    </row>
    <row r="42" spans="1:9">
      <c r="B42" s="19" t="s">
        <v>16</v>
      </c>
      <c r="C42" s="20"/>
      <c r="D42" s="20" t="e">
        <f>DCF!#REF!</f>
        <v>#REF!</v>
      </c>
      <c r="E42" s="20" t="e">
        <f>DCF!#REF!</f>
        <v>#REF!</v>
      </c>
      <c r="F42" s="20" t="e">
        <f>DCF!#REF!</f>
        <v>#REF!</v>
      </c>
      <c r="G42" s="20" t="e">
        <f>DCF!#REF!</f>
        <v>#REF!</v>
      </c>
      <c r="H42" s="20" t="e">
        <f>DCF!#REF!</f>
        <v>#REF!</v>
      </c>
      <c r="I42" s="50"/>
    </row>
    <row r="43" spans="1:9">
      <c r="B43" s="19" t="s">
        <v>17</v>
      </c>
      <c r="C43" s="20"/>
      <c r="D43" s="20" t="e">
        <f>DCF!#REF!</f>
        <v>#REF!</v>
      </c>
      <c r="E43" s="20" t="e">
        <f>DCF!#REF!</f>
        <v>#REF!</v>
      </c>
      <c r="F43" s="20" t="e">
        <f>DCF!#REF!</f>
        <v>#REF!</v>
      </c>
      <c r="G43" s="20" t="e">
        <f>DCF!#REF!</f>
        <v>#REF!</v>
      </c>
      <c r="H43" s="20" t="e">
        <f>DCF!#REF!</f>
        <v>#REF!</v>
      </c>
      <c r="I43" s="50"/>
    </row>
    <row r="44" spans="1:9">
      <c r="B44" s="19" t="s">
        <v>18</v>
      </c>
      <c r="C44" s="20"/>
      <c r="D44" s="20" t="e">
        <f>DCF!#REF!</f>
        <v>#REF!</v>
      </c>
      <c r="E44" s="20" t="e">
        <f>DCF!#REF!</f>
        <v>#REF!</v>
      </c>
      <c r="F44" s="20" t="e">
        <f>DCF!#REF!</f>
        <v>#REF!</v>
      </c>
      <c r="G44" s="20" t="e">
        <f>DCF!#REF!</f>
        <v>#REF!</v>
      </c>
      <c r="H44" s="20" t="e">
        <f>DCF!#REF!</f>
        <v>#REF!</v>
      </c>
      <c r="I44" s="50"/>
    </row>
    <row r="45" spans="1:9">
      <c r="B45" s="18" t="s">
        <v>31</v>
      </c>
      <c r="C45" s="22">
        <v>61887.598737</v>
      </c>
      <c r="D45" s="22" t="e">
        <f>D46+D47+D48</f>
        <v>#REF!</v>
      </c>
      <c r="E45" s="22" t="e">
        <f>E46+E47+E48</f>
        <v>#REF!</v>
      </c>
      <c r="F45" s="22" t="e">
        <f>F46+F47+F48</f>
        <v>#REF!</v>
      </c>
      <c r="G45" s="22" t="e">
        <f>G46+G47+G48</f>
        <v>#REF!</v>
      </c>
      <c r="H45" s="22" t="e">
        <f>H46+H47+H48</f>
        <v>#REF!</v>
      </c>
      <c r="I45" s="50"/>
    </row>
    <row r="46" spans="1:9">
      <c r="B46" s="19" t="s">
        <v>70</v>
      </c>
      <c r="C46" s="20"/>
      <c r="D46" s="20">
        <f>DCF!G12</f>
        <v>7224.1865713520428</v>
      </c>
      <c r="E46" s="20">
        <f>DCF!I12</f>
        <v>10985.867444435547</v>
      </c>
      <c r="F46" s="20">
        <f>DCF!J12</f>
        <v>11934.367032938415</v>
      </c>
      <c r="G46" s="20" t="e">
        <f>DCF!#REF!</f>
        <v>#REF!</v>
      </c>
      <c r="H46" s="20" t="e">
        <f>DCF!#REF!</f>
        <v>#REF!</v>
      </c>
      <c r="I46" s="50"/>
    </row>
    <row r="47" spans="1:9">
      <c r="B47" s="19" t="s">
        <v>71</v>
      </c>
      <c r="C47" s="20"/>
      <c r="D47" s="20" t="e">
        <f>DCF!#REF!</f>
        <v>#REF!</v>
      </c>
      <c r="E47" s="20" t="e">
        <f>DCF!#REF!</f>
        <v>#REF!</v>
      </c>
      <c r="F47" s="20" t="e">
        <f>DCF!#REF!</f>
        <v>#REF!</v>
      </c>
      <c r="G47" s="20" t="e">
        <f>DCF!#REF!</f>
        <v>#REF!</v>
      </c>
      <c r="H47" s="20" t="e">
        <f>DCF!#REF!</f>
        <v>#REF!</v>
      </c>
      <c r="I47" s="50"/>
    </row>
    <row r="48" spans="1:9">
      <c r="B48" s="19" t="s">
        <v>19</v>
      </c>
      <c r="C48" s="20"/>
      <c r="D48" s="20" t="e">
        <f>DCF!#REF!</f>
        <v>#REF!</v>
      </c>
      <c r="E48" s="20" t="e">
        <f>DCF!#REF!</f>
        <v>#REF!</v>
      </c>
      <c r="F48" s="20" t="e">
        <f>DCF!#REF!</f>
        <v>#REF!</v>
      </c>
      <c r="G48" s="20" t="e">
        <f>DCF!#REF!</f>
        <v>#REF!</v>
      </c>
      <c r="H48" s="20" t="e">
        <f>DCF!#REF!</f>
        <v>#REF!</v>
      </c>
      <c r="I48" s="50"/>
    </row>
    <row r="49" spans="1:9">
      <c r="B49" s="18" t="s">
        <v>72</v>
      </c>
      <c r="C49" s="22">
        <f t="shared" ref="C49:H49" si="10">C41-C45</f>
        <v>3211.282898999998</v>
      </c>
      <c r="D49" s="22" t="e">
        <f t="shared" si="10"/>
        <v>#REF!</v>
      </c>
      <c r="E49" s="22" t="e">
        <f t="shared" si="10"/>
        <v>#REF!</v>
      </c>
      <c r="F49" s="22" t="e">
        <f t="shared" si="10"/>
        <v>#REF!</v>
      </c>
      <c r="G49" s="22" t="e">
        <f t="shared" si="10"/>
        <v>#REF!</v>
      </c>
      <c r="H49" s="22" t="e">
        <f t="shared" si="10"/>
        <v>#REF!</v>
      </c>
      <c r="I49" s="50"/>
    </row>
    <row r="50" spans="1:9">
      <c r="B50" s="18" t="s">
        <v>73</v>
      </c>
      <c r="C50" s="22">
        <v>1897.704862</v>
      </c>
      <c r="D50" s="22" t="e">
        <f>DCF!#REF!</f>
        <v>#REF!</v>
      </c>
      <c r="E50" s="22" t="e">
        <f>DCF!#REF!</f>
        <v>#REF!</v>
      </c>
      <c r="F50" s="22" t="e">
        <f>DCF!#REF!</f>
        <v>#REF!</v>
      </c>
      <c r="G50" s="22" t="e">
        <f>DCF!#REF!</f>
        <v>#REF!</v>
      </c>
      <c r="H50" s="22" t="e">
        <f>DCF!#REF!</f>
        <v>#REF!</v>
      </c>
      <c r="I50" s="50"/>
    </row>
    <row r="51" spans="1:9">
      <c r="B51" s="18" t="s">
        <v>98</v>
      </c>
      <c r="C51" s="22">
        <f t="shared" ref="C51:H51" si="11">C49-C50</f>
        <v>1313.5780369999979</v>
      </c>
      <c r="D51" s="22" t="e">
        <f t="shared" si="11"/>
        <v>#REF!</v>
      </c>
      <c r="E51" s="22" t="e">
        <f t="shared" si="11"/>
        <v>#REF!</v>
      </c>
      <c r="F51" s="22" t="e">
        <f t="shared" si="11"/>
        <v>#REF!</v>
      </c>
      <c r="G51" s="22" t="e">
        <f t="shared" si="11"/>
        <v>#REF!</v>
      </c>
      <c r="H51" s="22" t="e">
        <f t="shared" si="11"/>
        <v>#REF!</v>
      </c>
      <c r="I51" s="50"/>
    </row>
    <row r="52" spans="1:9">
      <c r="B52" s="21" t="s">
        <v>96</v>
      </c>
      <c r="C52" s="20">
        <v>305.946102</v>
      </c>
      <c r="D52" s="20" t="e">
        <f>2.15%*((C11+D11)/2)</f>
        <v>#REF!</v>
      </c>
      <c r="E52" s="20" t="e">
        <f>2.15%*((D11+E11)/2)</f>
        <v>#REF!</v>
      </c>
      <c r="F52" s="20" t="e">
        <f>2.15%*((E11+F11)/2)</f>
        <v>#REF!</v>
      </c>
      <c r="G52" s="20" t="e">
        <f>2.15%*((F11+G11)/2)</f>
        <v>#REF!</v>
      </c>
      <c r="H52" s="20" t="e">
        <f>2.15%*((G11+H11)/2)</f>
        <v>#REF!</v>
      </c>
      <c r="I52" s="50"/>
    </row>
    <row r="53" spans="1:9">
      <c r="B53" s="21" t="s">
        <v>97</v>
      </c>
      <c r="C53" s="20">
        <v>484.75366400000001</v>
      </c>
      <c r="D53" s="20" t="e">
        <f>SUM(#REF!)/화폐단위+#REF!</f>
        <v>#REF!</v>
      </c>
      <c r="E53" s="20" t="e">
        <f>SUM(#REF!)/화폐단위</f>
        <v>#REF!</v>
      </c>
      <c r="F53" s="20" t="e">
        <f>SUM(#REF!)/화폐단위</f>
        <v>#REF!</v>
      </c>
      <c r="G53" s="20" t="e">
        <f>SUM(#REF!)/화폐단위</f>
        <v>#REF!</v>
      </c>
      <c r="H53" s="20" t="e">
        <f>SUM(#REF!)/화폐단위</f>
        <v>#REF!</v>
      </c>
      <c r="I53" s="50"/>
    </row>
    <row r="54" spans="1:9">
      <c r="B54" s="18" t="s">
        <v>74</v>
      </c>
      <c r="C54" s="22">
        <f t="shared" ref="C54:H54" si="12">C51+C52-C53</f>
        <v>1134.7704749999978</v>
      </c>
      <c r="D54" s="22" t="e">
        <f t="shared" si="12"/>
        <v>#REF!</v>
      </c>
      <c r="E54" s="22" t="e">
        <f t="shared" si="12"/>
        <v>#REF!</v>
      </c>
      <c r="F54" s="22" t="e">
        <f t="shared" si="12"/>
        <v>#REF!</v>
      </c>
      <c r="G54" s="22" t="e">
        <f t="shared" si="12"/>
        <v>#REF!</v>
      </c>
      <c r="H54" s="22" t="e">
        <f t="shared" si="12"/>
        <v>#REF!</v>
      </c>
      <c r="I54" s="50"/>
    </row>
    <row r="55" spans="1:9">
      <c r="B55" s="21" t="s">
        <v>75</v>
      </c>
      <c r="C55" s="20">
        <v>246.76483400000001</v>
      </c>
      <c r="D55" s="20" t="e">
        <f>200*11%+(D54-200)*22%+C32*22%</f>
        <v>#REF!</v>
      </c>
      <c r="E55" s="20" t="e">
        <f>200*11%+(E54-200)*22%</f>
        <v>#REF!</v>
      </c>
      <c r="F55" s="20" t="e">
        <f>200*11%+(F54-200)*22%</f>
        <v>#REF!</v>
      </c>
      <c r="G55" s="20" t="e">
        <f>200*11%+(G54-200)*22%</f>
        <v>#REF!</v>
      </c>
      <c r="H55" s="20" t="e">
        <f>200*11%+(H54-200)*22%</f>
        <v>#REF!</v>
      </c>
      <c r="I55" s="50"/>
    </row>
    <row r="56" spans="1:9">
      <c r="B56" s="18" t="s">
        <v>76</v>
      </c>
      <c r="C56" s="22">
        <f t="shared" ref="C56:H56" si="13">C54-C55</f>
        <v>888.00564099999769</v>
      </c>
      <c r="D56" s="22" t="e">
        <f t="shared" si="13"/>
        <v>#REF!</v>
      </c>
      <c r="E56" s="22" t="e">
        <f t="shared" si="13"/>
        <v>#REF!</v>
      </c>
      <c r="F56" s="22" t="e">
        <f t="shared" si="13"/>
        <v>#REF!</v>
      </c>
      <c r="G56" s="22" t="e">
        <f t="shared" si="13"/>
        <v>#REF!</v>
      </c>
      <c r="H56" s="22" t="e">
        <f t="shared" si="13"/>
        <v>#REF!</v>
      </c>
      <c r="I56" s="50"/>
    </row>
    <row r="57" spans="1:9">
      <c r="E57" s="51"/>
      <c r="F57" s="51"/>
      <c r="G57" s="51"/>
      <c r="H57" s="51"/>
    </row>
    <row r="59" spans="1:9">
      <c r="A59" s="48" t="s">
        <v>34</v>
      </c>
      <c r="B59" s="45" t="s">
        <v>47</v>
      </c>
    </row>
    <row r="61" spans="1:9">
      <c r="B61" s="359" t="s">
        <v>2</v>
      </c>
      <c r="C61" s="16"/>
      <c r="D61" s="16">
        <v>43830</v>
      </c>
      <c r="E61" s="16">
        <f>EOMONTH(D61,12)</f>
        <v>44196</v>
      </c>
      <c r="F61" s="16">
        <f>EOMONTH(E61,12)</f>
        <v>44561</v>
      </c>
      <c r="G61" s="16">
        <f>EOMONTH(F61,12)</f>
        <v>44926</v>
      </c>
      <c r="H61" s="16">
        <f>EOMONTH(G61,12)</f>
        <v>45291</v>
      </c>
      <c r="I61" s="359" t="s">
        <v>1</v>
      </c>
    </row>
    <row r="62" spans="1:9">
      <c r="B62" s="359"/>
      <c r="C62" s="17"/>
      <c r="D62" s="17">
        <v>1</v>
      </c>
      <c r="E62" s="17">
        <v>2</v>
      </c>
      <c r="F62" s="17">
        <v>3</v>
      </c>
      <c r="G62" s="17">
        <v>4</v>
      </c>
      <c r="H62" s="17">
        <v>5</v>
      </c>
      <c r="I62" s="359"/>
    </row>
    <row r="63" spans="1:9">
      <c r="B63" s="18" t="s">
        <v>79</v>
      </c>
      <c r="C63" s="22"/>
      <c r="D63" s="22" t="e">
        <f>SUM(D64:D68)</f>
        <v>#REF!</v>
      </c>
      <c r="E63" s="22" t="e">
        <f>SUM(E64:E68)</f>
        <v>#REF!</v>
      </c>
      <c r="F63" s="22" t="e">
        <f>SUM(F64:F68)</f>
        <v>#REF!</v>
      </c>
      <c r="G63" s="22" t="e">
        <f>SUM(G64:G68)</f>
        <v>#REF!</v>
      </c>
      <c r="H63" s="22" t="e">
        <f>SUM(H64:H68)</f>
        <v>#REF!</v>
      </c>
      <c r="I63" s="50"/>
    </row>
    <row r="64" spans="1:9">
      <c r="B64" s="19" t="s">
        <v>76</v>
      </c>
      <c r="C64" s="20"/>
      <c r="D64" s="20" t="e">
        <f>D56</f>
        <v>#REF!</v>
      </c>
      <c r="E64" s="20" t="e">
        <f>E56</f>
        <v>#REF!</v>
      </c>
      <c r="F64" s="20" t="e">
        <f>F56</f>
        <v>#REF!</v>
      </c>
      <c r="G64" s="20" t="e">
        <f>G56</f>
        <v>#REF!</v>
      </c>
      <c r="H64" s="20" t="e">
        <f>H56</f>
        <v>#REF!</v>
      </c>
      <c r="I64" s="50"/>
    </row>
    <row r="65" spans="2:9">
      <c r="B65" s="19" t="s">
        <v>35</v>
      </c>
      <c r="C65" s="20"/>
      <c r="D65" s="20" t="e">
        <f>DCF!#REF!</f>
        <v>#REF!</v>
      </c>
      <c r="E65" s="20" t="e">
        <f>DCF!#REF!</f>
        <v>#REF!</v>
      </c>
      <c r="F65" s="20" t="e">
        <f>DCF!#REF!</f>
        <v>#REF!</v>
      </c>
      <c r="G65" s="20" t="e">
        <f>DCF!#REF!</f>
        <v>#REF!</v>
      </c>
      <c r="H65" s="20" t="e">
        <f>DCF!#REF!</f>
        <v>#REF!</v>
      </c>
      <c r="I65" s="50"/>
    </row>
    <row r="66" spans="2:9">
      <c r="B66" s="19" t="s">
        <v>92</v>
      </c>
      <c r="C66" s="20"/>
      <c r="D66" s="20" t="e">
        <f>#REF!</f>
        <v>#REF!</v>
      </c>
      <c r="E66" s="20" t="e">
        <f>#REF!</f>
        <v>#REF!</v>
      </c>
      <c r="F66" s="20" t="e">
        <f>#REF!</f>
        <v>#REF!</v>
      </c>
      <c r="G66" s="20" t="e">
        <f>#REF!</f>
        <v>#REF!</v>
      </c>
      <c r="H66" s="20" t="e">
        <f>#REF!</f>
        <v>#REF!</v>
      </c>
      <c r="I66" s="50"/>
    </row>
    <row r="67" spans="2:9">
      <c r="B67" s="19" t="s">
        <v>93</v>
      </c>
      <c r="C67" s="20"/>
      <c r="D67" s="20" t="e">
        <f>D53</f>
        <v>#REF!</v>
      </c>
      <c r="E67" s="20" t="e">
        <f>E53</f>
        <v>#REF!</v>
      </c>
      <c r="F67" s="20" t="e">
        <f>F53</f>
        <v>#REF!</v>
      </c>
      <c r="G67" s="20" t="e">
        <f>G53</f>
        <v>#REF!</v>
      </c>
      <c r="H67" s="20" t="e">
        <f>H53</f>
        <v>#REF!</v>
      </c>
      <c r="I67" s="50"/>
    </row>
    <row r="68" spans="2:9">
      <c r="B68" s="19" t="s">
        <v>37</v>
      </c>
      <c r="C68" s="20"/>
      <c r="D68" s="20" t="e">
        <f>DCF!#REF!</f>
        <v>#REF!</v>
      </c>
      <c r="E68" s="20" t="e">
        <f>DCF!#REF!</f>
        <v>#REF!</v>
      </c>
      <c r="F68" s="20" t="e">
        <f>DCF!#REF!</f>
        <v>#REF!</v>
      </c>
      <c r="G68" s="20" t="e">
        <f>DCF!#REF!</f>
        <v>#REF!</v>
      </c>
      <c r="H68" s="20" t="e">
        <f>DCF!#REF!</f>
        <v>#REF!</v>
      </c>
      <c r="I68" s="50"/>
    </row>
    <row r="69" spans="2:9">
      <c r="B69" s="18" t="s">
        <v>80</v>
      </c>
      <c r="C69" s="22"/>
      <c r="D69" s="22" t="e">
        <f>D70+D71+D72</f>
        <v>#REF!</v>
      </c>
      <c r="E69" s="22" t="e">
        <f>E70+E71+E72</f>
        <v>#REF!</v>
      </c>
      <c r="F69" s="22" t="e">
        <f>F70+F71+F72</f>
        <v>#REF!</v>
      </c>
      <c r="G69" s="22" t="e">
        <f>G70+G71+G72</f>
        <v>#REF!</v>
      </c>
      <c r="H69" s="22" t="e">
        <f>H70+H71+H72</f>
        <v>#REF!</v>
      </c>
      <c r="I69" s="50"/>
    </row>
    <row r="70" spans="2:9">
      <c r="B70" s="19" t="s">
        <v>86</v>
      </c>
      <c r="C70" s="20"/>
      <c r="D70" s="20" t="e">
        <f>DCF!#REF!</f>
        <v>#REF!</v>
      </c>
      <c r="E70" s="20" t="e">
        <f>DCF!#REF!</f>
        <v>#REF!</v>
      </c>
      <c r="F70" s="20" t="e">
        <f>DCF!#REF!</f>
        <v>#REF!</v>
      </c>
      <c r="G70" s="20" t="e">
        <f>DCF!#REF!</f>
        <v>#REF!</v>
      </c>
      <c r="H70" s="20" t="e">
        <f>DCF!#REF!</f>
        <v>#REF!</v>
      </c>
      <c r="I70" s="50"/>
    </row>
    <row r="71" spans="2:9">
      <c r="B71" s="19" t="s">
        <v>91</v>
      </c>
      <c r="C71" s="20"/>
      <c r="D71" s="20" t="e">
        <f>-D66</f>
        <v>#REF!</v>
      </c>
      <c r="E71" s="20" t="e">
        <f>-E66</f>
        <v>#REF!</v>
      </c>
      <c r="F71" s="20" t="e">
        <f>-F66</f>
        <v>#REF!</v>
      </c>
      <c r="G71" s="20" t="e">
        <f>-G66</f>
        <v>#REF!</v>
      </c>
      <c r="H71" s="20" t="e">
        <f>-H66</f>
        <v>#REF!</v>
      </c>
      <c r="I71" s="50"/>
    </row>
    <row r="72" spans="2:9">
      <c r="B72" s="19" t="s">
        <v>90</v>
      </c>
      <c r="C72" s="20"/>
      <c r="D72" s="20">
        <v>0</v>
      </c>
      <c r="E72" s="20">
        <v>-10943.930016141769</v>
      </c>
      <c r="F72" s="20">
        <v>-15772.748035303588</v>
      </c>
      <c r="G72" s="20">
        <v>-20516.304875477403</v>
      </c>
      <c r="H72" s="20">
        <v>-26101.437887569002</v>
      </c>
      <c r="I72" s="50"/>
    </row>
    <row r="73" spans="2:9">
      <c r="B73" s="18" t="s">
        <v>81</v>
      </c>
      <c r="C73" s="22"/>
      <c r="D73" s="22" t="e">
        <f>D74+D75</f>
        <v>#REF!</v>
      </c>
      <c r="E73" s="22">
        <f>E74+E75</f>
        <v>0</v>
      </c>
      <c r="F73" s="22">
        <f>F74+F75</f>
        <v>0</v>
      </c>
      <c r="G73" s="22" t="e">
        <f>G74+G75</f>
        <v>#REF!</v>
      </c>
      <c r="H73" s="22">
        <f>H74+H75</f>
        <v>0</v>
      </c>
      <c r="I73" s="50"/>
    </row>
    <row r="74" spans="2:9">
      <c r="B74" s="19" t="s">
        <v>88</v>
      </c>
      <c r="C74" s="20"/>
      <c r="D74" s="20"/>
      <c r="E74" s="20"/>
      <c r="F74" s="20"/>
      <c r="G74" s="20"/>
      <c r="H74" s="20"/>
      <c r="I74" s="50"/>
    </row>
    <row r="75" spans="2:9">
      <c r="B75" s="19" t="s">
        <v>89</v>
      </c>
      <c r="C75" s="20"/>
      <c r="D75" s="20" t="e">
        <f>-ROUND(#REF!/화폐단위,0)</f>
        <v>#REF!</v>
      </c>
      <c r="E75" s="20">
        <v>0</v>
      </c>
      <c r="F75" s="20">
        <v>0</v>
      </c>
      <c r="G75" s="20" t="e">
        <f>-ROUND(#REF!/화폐단위,0)</f>
        <v>#REF!</v>
      </c>
      <c r="H75" s="20">
        <v>0</v>
      </c>
      <c r="I75" s="50"/>
    </row>
    <row r="76" spans="2:9">
      <c r="B76" s="18" t="s">
        <v>82</v>
      </c>
      <c r="C76" s="22"/>
      <c r="D76" s="22" t="e">
        <f>D63+D69+D73</f>
        <v>#REF!</v>
      </c>
      <c r="E76" s="22" t="e">
        <f>E63+E69+E73</f>
        <v>#REF!</v>
      </c>
      <c r="F76" s="22" t="e">
        <f>F63+F69+F73</f>
        <v>#REF!</v>
      </c>
      <c r="G76" s="22" t="e">
        <f>G63+G69+G73</f>
        <v>#REF!</v>
      </c>
      <c r="H76" s="22" t="e">
        <f>H63+H69+H73</f>
        <v>#REF!</v>
      </c>
      <c r="I76" s="50"/>
    </row>
    <row r="77" spans="2:9">
      <c r="B77" s="21" t="s">
        <v>83</v>
      </c>
      <c r="C77" s="20"/>
      <c r="D77" s="20" t="e">
        <f>C10</f>
        <v>#REF!</v>
      </c>
      <c r="E77" s="20" t="e">
        <f>D78</f>
        <v>#REF!</v>
      </c>
      <c r="F77" s="20" t="e">
        <f>E78</f>
        <v>#REF!</v>
      </c>
      <c r="G77" s="20" t="e">
        <f>F78</f>
        <v>#REF!</v>
      </c>
      <c r="H77" s="20" t="e">
        <f>G78</f>
        <v>#REF!</v>
      </c>
      <c r="I77" s="50"/>
    </row>
    <row r="78" spans="2:9">
      <c r="B78" s="18" t="s">
        <v>84</v>
      </c>
      <c r="C78" s="22"/>
      <c r="D78" s="22" t="e">
        <f>D76+D77</f>
        <v>#REF!</v>
      </c>
      <c r="E78" s="22" t="e">
        <f>E76+E77</f>
        <v>#REF!</v>
      </c>
      <c r="F78" s="22" t="e">
        <f>F76+F77</f>
        <v>#REF!</v>
      </c>
      <c r="G78" s="22" t="e">
        <f>G76+G77</f>
        <v>#REF!</v>
      </c>
      <c r="H78" s="22" t="e">
        <f>H76+H77</f>
        <v>#REF!</v>
      </c>
      <c r="I78" s="50"/>
    </row>
  </sheetData>
  <mergeCells count="6">
    <mergeCell ref="I6:I7"/>
    <mergeCell ref="I39:I40"/>
    <mergeCell ref="I61:I62"/>
    <mergeCell ref="B6:B7"/>
    <mergeCell ref="B39:B40"/>
    <mergeCell ref="B61:B62"/>
  </mergeCells>
  <phoneticPr fontId="9"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
  <sheetViews>
    <sheetView showGridLines="0" topLeftCell="A22" workbookViewId="0">
      <selection activeCell="R56" sqref="R56"/>
    </sheetView>
  </sheetViews>
  <sheetFormatPr defaultColWidth="9.140625" defaultRowHeight="13.5"/>
  <cols>
    <col min="1" max="16384" width="9.140625" style="166"/>
  </cols>
  <sheetData/>
  <phoneticPr fontId="9"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election activeCell="M23" sqref="M23"/>
    </sheetView>
  </sheetViews>
  <sheetFormatPr defaultColWidth="9.140625" defaultRowHeight="18" customHeight="1"/>
  <cols>
    <col min="1" max="1" width="1.7109375" style="210" customWidth="1"/>
    <col min="2" max="2" width="28.28515625" style="210" bestFit="1" customWidth="1"/>
    <col min="3" max="10" width="15.7109375" style="210" customWidth="1"/>
    <col min="11" max="11" width="14.85546875" style="47" bestFit="1" customWidth="1"/>
    <col min="12" max="16384" width="9.140625" style="47"/>
  </cols>
  <sheetData>
    <row r="1" spans="2:10" ht="24.75" customHeight="1">
      <c r="B1" s="360" t="s">
        <v>707</v>
      </c>
      <c r="C1" s="360"/>
      <c r="D1" s="360"/>
      <c r="E1" s="360"/>
      <c r="F1" s="360"/>
      <c r="G1" s="360"/>
      <c r="H1" s="360"/>
      <c r="I1" s="360"/>
      <c r="J1" s="360"/>
    </row>
    <row r="2" spans="2:10" ht="18" customHeight="1">
      <c r="B2" s="361" t="s">
        <v>797</v>
      </c>
      <c r="C2" s="361"/>
      <c r="D2" s="361"/>
      <c r="E2" s="361"/>
      <c r="F2" s="361"/>
      <c r="G2" s="361"/>
      <c r="H2" s="361"/>
      <c r="I2" s="361"/>
      <c r="J2" s="361"/>
    </row>
    <row r="3" spans="2:10" ht="18" customHeight="1">
      <c r="B3" s="222"/>
      <c r="C3" s="223"/>
      <c r="D3" s="223"/>
      <c r="E3" s="223"/>
      <c r="F3" s="223"/>
      <c r="G3" s="223"/>
      <c r="H3" s="223"/>
      <c r="I3" s="223"/>
      <c r="J3" s="223"/>
    </row>
    <row r="4" spans="2:10" ht="18" customHeight="1">
      <c r="B4" s="225" t="s">
        <v>644</v>
      </c>
      <c r="D4" s="210">
        <v>1</v>
      </c>
      <c r="E4" s="210">
        <v>2</v>
      </c>
      <c r="F4" s="210">
        <v>3</v>
      </c>
      <c r="G4" s="210">
        <v>4</v>
      </c>
      <c r="H4" s="210">
        <v>5</v>
      </c>
    </row>
    <row r="5" spans="2:10" ht="18" customHeight="1">
      <c r="B5" s="228" t="s">
        <v>645</v>
      </c>
      <c r="C5" s="228" t="s">
        <v>503</v>
      </c>
      <c r="D5" s="228" t="s">
        <v>798</v>
      </c>
      <c r="E5" s="228" t="s">
        <v>799</v>
      </c>
      <c r="F5" s="228" t="s">
        <v>800</v>
      </c>
      <c r="G5" s="228" t="s">
        <v>801</v>
      </c>
      <c r="H5" s="228" t="s">
        <v>802</v>
      </c>
      <c r="I5" s="228" t="s">
        <v>803</v>
      </c>
      <c r="J5" s="228" t="s">
        <v>804</v>
      </c>
    </row>
    <row r="6" spans="2:10" ht="18" customHeight="1">
      <c r="B6" s="275" t="s">
        <v>708</v>
      </c>
      <c r="C6" s="276">
        <f>SUM(C7:C8)</f>
        <v>20745886</v>
      </c>
      <c r="D6" s="276">
        <f t="shared" ref="D6:J6" si="0">SUM(D7:D8)</f>
        <v>2610861797</v>
      </c>
      <c r="E6" s="276">
        <f t="shared" si="0"/>
        <v>243444447</v>
      </c>
      <c r="F6" s="276">
        <f t="shared" si="0"/>
        <v>1080550589</v>
      </c>
      <c r="G6" s="276">
        <f t="shared" si="0"/>
        <v>1174380430</v>
      </c>
      <c r="H6" s="276">
        <f t="shared" si="0"/>
        <v>1496114200</v>
      </c>
      <c r="I6" s="276">
        <f t="shared" si="0"/>
        <v>19007273</v>
      </c>
      <c r="J6" s="276">
        <f t="shared" si="0"/>
        <v>6645104622</v>
      </c>
    </row>
    <row r="7" spans="2:10" ht="18" customHeight="1">
      <c r="B7" s="277" t="s">
        <v>709</v>
      </c>
      <c r="C7" s="278">
        <f>SUMIF(개별IS!$B$3:$B$45,B7,개별IS!$G$3:$G$45)</f>
        <v>20745886</v>
      </c>
      <c r="D7" s="278">
        <f>SUMIF(개별IS!$B$48:$B$90,B7,개별IS!$G$48:$G$90)</f>
        <v>2610861797</v>
      </c>
      <c r="E7" s="278">
        <f>SUMIF(개별IS!$B$93:$B$131,B7,개별IS!$G$93:$G$131)</f>
        <v>243444447</v>
      </c>
      <c r="F7" s="278">
        <f>SUMIF(개별IS!$B$134:$B$170,B7,개별IS!$G$134:$G$170)</f>
        <v>1080550589</v>
      </c>
      <c r="G7" s="278">
        <f>SUMIF(개별IS!$B$173:$B$215,B7,개별IS!$G$173:$G$215)</f>
        <v>1174380430</v>
      </c>
      <c r="H7" s="278">
        <f>SUMIF(개별IS!$B$218:$B$256,B7,개별IS!$G$218:$G$256)</f>
        <v>1496114200</v>
      </c>
      <c r="I7" s="278">
        <f>SUMIF(개별IS!$B$259:$B$287,B7,개별IS!$G$259:$G$287)</f>
        <v>19007273</v>
      </c>
      <c r="J7" s="278">
        <f>SUM(C7:I7)</f>
        <v>6645104622</v>
      </c>
    </row>
    <row r="8" spans="2:10" ht="18" hidden="1" customHeight="1">
      <c r="B8" s="277" t="s">
        <v>710</v>
      </c>
      <c r="C8" s="278">
        <f>SUMIF(개별IS!$B$3:$B$45,B8,개별IS!$G$3:$G$45)</f>
        <v>0</v>
      </c>
      <c r="D8" s="278">
        <f>SUMIF(개별IS!$B$48:$B$90,B8,개별IS!$G$48:$G$90)</f>
        <v>0</v>
      </c>
      <c r="E8" s="278">
        <f>SUMIF(개별IS!$B$93:$B$131,B8,개별IS!$G$93:$G$131)</f>
        <v>0</v>
      </c>
      <c r="F8" s="278">
        <f>SUMIF(개별IS!$B$134:$B$170,B8,개별IS!$G$134:$G$170)</f>
        <v>0</v>
      </c>
      <c r="G8" s="278">
        <f>SUMIF(개별IS!$B$173:$B$215,B8,개별IS!$G$173:$G$215)</f>
        <v>0</v>
      </c>
      <c r="H8" s="278">
        <f>SUMIF(개별IS!$B$218:$B$256,B8,개별IS!$G$218:$G$256)</f>
        <v>0</v>
      </c>
      <c r="I8" s="278">
        <f>SUMIF(개별IS!$B$259:$B$287,B8,개별IS!$G$259:$G$287)</f>
        <v>0</v>
      </c>
      <c r="J8" s="278">
        <f>SUM(C8:I8)</f>
        <v>0</v>
      </c>
    </row>
    <row r="9" spans="2:10" ht="18" customHeight="1">
      <c r="B9" s="275" t="s">
        <v>712</v>
      </c>
      <c r="C9" s="276">
        <f>C10</f>
        <v>40286596</v>
      </c>
      <c r="D9" s="276">
        <f t="shared" ref="D9:J9" si="1">D10</f>
        <v>852642742</v>
      </c>
      <c r="E9" s="276">
        <f t="shared" si="1"/>
        <v>92050944</v>
      </c>
      <c r="F9" s="276">
        <f t="shared" si="1"/>
        <v>380825704</v>
      </c>
      <c r="G9" s="276">
        <f t="shared" si="1"/>
        <v>385146184</v>
      </c>
      <c r="H9" s="276">
        <f t="shared" si="1"/>
        <v>467936664</v>
      </c>
      <c r="I9" s="276">
        <f t="shared" si="1"/>
        <v>15917676</v>
      </c>
      <c r="J9" s="276">
        <f t="shared" si="1"/>
        <v>2234806510</v>
      </c>
    </row>
    <row r="10" spans="2:10" ht="18" customHeight="1">
      <c r="B10" s="279" t="s">
        <v>713</v>
      </c>
      <c r="C10" s="278">
        <f>C11+C12-C13</f>
        <v>40286596</v>
      </c>
      <c r="D10" s="278">
        <f t="shared" ref="D10:J10" si="2">D11+D12-D13</f>
        <v>852642742</v>
      </c>
      <c r="E10" s="278">
        <f t="shared" si="2"/>
        <v>92050944</v>
      </c>
      <c r="F10" s="278">
        <f t="shared" si="2"/>
        <v>380825704</v>
      </c>
      <c r="G10" s="278">
        <f t="shared" si="2"/>
        <v>385146184</v>
      </c>
      <c r="H10" s="278">
        <f t="shared" si="2"/>
        <v>467936664</v>
      </c>
      <c r="I10" s="278">
        <f t="shared" si="2"/>
        <v>15917676</v>
      </c>
      <c r="J10" s="278">
        <f t="shared" si="2"/>
        <v>2234806510</v>
      </c>
    </row>
    <row r="11" spans="2:10" ht="18" hidden="1" customHeight="1">
      <c r="B11" s="277" t="s">
        <v>714</v>
      </c>
      <c r="C11" s="278">
        <f>SUMIF(개별IS!$B$3:$B$45,B11,개별IS!$G$3:$G$45)</f>
        <v>0</v>
      </c>
      <c r="D11" s="278">
        <f>SUMIF(개별IS!$B$48:$B$90,B11,개별IS!$G$48:$G$90)</f>
        <v>0</v>
      </c>
      <c r="E11" s="278">
        <f>SUMIF(개별IS!$B$93:$B$131,B11,개별IS!$G$93:$G$131)</f>
        <v>0</v>
      </c>
      <c r="F11" s="278">
        <f>SUMIF(개별IS!$B$134:$B$170,B11,개별IS!$G$134:$G$170)</f>
        <v>0</v>
      </c>
      <c r="G11" s="278">
        <f>SUMIF(개별IS!$B$173:$B$215,B11,개별IS!$G$173:$G$215)</f>
        <v>0</v>
      </c>
      <c r="H11" s="278">
        <f>SUMIF(개별IS!$B$218:$B$256,B11,개별IS!$G$218:$G$256)</f>
        <v>0</v>
      </c>
      <c r="I11" s="278">
        <f>SUMIF(개별IS!$B$259:$B$287,B11,개별IS!$G$259:$G$287)</f>
        <v>0</v>
      </c>
      <c r="J11" s="278">
        <f t="shared" ref="J11:J13" si="3">SUM(C11:I11)</f>
        <v>0</v>
      </c>
    </row>
    <row r="12" spans="2:10" ht="18" hidden="1" customHeight="1">
      <c r="B12" s="277" t="s">
        <v>715</v>
      </c>
      <c r="C12" s="278">
        <f>SUMIF(개별IS!$B$3:$B$45,B12,개별IS!$G$3:$G$45)</f>
        <v>40286596</v>
      </c>
      <c r="D12" s="278">
        <f>SUMIF(개별IS!$B$48:$B$90,B12,개별IS!$G$48:$G$90)</f>
        <v>852642742</v>
      </c>
      <c r="E12" s="278">
        <f>SUMIF(개별IS!$B$93:$B$131,B12,개별IS!$G$93:$G$131)</f>
        <v>92050944</v>
      </c>
      <c r="F12" s="278">
        <f>SUMIF(개별IS!$B$134:$B$170,B12,개별IS!$G$134:$G$170)</f>
        <v>380825704</v>
      </c>
      <c r="G12" s="278">
        <f>SUMIF(개별IS!$B$173:$B$215,B12,개별IS!$G$173:$G$215)</f>
        <v>385146184</v>
      </c>
      <c r="H12" s="278">
        <f>SUMIF(개별IS!$B$218:$B$256,B12,개별IS!$G$218:$G$256)</f>
        <v>467936664</v>
      </c>
      <c r="I12" s="278">
        <f>SUMIF(개별IS!$B$259:$B$287,B12,개별IS!$G$259:$G$287)</f>
        <v>15917676</v>
      </c>
      <c r="J12" s="278">
        <f t="shared" si="3"/>
        <v>2234806510</v>
      </c>
    </row>
    <row r="13" spans="2:10" ht="18" hidden="1" customHeight="1">
      <c r="B13" s="277" t="s">
        <v>716</v>
      </c>
      <c r="C13" s="278">
        <f>SUMIF(개별IS!$B$3:$B$45,B13,개별IS!$G$3:$G$45)</f>
        <v>0</v>
      </c>
      <c r="D13" s="278">
        <f>SUMIF(개별IS!$B$48:$B$90,B13,개별IS!$G$48:$G$90)</f>
        <v>0</v>
      </c>
      <c r="E13" s="278">
        <f>SUMIF(개별IS!$B$93:$B$131,B13,개별IS!$G$93:$G$131)</f>
        <v>0</v>
      </c>
      <c r="F13" s="278">
        <f>SUMIF(개별IS!$B$134:$B$170,B13,개별IS!$G$134:$G$170)</f>
        <v>0</v>
      </c>
      <c r="G13" s="278">
        <f>SUMIF(개별IS!$B$173:$B$215,B13,개별IS!$G$173:$G$215)</f>
        <v>0</v>
      </c>
      <c r="H13" s="278">
        <f>SUMIF(개별IS!$B$218:$B$256,B13,개별IS!$G$218:$G$256)</f>
        <v>0</v>
      </c>
      <c r="I13" s="278">
        <f>SUMIF(개별IS!$B$259:$B$287,B13,개별IS!$G$259:$G$287)</f>
        <v>0</v>
      </c>
      <c r="J13" s="278">
        <f t="shared" si="3"/>
        <v>0</v>
      </c>
    </row>
    <row r="14" spans="2:10" ht="18" customHeight="1">
      <c r="B14" s="280" t="s">
        <v>499</v>
      </c>
      <c r="C14" s="281">
        <f t="shared" ref="C14:J14" si="4">C9/C6</f>
        <v>1.9419077112445331</v>
      </c>
      <c r="D14" s="281">
        <f t="shared" si="4"/>
        <v>0.32657521090535152</v>
      </c>
      <c r="E14" s="281">
        <f t="shared" si="4"/>
        <v>0.37811888968656576</v>
      </c>
      <c r="F14" s="281">
        <f t="shared" si="4"/>
        <v>0.35243671872173676</v>
      </c>
      <c r="G14" s="281">
        <f t="shared" si="4"/>
        <v>0.32795691597142845</v>
      </c>
      <c r="H14" s="281">
        <f t="shared" si="4"/>
        <v>0.31276801196058429</v>
      </c>
      <c r="I14" s="281">
        <f t="shared" si="4"/>
        <v>0.8374518532984716</v>
      </c>
      <c r="J14" s="281">
        <f t="shared" si="4"/>
        <v>0.33630870198810842</v>
      </c>
    </row>
    <row r="15" spans="2:10" ht="18" customHeight="1">
      <c r="B15" s="275" t="s">
        <v>717</v>
      </c>
      <c r="C15" s="276">
        <f>C6-C9</f>
        <v>-19540710</v>
      </c>
      <c r="D15" s="276">
        <f t="shared" ref="D15:J15" si="5">D6-D9</f>
        <v>1758219055</v>
      </c>
      <c r="E15" s="276">
        <f t="shared" si="5"/>
        <v>151393503</v>
      </c>
      <c r="F15" s="276">
        <f t="shared" si="5"/>
        <v>699724885</v>
      </c>
      <c r="G15" s="276">
        <f t="shared" si="5"/>
        <v>789234246</v>
      </c>
      <c r="H15" s="276">
        <f t="shared" si="5"/>
        <v>1028177536</v>
      </c>
      <c r="I15" s="276">
        <f t="shared" si="5"/>
        <v>3089597</v>
      </c>
      <c r="J15" s="276">
        <f t="shared" si="5"/>
        <v>4410298112</v>
      </c>
    </row>
    <row r="16" spans="2:10" ht="18" customHeight="1">
      <c r="B16" s="275" t="s">
        <v>718</v>
      </c>
      <c r="C16" s="276">
        <f>SUM(C17:C42)</f>
        <v>875982476</v>
      </c>
      <c r="D16" s="276">
        <f t="shared" ref="D16:J16" si="6">SUM(D17:D42)</f>
        <v>1558885940</v>
      </c>
      <c r="E16" s="276">
        <f t="shared" si="6"/>
        <v>679486225</v>
      </c>
      <c r="F16" s="276">
        <f t="shared" si="6"/>
        <v>838162068</v>
      </c>
      <c r="G16" s="276">
        <f t="shared" si="6"/>
        <v>1224761017</v>
      </c>
      <c r="H16" s="276">
        <f t="shared" si="6"/>
        <v>904523720</v>
      </c>
      <c r="I16" s="276">
        <f t="shared" si="6"/>
        <v>15521823</v>
      </c>
      <c r="J16" s="276">
        <f t="shared" si="6"/>
        <v>6097323269</v>
      </c>
    </row>
    <row r="17" spans="2:11" ht="18" customHeight="1">
      <c r="B17" s="277" t="s">
        <v>719</v>
      </c>
      <c r="C17" s="278">
        <f>SUMIF(개별IS!$B$3:$B$45,B17,개별IS!$G$3:$G$45)</f>
        <v>421839819</v>
      </c>
      <c r="D17" s="278">
        <f>SUMIF(개별IS!$B$48:$B$90,B17,개별IS!$G$48:$G$90)</f>
        <v>446559125</v>
      </c>
      <c r="E17" s="278">
        <f>SUMIF(개별IS!$B$93:$B$131,B17,개별IS!$G$93:$G$131)</f>
        <v>122219248</v>
      </c>
      <c r="F17" s="278">
        <f>SUMIF(개별IS!$B$134:$B$170,B17,개별IS!$G$134:$G$170)</f>
        <v>332118705</v>
      </c>
      <c r="G17" s="278">
        <f>SUMIF(개별IS!$B$173:$B$215,B17,개별IS!$G$173:$G$215)</f>
        <v>492943461</v>
      </c>
      <c r="H17" s="278">
        <f>SUMIF(개별IS!$B$218:$B$256,B17,개별IS!$G$218:$G$256)</f>
        <v>316760544</v>
      </c>
      <c r="I17" s="278">
        <f>SUMIF(개별IS!$B$259:$B$287,B17,개별IS!$G$259:$G$287)</f>
        <v>6612266</v>
      </c>
      <c r="J17" s="288">
        <f t="shared" ref="J17:J42" si="7">SUM(C17:I17)</f>
        <v>2139053168</v>
      </c>
      <c r="K17" s="47" t="s">
        <v>95</v>
      </c>
    </row>
    <row r="18" spans="2:11" ht="18" customHeight="1">
      <c r="B18" s="277" t="s">
        <v>720</v>
      </c>
      <c r="C18" s="278">
        <f>SUMIF(개별IS!$B$3:$B$45,B18,개별IS!$G$3:$G$45)</f>
        <v>3790100</v>
      </c>
      <c r="D18" s="278">
        <f>SUMIF(개별IS!$B$48:$B$90,B18,개별IS!$G$48:$G$90)</f>
        <v>0</v>
      </c>
      <c r="E18" s="278">
        <f>SUMIF(개별IS!$B$93:$B$131,B18,개별IS!$G$93:$G$131)</f>
        <v>0</v>
      </c>
      <c r="F18" s="278">
        <f>SUMIF(개별IS!$B$134:$B$170,B18,개별IS!$G$134:$G$170)</f>
        <v>0</v>
      </c>
      <c r="G18" s="278">
        <f>SUMIF(개별IS!$B$173:$B$215,B18,개별IS!$G$173:$G$215)</f>
        <v>0</v>
      </c>
      <c r="H18" s="278">
        <f>SUMIF(개별IS!$B$218:$B$256,B18,개별IS!$G$218:$G$256)</f>
        <v>0</v>
      </c>
      <c r="I18" s="278">
        <f>SUMIF(개별IS!$B$259:$B$287,B18,개별IS!$G$259:$G$287)</f>
        <v>0</v>
      </c>
      <c r="J18" s="288">
        <f t="shared" si="7"/>
        <v>3790100</v>
      </c>
      <c r="K18" s="47" t="s">
        <v>100</v>
      </c>
    </row>
    <row r="19" spans="2:11" ht="18" customHeight="1">
      <c r="B19" s="277" t="s">
        <v>721</v>
      </c>
      <c r="C19" s="278">
        <f>SUMIF(개별IS!$B$3:$B$45,B19,개별IS!$G$3:$G$45)</f>
        <v>5158727</v>
      </c>
      <c r="D19" s="278">
        <f>SUMIF(개별IS!$B$48:$B$90,B19,개별IS!$G$48:$G$90)</f>
        <v>126608711</v>
      </c>
      <c r="E19" s="278">
        <f>SUMIF(개별IS!$B$93:$B$131,B19,개별IS!$G$93:$G$131)</f>
        <v>10404000</v>
      </c>
      <c r="F19" s="278">
        <f>SUMIF(개별IS!$B$134:$B$170,B19,개별IS!$G$134:$G$170)</f>
        <v>11499000</v>
      </c>
      <c r="G19" s="278">
        <f>SUMIF(개별IS!$B$173:$B$215,B19,개별IS!$G$173:$G$215)</f>
        <v>1582000</v>
      </c>
      <c r="H19" s="278">
        <f>SUMIF(개별IS!$B$218:$B$256,B19,개별IS!$G$218:$G$256)</f>
        <v>61659000</v>
      </c>
      <c r="I19" s="278">
        <f>SUMIF(개별IS!$B$259:$B$287,B19,개별IS!$G$259:$G$287)</f>
        <v>0</v>
      </c>
      <c r="J19" s="288">
        <f t="shared" si="7"/>
        <v>216911438</v>
      </c>
      <c r="K19" s="47" t="s">
        <v>100</v>
      </c>
    </row>
    <row r="20" spans="2:11" ht="18" customHeight="1">
      <c r="B20" s="277" t="s">
        <v>722</v>
      </c>
      <c r="C20" s="278">
        <f>SUMIF(개별IS!$B$3:$B$45,B20,개별IS!$G$3:$G$45)</f>
        <v>23323054</v>
      </c>
      <c r="D20" s="278">
        <f>SUMIF(개별IS!$B$48:$B$90,B20,개별IS!$G$48:$G$90)</f>
        <v>39532468</v>
      </c>
      <c r="E20" s="278">
        <f>SUMIF(개별IS!$B$93:$B$131,B20,개별IS!$G$93:$G$131)</f>
        <v>11573519</v>
      </c>
      <c r="F20" s="278">
        <f>SUMIF(개별IS!$B$134:$B$170,B20,개별IS!$G$134:$G$170)</f>
        <v>48947935</v>
      </c>
      <c r="G20" s="278">
        <f>SUMIF(개별IS!$B$173:$B$215,B20,개별IS!$G$173:$G$215)</f>
        <v>65375439</v>
      </c>
      <c r="H20" s="278">
        <f>SUMIF(개별IS!$B$218:$B$256,B20,개별IS!$G$218:$G$256)</f>
        <v>586521</v>
      </c>
      <c r="I20" s="278">
        <f>SUMIF(개별IS!$B$259:$B$287,B20,개별IS!$G$259:$G$287)</f>
        <v>0</v>
      </c>
      <c r="J20" s="288">
        <f t="shared" si="7"/>
        <v>189338936</v>
      </c>
      <c r="K20" s="47" t="s">
        <v>100</v>
      </c>
    </row>
    <row r="21" spans="2:11" ht="18" customHeight="1">
      <c r="B21" s="277" t="s">
        <v>723</v>
      </c>
      <c r="C21" s="278">
        <f>SUMIF(개별IS!$B$3:$B$45,B21,개별IS!$G$3:$G$45)</f>
        <v>37132159</v>
      </c>
      <c r="D21" s="278">
        <f>SUMIF(개별IS!$B$48:$B$90,B21,개별IS!$G$48:$G$90)</f>
        <v>43797457</v>
      </c>
      <c r="E21" s="278">
        <f>SUMIF(개별IS!$B$93:$B$131,B21,개별IS!$G$93:$G$131)</f>
        <v>12195462</v>
      </c>
      <c r="F21" s="278">
        <f>SUMIF(개별IS!$B$134:$B$170,B21,개별IS!$G$134:$G$170)</f>
        <v>29001410</v>
      </c>
      <c r="G21" s="278">
        <f>SUMIF(개별IS!$B$173:$B$215,B21,개별IS!$G$173:$G$215)</f>
        <v>44895100</v>
      </c>
      <c r="H21" s="278">
        <f>SUMIF(개별IS!$B$218:$B$256,B21,개별IS!$G$218:$G$256)</f>
        <v>30133310</v>
      </c>
      <c r="I21" s="278">
        <f>SUMIF(개별IS!$B$259:$B$287,B21,개별IS!$G$259:$G$287)</f>
        <v>85700</v>
      </c>
      <c r="J21" s="288">
        <f t="shared" si="7"/>
        <v>197240598</v>
      </c>
      <c r="K21" s="47" t="s">
        <v>100</v>
      </c>
    </row>
    <row r="22" spans="2:11" ht="18" customHeight="1">
      <c r="B22" s="277" t="s">
        <v>724</v>
      </c>
      <c r="C22" s="278">
        <f>SUMIF(개별IS!$B$3:$B$45,B22,개별IS!$G$3:$G$45)</f>
        <v>5584640</v>
      </c>
      <c r="D22" s="278">
        <f>SUMIF(개별IS!$B$48:$B$90,B22,개별IS!$G$48:$G$90)</f>
        <v>25000</v>
      </c>
      <c r="E22" s="278">
        <f>SUMIF(개별IS!$B$93:$B$131,B22,개별IS!$G$93:$G$131)</f>
        <v>0</v>
      </c>
      <c r="F22" s="278">
        <f>SUMIF(개별IS!$B$134:$B$170,B22,개별IS!$G$134:$G$170)</f>
        <v>235000</v>
      </c>
      <c r="G22" s="278">
        <f>SUMIF(개별IS!$B$173:$B$215,B22,개별IS!$G$173:$G$215)</f>
        <v>628950</v>
      </c>
      <c r="H22" s="278">
        <f>SUMIF(개별IS!$B$218:$B$256,B22,개별IS!$G$218:$G$256)</f>
        <v>59800</v>
      </c>
      <c r="I22" s="278">
        <f>SUMIF(개별IS!$B$259:$B$287,B22,개별IS!$G$259:$G$287)</f>
        <v>0</v>
      </c>
      <c r="J22" s="278">
        <f t="shared" si="7"/>
        <v>6533390</v>
      </c>
    </row>
    <row r="23" spans="2:11" ht="18" customHeight="1">
      <c r="B23" s="277" t="s">
        <v>725</v>
      </c>
      <c r="C23" s="278">
        <f>SUMIF(개별IS!$B$3:$B$45,B23,개별IS!$G$3:$G$45)</f>
        <v>0</v>
      </c>
      <c r="D23" s="278">
        <f>SUMIF(개별IS!$B$48:$B$90,B23,개별IS!$G$48:$G$90)</f>
        <v>369000</v>
      </c>
      <c r="E23" s="278">
        <f>SUMIF(개별IS!$B$93:$B$131,B23,개별IS!$G$93:$G$131)</f>
        <v>0</v>
      </c>
      <c r="F23" s="278">
        <f>SUMIF(개별IS!$B$134:$B$170,B23,개별IS!$G$134:$G$170)</f>
        <v>0</v>
      </c>
      <c r="G23" s="278">
        <f>SUMIF(개별IS!$B$173:$B$215,B23,개별IS!$G$173:$G$215)</f>
        <v>0</v>
      </c>
      <c r="H23" s="278">
        <f>SUMIF(개별IS!$B$218:$B$256,B23,개별IS!$G$218:$G$256)</f>
        <v>0</v>
      </c>
      <c r="I23" s="278">
        <f>SUMIF(개별IS!$B$259:$B$287,B23,개별IS!$G$259:$G$287)</f>
        <v>0</v>
      </c>
      <c r="J23" s="278">
        <f t="shared" si="7"/>
        <v>369000</v>
      </c>
    </row>
    <row r="24" spans="2:11" ht="18" customHeight="1">
      <c r="B24" s="277" t="s">
        <v>726</v>
      </c>
      <c r="C24" s="278">
        <f>SUMIF(개별IS!$B$3:$B$45,B24,개별IS!$G$3:$G$45)</f>
        <v>91802</v>
      </c>
      <c r="D24" s="278">
        <f>SUMIF(개별IS!$B$48:$B$90,B24,개별IS!$G$48:$G$90)</f>
        <v>682031</v>
      </c>
      <c r="E24" s="278">
        <f>SUMIF(개별IS!$B$93:$B$131,B24,개별IS!$G$93:$G$131)</f>
        <v>785569</v>
      </c>
      <c r="F24" s="278">
        <f>SUMIF(개별IS!$B$134:$B$170,B24,개별IS!$G$134:$G$170)</f>
        <v>0</v>
      </c>
      <c r="G24" s="278">
        <f>SUMIF(개별IS!$B$173:$B$215,B24,개별IS!$G$173:$G$215)</f>
        <v>193900</v>
      </c>
      <c r="H24" s="278">
        <f>SUMIF(개별IS!$B$218:$B$256,B24,개별IS!$G$218:$G$256)</f>
        <v>357510</v>
      </c>
      <c r="I24" s="278">
        <f>SUMIF(개별IS!$B$259:$B$287,B24,개별IS!$G$259:$G$287)</f>
        <v>0</v>
      </c>
      <c r="J24" s="278">
        <f t="shared" si="7"/>
        <v>2110812</v>
      </c>
    </row>
    <row r="25" spans="2:11" ht="18" customHeight="1">
      <c r="B25" s="277" t="s">
        <v>727</v>
      </c>
      <c r="C25" s="278">
        <f>SUMIF(개별IS!$B$3:$B$45,B25,개별IS!$G$3:$G$45)</f>
        <v>0</v>
      </c>
      <c r="D25" s="278">
        <f>SUMIF(개별IS!$B$48:$B$90,B25,개별IS!$G$48:$G$90)</f>
        <v>0</v>
      </c>
      <c r="E25" s="278">
        <f>SUMIF(개별IS!$B$93:$B$131,B25,개별IS!$G$93:$G$131)</f>
        <v>9732178</v>
      </c>
      <c r="F25" s="278">
        <f>SUMIF(개별IS!$B$134:$B$170,B25,개별IS!$G$134:$G$170)</f>
        <v>0</v>
      </c>
      <c r="G25" s="278">
        <f>SUMIF(개별IS!$B$173:$B$215,B25,개별IS!$G$173:$G$215)</f>
        <v>477000</v>
      </c>
      <c r="H25" s="278">
        <f>SUMIF(개별IS!$B$218:$B$256,B25,개별IS!$G$218:$G$256)</f>
        <v>1041340</v>
      </c>
      <c r="I25" s="278">
        <f>SUMIF(개별IS!$B$259:$B$287,B25,개별IS!$G$259:$G$287)</f>
        <v>0</v>
      </c>
      <c r="J25" s="278">
        <f t="shared" si="7"/>
        <v>11250518</v>
      </c>
    </row>
    <row r="26" spans="2:11" ht="18" customHeight="1">
      <c r="B26" s="277" t="s">
        <v>728</v>
      </c>
      <c r="C26" s="278">
        <f>SUMIF(개별IS!$B$3:$B$45,B26,개별IS!$G$3:$G$45)</f>
        <v>0</v>
      </c>
      <c r="D26" s="278">
        <f>SUMIF(개별IS!$B$48:$B$90,B26,개별IS!$G$48:$G$90)</f>
        <v>6169665</v>
      </c>
      <c r="E26" s="278">
        <f>SUMIF(개별IS!$B$93:$B$131,B26,개별IS!$G$93:$G$131)</f>
        <v>5025555</v>
      </c>
      <c r="F26" s="278">
        <f>SUMIF(개별IS!$B$134:$B$170,B26,개별IS!$G$134:$G$170)</f>
        <v>0</v>
      </c>
      <c r="G26" s="278">
        <f>SUMIF(개별IS!$B$173:$B$215,B26,개별IS!$G$173:$G$215)</f>
        <v>7973395</v>
      </c>
      <c r="H26" s="278">
        <f>SUMIF(개별IS!$B$218:$B$256,B26,개별IS!$G$218:$G$256)</f>
        <v>8019989</v>
      </c>
      <c r="I26" s="278">
        <f>SUMIF(개별IS!$B$259:$B$287,B26,개별IS!$G$259:$G$287)</f>
        <v>0</v>
      </c>
      <c r="J26" s="278">
        <f t="shared" si="7"/>
        <v>27188604</v>
      </c>
    </row>
    <row r="27" spans="2:11" ht="18" customHeight="1">
      <c r="B27" s="277" t="s">
        <v>729</v>
      </c>
      <c r="C27" s="278">
        <f>SUMIF(개별IS!$B$3:$B$45,B27,개별IS!$G$3:$G$45)</f>
        <v>365220</v>
      </c>
      <c r="D27" s="278">
        <f>SUMIF(개별IS!$B$48:$B$90,B27,개별IS!$G$48:$G$90)</f>
        <v>0</v>
      </c>
      <c r="E27" s="278">
        <f>SUMIF(개별IS!$B$93:$B$131,B27,개별IS!$G$93:$G$131)</f>
        <v>2290</v>
      </c>
      <c r="F27" s="278">
        <f>SUMIF(개별IS!$B$134:$B$170,B27,개별IS!$G$134:$G$170)</f>
        <v>35500</v>
      </c>
      <c r="G27" s="278">
        <f>SUMIF(개별IS!$B$173:$B$215,B27,개별IS!$G$173:$G$215)</f>
        <v>0</v>
      </c>
      <c r="H27" s="278">
        <f>SUMIF(개별IS!$B$218:$B$256,B27,개별IS!$G$218:$G$256)</f>
        <v>0</v>
      </c>
      <c r="I27" s="278">
        <f>SUMIF(개별IS!$B$259:$B$287,B27,개별IS!$G$259:$G$287)</f>
        <v>0</v>
      </c>
      <c r="J27" s="278">
        <f t="shared" si="7"/>
        <v>403010</v>
      </c>
    </row>
    <row r="28" spans="2:11" ht="18" customHeight="1">
      <c r="B28" s="277" t="s">
        <v>730</v>
      </c>
      <c r="C28" s="278">
        <f>SUMIF(개별IS!$B$3:$B$45,B28,개별IS!$G$3:$G$45)</f>
        <v>1027679</v>
      </c>
      <c r="D28" s="278">
        <f>SUMIF(개별IS!$B$48:$B$90,B28,개별IS!$G$48:$G$90)</f>
        <v>167282295</v>
      </c>
      <c r="E28" s="278">
        <f>SUMIF(개별IS!$B$93:$B$131,B28,개별IS!$G$93:$G$131)</f>
        <v>43940541</v>
      </c>
      <c r="F28" s="278">
        <f>SUMIF(개별IS!$B$134:$B$170,B28,개별IS!$G$134:$G$170)</f>
        <v>95599497</v>
      </c>
      <c r="G28" s="278">
        <f>SUMIF(개별IS!$B$173:$B$215,B28,개별IS!$G$173:$G$215)</f>
        <v>140137302</v>
      </c>
      <c r="H28" s="278">
        <f>SUMIF(개별IS!$B$218:$B$256,B28,개별IS!$G$218:$G$256)</f>
        <v>78493894</v>
      </c>
      <c r="I28" s="278">
        <f>SUMIF(개별IS!$B$259:$B$287,B28,개별IS!$G$259:$G$287)</f>
        <v>2930876</v>
      </c>
      <c r="J28" s="278">
        <f t="shared" si="7"/>
        <v>529412084</v>
      </c>
    </row>
    <row r="29" spans="2:11" ht="18" customHeight="1">
      <c r="B29" s="277" t="s">
        <v>731</v>
      </c>
      <c r="C29" s="278">
        <f>SUMIF(개별IS!$B$3:$B$45,B29,개별IS!$G$3:$G$45)</f>
        <v>9096700</v>
      </c>
      <c r="D29" s="278">
        <f>SUMIF(개별IS!$B$48:$B$90,B29,개별IS!$G$48:$G$90)</f>
        <v>342758541</v>
      </c>
      <c r="E29" s="278">
        <f>SUMIF(개별IS!$B$93:$B$131,B29,개별IS!$G$93:$G$131)</f>
        <v>130495645</v>
      </c>
      <c r="F29" s="278">
        <f>SUMIF(개별IS!$B$134:$B$170,B29,개별IS!$G$134:$G$170)</f>
        <v>14485224</v>
      </c>
      <c r="G29" s="278">
        <f>SUMIF(개별IS!$B$173:$B$215,B29,개별IS!$G$173:$G$215)</f>
        <v>113132251</v>
      </c>
      <c r="H29" s="278">
        <f>SUMIF(개별IS!$B$218:$B$256,B29,개별IS!$G$218:$G$256)</f>
        <v>121491172</v>
      </c>
      <c r="I29" s="278">
        <f>SUMIF(개별IS!$B$259:$B$287,B29,개별IS!$G$259:$G$287)</f>
        <v>3459724</v>
      </c>
      <c r="J29" s="288">
        <f t="shared" si="7"/>
        <v>734919257</v>
      </c>
      <c r="K29" s="47" t="s">
        <v>240</v>
      </c>
    </row>
    <row r="30" spans="2:11" ht="18" customHeight="1">
      <c r="B30" s="277" t="s">
        <v>732</v>
      </c>
      <c r="C30" s="278">
        <f>SUMIF(개별IS!$B$3:$B$45,B30,개별IS!$G$3:$G$45)</f>
        <v>142728</v>
      </c>
      <c r="D30" s="278">
        <f>SUMIF(개별IS!$B$48:$B$90,B30,개별IS!$G$48:$G$90)</f>
        <v>4179000</v>
      </c>
      <c r="E30" s="278">
        <f>SUMIF(개별IS!$B$93:$B$131,B30,개별IS!$G$93:$G$131)</f>
        <v>360000</v>
      </c>
      <c r="F30" s="278">
        <f>SUMIF(개별IS!$B$134:$B$170,B30,개별IS!$G$134:$G$170)</f>
        <v>0</v>
      </c>
      <c r="G30" s="278">
        <f>SUMIF(개별IS!$B$173:$B$215,B30,개별IS!$G$173:$G$215)</f>
        <v>150000</v>
      </c>
      <c r="H30" s="278">
        <f>SUMIF(개별IS!$B$218:$B$256,B30,개별IS!$G$218:$G$256)</f>
        <v>0</v>
      </c>
      <c r="I30" s="278">
        <f>SUMIF(개별IS!$B$259:$B$287,B30,개별IS!$G$259:$G$287)</f>
        <v>0</v>
      </c>
      <c r="J30" s="278">
        <f t="shared" si="7"/>
        <v>4831728</v>
      </c>
    </row>
    <row r="31" spans="2:11" ht="18" customHeight="1">
      <c r="B31" s="277" t="s">
        <v>733</v>
      </c>
      <c r="C31" s="278">
        <f>SUMIF(개별IS!$B$3:$B$45,B31,개별IS!$G$3:$G$45)</f>
        <v>0</v>
      </c>
      <c r="D31" s="278">
        <f>SUMIF(개별IS!$B$48:$B$90,B31,개별IS!$G$48:$G$90)</f>
        <v>1826702</v>
      </c>
      <c r="E31" s="278">
        <f>SUMIF(개별IS!$B$93:$B$131,B31,개별IS!$G$93:$G$131)</f>
        <v>1439994</v>
      </c>
      <c r="F31" s="278">
        <f>SUMIF(개별IS!$B$134:$B$170,B31,개별IS!$G$134:$G$170)</f>
        <v>1696268</v>
      </c>
      <c r="G31" s="278">
        <f>SUMIF(개별IS!$B$173:$B$215,B31,개별IS!$G$173:$G$215)</f>
        <v>2017540</v>
      </c>
      <c r="H31" s="278">
        <f>SUMIF(개별IS!$B$218:$B$256,B31,개별IS!$G$218:$G$256)</f>
        <v>1454344</v>
      </c>
      <c r="I31" s="278">
        <f>SUMIF(개별IS!$B$259:$B$287,B31,개별IS!$G$259:$G$287)</f>
        <v>0</v>
      </c>
      <c r="J31" s="278">
        <f t="shared" si="7"/>
        <v>8434848</v>
      </c>
    </row>
    <row r="32" spans="2:11" ht="18" customHeight="1">
      <c r="B32" s="277" t="s">
        <v>734</v>
      </c>
      <c r="C32" s="278">
        <f>SUMIF(개별IS!$B$3:$B$45,B32,개별IS!$G$3:$G$45)</f>
        <v>59446</v>
      </c>
      <c r="D32" s="278">
        <f>SUMIF(개별IS!$B$48:$B$90,B32,개별IS!$G$48:$G$90)</f>
        <v>14474</v>
      </c>
      <c r="E32" s="278">
        <f>SUMIF(개별IS!$B$93:$B$131,B32,개별IS!$G$93:$G$131)</f>
        <v>0</v>
      </c>
      <c r="F32" s="278">
        <f>SUMIF(개별IS!$B$134:$B$170,B32,개별IS!$G$134:$G$170)</f>
        <v>0</v>
      </c>
      <c r="G32" s="278">
        <f>SUMIF(개별IS!$B$173:$B$215,B32,개별IS!$G$173:$G$215)</f>
        <v>15000</v>
      </c>
      <c r="H32" s="278">
        <f>SUMIF(개별IS!$B$218:$B$256,B32,개별IS!$G$218:$G$256)</f>
        <v>0</v>
      </c>
      <c r="I32" s="278">
        <f>SUMIF(개별IS!$B$259:$B$287,B32,개별IS!$G$259:$G$287)</f>
        <v>0</v>
      </c>
      <c r="J32" s="278">
        <f t="shared" si="7"/>
        <v>88920</v>
      </c>
    </row>
    <row r="33" spans="2:13" ht="18" customHeight="1">
      <c r="B33" s="277" t="s">
        <v>735</v>
      </c>
      <c r="C33" s="278">
        <f>SUMIF(개별IS!$B$3:$B$45,B33,개별IS!$G$3:$G$45)</f>
        <v>4562946</v>
      </c>
      <c r="D33" s="278">
        <f>SUMIF(개별IS!$B$48:$B$90,B33,개별IS!$G$48:$G$90)</f>
        <v>5893064</v>
      </c>
      <c r="E33" s="278">
        <f>SUMIF(개별IS!$B$93:$B$131,B33,개별IS!$G$93:$G$131)</f>
        <v>0</v>
      </c>
      <c r="F33" s="278">
        <f>SUMIF(개별IS!$B$134:$B$170,B33,개별IS!$G$134:$G$170)</f>
        <v>720000</v>
      </c>
      <c r="G33" s="278">
        <f>SUMIF(개별IS!$B$173:$B$215,B33,개별IS!$G$173:$G$215)</f>
        <v>3796638</v>
      </c>
      <c r="H33" s="278">
        <f>SUMIF(개별IS!$B$218:$B$256,B33,개별IS!$G$218:$G$256)</f>
        <v>1215000</v>
      </c>
      <c r="I33" s="278">
        <f>SUMIF(개별IS!$B$259:$B$287,B33,개별IS!$G$259:$G$287)</f>
        <v>1150000</v>
      </c>
      <c r="J33" s="278">
        <f t="shared" si="7"/>
        <v>17337648</v>
      </c>
    </row>
    <row r="34" spans="2:13" ht="18" customHeight="1">
      <c r="B34" s="277" t="s">
        <v>736</v>
      </c>
      <c r="C34" s="278">
        <f>SUMIF(개별IS!$B$3:$B$45,B34,개별IS!$G$3:$G$45)</f>
        <v>74675109</v>
      </c>
      <c r="D34" s="278">
        <f>SUMIF(개별IS!$B$48:$B$90,B34,개별IS!$G$48:$G$90)</f>
        <v>65000</v>
      </c>
      <c r="E34" s="278">
        <f>SUMIF(개별IS!$B$93:$B$131,B34,개별IS!$G$93:$G$131)</f>
        <v>0</v>
      </c>
      <c r="F34" s="278">
        <f>SUMIF(개별IS!$B$134:$B$170,B34,개별IS!$G$134:$G$170)</f>
        <v>0</v>
      </c>
      <c r="G34" s="278">
        <f>SUMIF(개별IS!$B$173:$B$215,B34,개별IS!$G$173:$G$215)</f>
        <v>220909</v>
      </c>
      <c r="H34" s="278">
        <f>SUMIF(개별IS!$B$218:$B$256,B34,개별IS!$G$218:$G$256)</f>
        <v>0</v>
      </c>
      <c r="I34" s="278">
        <f>SUMIF(개별IS!$B$259:$B$287,B34,개별IS!$G$259:$G$287)</f>
        <v>0</v>
      </c>
      <c r="J34" s="278">
        <f t="shared" si="7"/>
        <v>74961018</v>
      </c>
    </row>
    <row r="35" spans="2:13" ht="18" customHeight="1">
      <c r="B35" s="277" t="s">
        <v>737</v>
      </c>
      <c r="C35" s="278">
        <f>SUMIF(개별IS!$B$3:$B$45,B35,개별IS!$G$3:$G$45)</f>
        <v>111369</v>
      </c>
      <c r="D35" s="278">
        <f>SUMIF(개별IS!$B$48:$B$90,B35,개별IS!$G$48:$G$90)</f>
        <v>0</v>
      </c>
      <c r="E35" s="278">
        <f>SUMIF(개별IS!$B$93:$B$131,B35,개별IS!$G$93:$G$131)</f>
        <v>0</v>
      </c>
      <c r="F35" s="278">
        <f>SUMIF(개별IS!$B$134:$B$170,B35,개별IS!$G$134:$G$170)</f>
        <v>0</v>
      </c>
      <c r="G35" s="278">
        <f>SUMIF(개별IS!$B$173:$B$215,B35,개별IS!$G$173:$G$215)</f>
        <v>0</v>
      </c>
      <c r="H35" s="278">
        <f>SUMIF(개별IS!$B$218:$B$256,B35,개별IS!$G$218:$G$256)</f>
        <v>0</v>
      </c>
      <c r="I35" s="278">
        <f>SUMIF(개별IS!$B$259:$B$287,B35,개별IS!$G$259:$G$287)</f>
        <v>0</v>
      </c>
      <c r="J35" s="278">
        <f t="shared" si="7"/>
        <v>111369</v>
      </c>
    </row>
    <row r="36" spans="2:13" ht="18" customHeight="1">
      <c r="B36" s="277" t="s">
        <v>738</v>
      </c>
      <c r="C36" s="278">
        <f>SUMIF(개별IS!$B$3:$B$45,B36,개별IS!$G$3:$G$45)</f>
        <v>77138713</v>
      </c>
      <c r="D36" s="278">
        <f>SUMIF(개별IS!$B$48:$B$90,B36,개별IS!$G$48:$G$90)</f>
        <v>18277609</v>
      </c>
      <c r="E36" s="278">
        <f>SUMIF(개별IS!$B$93:$B$131,B36,개별IS!$G$93:$G$131)</f>
        <v>1330000</v>
      </c>
      <c r="F36" s="278">
        <f>SUMIF(개별IS!$B$134:$B$170,B36,개별IS!$G$134:$G$170)</f>
        <v>7584425</v>
      </c>
      <c r="G36" s="278">
        <f>SUMIF(개별IS!$B$173:$B$215,B36,개별IS!$G$173:$G$215)</f>
        <v>8436558</v>
      </c>
      <c r="H36" s="278">
        <f>SUMIF(개별IS!$B$218:$B$256,B36,개별IS!$G$218:$G$256)</f>
        <v>7088115</v>
      </c>
      <c r="I36" s="278">
        <f>SUMIF(개별IS!$B$259:$B$287,B36,개별IS!$G$259:$G$287)</f>
        <v>488365</v>
      </c>
      <c r="J36" s="288">
        <f t="shared" si="7"/>
        <v>120343785</v>
      </c>
      <c r="K36" s="47" t="s">
        <v>186</v>
      </c>
    </row>
    <row r="37" spans="2:13" ht="18" customHeight="1">
      <c r="B37" s="277" t="s">
        <v>739</v>
      </c>
      <c r="C37" s="278">
        <f>SUMIF(개별IS!$B$3:$B$45,B37,개별IS!$G$3:$G$45)</f>
        <v>86165839</v>
      </c>
      <c r="D37" s="278">
        <f>SUMIF(개별IS!$B$48:$B$90,B37,개별IS!$G$48:$G$90)</f>
        <v>80603213</v>
      </c>
      <c r="E37" s="278">
        <f>SUMIF(개별IS!$B$93:$B$131,B37,개별IS!$G$93:$G$131)</f>
        <v>165587377</v>
      </c>
      <c r="F37" s="278">
        <f>SUMIF(개별IS!$B$134:$B$170,B37,개별IS!$G$134:$G$170)</f>
        <v>41073799</v>
      </c>
      <c r="G37" s="278">
        <f>SUMIF(개별IS!$B$173:$B$215,B37,개별IS!$G$173:$G$215)</f>
        <v>73316890</v>
      </c>
      <c r="H37" s="278">
        <f>SUMIF(개별IS!$B$218:$B$256,B37,개별IS!$G$218:$G$256)</f>
        <v>15859781</v>
      </c>
      <c r="I37" s="278">
        <f>SUMIF(개별IS!$B$259:$B$287,B37,개별IS!$G$259:$G$287)</f>
        <v>658000</v>
      </c>
      <c r="J37" s="278">
        <f t="shared" si="7"/>
        <v>463264899</v>
      </c>
      <c r="K37" s="289">
        <f>5000000*12+59000000+150000000</f>
        <v>269000000</v>
      </c>
      <c r="L37" s="47" t="s">
        <v>805</v>
      </c>
    </row>
    <row r="38" spans="2:13" ht="18" customHeight="1">
      <c r="B38" s="277" t="s">
        <v>740</v>
      </c>
      <c r="C38" s="278">
        <f>SUMIF(개별IS!$B$3:$B$45,B38,개별IS!$G$3:$G$45)</f>
        <v>80116201</v>
      </c>
      <c r="D38" s="278">
        <f>SUMIF(개별IS!$B$48:$B$90,B38,개별IS!$G$48:$G$90)</f>
        <v>19980000</v>
      </c>
      <c r="E38" s="278">
        <f>SUMIF(개별IS!$B$93:$B$131,B38,개별IS!$G$93:$G$131)</f>
        <v>0</v>
      </c>
      <c r="F38" s="278">
        <f>SUMIF(개별IS!$B$134:$B$170,B38,개별IS!$G$134:$G$170)</f>
        <v>18400000</v>
      </c>
      <c r="G38" s="278">
        <f>SUMIF(개별IS!$B$173:$B$215,B38,개별IS!$G$173:$G$215)</f>
        <v>45700000</v>
      </c>
      <c r="H38" s="278">
        <f>SUMIF(개별IS!$B$218:$B$256,B38,개별IS!$G$218:$G$256)</f>
        <v>0</v>
      </c>
      <c r="I38" s="278">
        <f>SUMIF(개별IS!$B$259:$B$287,B38,개별IS!$G$259:$G$287)</f>
        <v>136892</v>
      </c>
      <c r="J38" s="288">
        <f t="shared" si="7"/>
        <v>164333093</v>
      </c>
      <c r="K38" s="47" t="s">
        <v>196</v>
      </c>
      <c r="L38" s="47" t="s">
        <v>806</v>
      </c>
    </row>
    <row r="39" spans="2:13" ht="18" customHeight="1">
      <c r="B39" s="277" t="s">
        <v>741</v>
      </c>
      <c r="C39" s="278">
        <f>SUMIF(개별IS!$B$3:$B$45,B39,개별IS!$G$3:$G$45)</f>
        <v>28677083</v>
      </c>
      <c r="D39" s="278">
        <f>SUMIF(개별IS!$B$48:$B$90,B39,개별IS!$G$48:$G$90)</f>
        <v>0</v>
      </c>
      <c r="E39" s="278">
        <f>SUMIF(개별IS!$B$93:$B$131,B39,개별IS!$G$93:$G$131)</f>
        <v>0</v>
      </c>
      <c r="F39" s="278">
        <f>SUMIF(개별IS!$B$134:$B$170,B39,개별IS!$G$134:$G$170)</f>
        <v>31827375</v>
      </c>
      <c r="G39" s="278">
        <f>SUMIF(개별IS!$B$173:$B$215,B39,개별IS!$G$173:$G$215)</f>
        <v>54856250</v>
      </c>
      <c r="H39" s="278">
        <f>SUMIF(개별IS!$B$218:$B$256,B39,개별IS!$G$218:$G$256)</f>
        <v>30844125</v>
      </c>
      <c r="I39" s="278">
        <f>SUMIF(개별IS!$B$259:$B$287,B39,개별IS!$G$259:$G$287)</f>
        <v>0</v>
      </c>
      <c r="J39" s="278">
        <f t="shared" si="7"/>
        <v>146204833</v>
      </c>
    </row>
    <row r="40" spans="2:13" ht="18" customHeight="1">
      <c r="B40" s="277" t="s">
        <v>742</v>
      </c>
      <c r="C40" s="278">
        <f>SUMIF(개별IS!$B$3:$B$45,B40,개별IS!$G$3:$G$45)</f>
        <v>0</v>
      </c>
      <c r="D40" s="278">
        <f>SUMIF(개별IS!$B$48:$B$90,B40,개별IS!$G$48:$G$90)</f>
        <v>8585450</v>
      </c>
      <c r="E40" s="278">
        <f>SUMIF(개별IS!$B$93:$B$131,B40,개별IS!$G$93:$G$131)</f>
        <v>2100300</v>
      </c>
      <c r="F40" s="278">
        <f>SUMIF(개별IS!$B$134:$B$170,B40,개별IS!$G$134:$G$170)</f>
        <v>5682550</v>
      </c>
      <c r="G40" s="278">
        <f>SUMIF(개별IS!$B$173:$B$215,B40,개별IS!$G$173:$G$215)</f>
        <v>4173600</v>
      </c>
      <c r="H40" s="278">
        <f>SUMIF(개별IS!$B$218:$B$256,B40,개별IS!$G$218:$G$256)</f>
        <v>5440800</v>
      </c>
      <c r="I40" s="278">
        <f>SUMIF(개별IS!$B$259:$B$287,B40,개별IS!$G$259:$G$287)</f>
        <v>0</v>
      </c>
      <c r="J40" s="278">
        <f t="shared" si="7"/>
        <v>25982700</v>
      </c>
    </row>
    <row r="41" spans="2:13" ht="18" customHeight="1">
      <c r="B41" s="277" t="s">
        <v>743</v>
      </c>
      <c r="C41" s="278">
        <f>SUMIF(개별IS!$B$3:$B$45,B41,개별IS!$G$3:$G$45)</f>
        <v>0</v>
      </c>
      <c r="D41" s="278">
        <f>SUMIF(개별IS!$B$48:$B$90,B41,개별IS!$G$48:$G$90)</f>
        <v>216117135</v>
      </c>
      <c r="E41" s="278">
        <f>SUMIF(개별IS!$B$93:$B$131,B41,개별IS!$G$93:$G$131)</f>
        <v>139334547</v>
      </c>
      <c r="F41" s="278">
        <f>SUMIF(개별IS!$B$134:$B$170,B41,개별IS!$G$134:$G$170)</f>
        <v>150805380</v>
      </c>
      <c r="G41" s="278">
        <f>SUMIF(개별IS!$B$173:$B$215,B41,개별IS!$G$173:$G$215)</f>
        <v>164738834</v>
      </c>
      <c r="H41" s="278">
        <f>SUMIF(개별IS!$B$218:$B$256,B41,개별IS!$G$218:$G$256)</f>
        <v>167048475</v>
      </c>
      <c r="I41" s="278">
        <f>SUMIF(개별IS!$B$259:$B$287,B41,개별IS!$G$259:$G$287)</f>
        <v>0</v>
      </c>
      <c r="J41" s="288">
        <f t="shared" si="7"/>
        <v>838044371</v>
      </c>
      <c r="K41" s="47" t="s">
        <v>240</v>
      </c>
      <c r="L41" s="47" t="s">
        <v>807</v>
      </c>
    </row>
    <row r="42" spans="2:13" ht="18" customHeight="1">
      <c r="B42" s="277" t="s">
        <v>744</v>
      </c>
      <c r="C42" s="278">
        <f>SUMIF(개별IS!$B$3:$B$45,B42,개별IS!$G$3:$G$45)</f>
        <v>16923142</v>
      </c>
      <c r="D42" s="278">
        <f>SUMIF(개별IS!$B$48:$B$90,B42,개별IS!$G$48:$G$90)</f>
        <v>29560000</v>
      </c>
      <c r="E42" s="278">
        <f>SUMIF(개별IS!$B$93:$B$131,B42,개별IS!$G$93:$G$131)</f>
        <v>22960000</v>
      </c>
      <c r="F42" s="278">
        <f>SUMIF(개별IS!$B$134:$B$170,B42,개별IS!$G$134:$G$170)</f>
        <v>48450000</v>
      </c>
      <c r="G42" s="278">
        <f>SUMIF(개별IS!$B$173:$B$215,B42,개별IS!$G$173:$G$215)</f>
        <v>0</v>
      </c>
      <c r="H42" s="278">
        <f>SUMIF(개별IS!$B$218:$B$256,B42,개별IS!$G$218:$G$256)</f>
        <v>56970000</v>
      </c>
      <c r="I42" s="278">
        <f>SUMIF(개별IS!$B$259:$B$287,B42,개별IS!$G$259:$G$287)</f>
        <v>0</v>
      </c>
      <c r="J42" s="278">
        <f t="shared" si="7"/>
        <v>174863142</v>
      </c>
      <c r="L42" s="47" t="s">
        <v>807</v>
      </c>
      <c r="M42" s="47" t="s">
        <v>808</v>
      </c>
    </row>
    <row r="43" spans="2:13" ht="18" customHeight="1">
      <c r="B43" s="275" t="s">
        <v>745</v>
      </c>
      <c r="C43" s="276">
        <f t="shared" ref="C43:J43" si="8">C15-C16</f>
        <v>-895523186</v>
      </c>
      <c r="D43" s="276">
        <f t="shared" si="8"/>
        <v>199333115</v>
      </c>
      <c r="E43" s="276">
        <f t="shared" si="8"/>
        <v>-528092722</v>
      </c>
      <c r="F43" s="276">
        <f t="shared" si="8"/>
        <v>-138437183</v>
      </c>
      <c r="G43" s="276">
        <f t="shared" si="8"/>
        <v>-435526771</v>
      </c>
      <c r="H43" s="276">
        <f t="shared" si="8"/>
        <v>123653816</v>
      </c>
      <c r="I43" s="276">
        <f t="shared" si="8"/>
        <v>-12432226</v>
      </c>
      <c r="J43" s="276">
        <f t="shared" si="8"/>
        <v>-1687025157</v>
      </c>
    </row>
    <row r="44" spans="2:13" ht="18" customHeight="1">
      <c r="B44" s="275" t="s">
        <v>746</v>
      </c>
      <c r="C44" s="276">
        <f>SUM(C45:C46)</f>
        <v>171889745</v>
      </c>
      <c r="D44" s="276">
        <f t="shared" ref="D44:J44" si="9">SUM(D45:D46)</f>
        <v>17914464</v>
      </c>
      <c r="E44" s="276">
        <f t="shared" si="9"/>
        <v>93119</v>
      </c>
      <c r="F44" s="276">
        <f t="shared" si="9"/>
        <v>65660</v>
      </c>
      <c r="G44" s="276">
        <f t="shared" si="9"/>
        <v>3440697</v>
      </c>
      <c r="H44" s="276">
        <f t="shared" si="9"/>
        <v>982402</v>
      </c>
      <c r="I44" s="276">
        <f t="shared" si="9"/>
        <v>575617</v>
      </c>
      <c r="J44" s="276">
        <f t="shared" si="9"/>
        <v>194961704</v>
      </c>
    </row>
    <row r="45" spans="2:13" ht="18" customHeight="1">
      <c r="B45" s="277" t="s">
        <v>747</v>
      </c>
      <c r="C45" s="278">
        <f>SUMIF(개별IS!$B$3:$B$45,B45,개별IS!$G$3:$G$45)</f>
        <v>182419</v>
      </c>
      <c r="D45" s="278">
        <f>SUMIF(개별IS!$B$48:$B$90,B45,개별IS!$G$48:$G$90)</f>
        <v>17913932</v>
      </c>
      <c r="E45" s="278">
        <f>SUMIF(개별IS!$B$93:$B$131,B45,개별IS!$G$93:$G$131)</f>
        <v>6861</v>
      </c>
      <c r="F45" s="278">
        <f>SUMIF(개별IS!$B$134:$B$170,B45,개별IS!$G$134:$G$170)</f>
        <v>17645</v>
      </c>
      <c r="G45" s="278">
        <f>SUMIF(개별IS!$B$173:$B$215,B45,개별IS!$G$173:$G$215)</f>
        <v>3440674</v>
      </c>
      <c r="H45" s="278">
        <f>SUMIF(개별IS!$B$218:$B$256,B45,개별IS!$G$218:$G$256)</f>
        <v>732372</v>
      </c>
      <c r="I45" s="278">
        <f>SUMIF(개별IS!$B$259:$B$287,B45,개별IS!$G$259:$G$287)</f>
        <v>395036</v>
      </c>
      <c r="J45" s="278">
        <f t="shared" ref="J45:J46" si="10">SUM(C45:I45)</f>
        <v>22688939</v>
      </c>
    </row>
    <row r="46" spans="2:13" ht="18" customHeight="1">
      <c r="B46" s="277" t="s">
        <v>748</v>
      </c>
      <c r="C46" s="278">
        <f>SUMIF(개별IS!$B$3:$B$45,B46,개별IS!$G$3:$G$45)</f>
        <v>171707326</v>
      </c>
      <c r="D46" s="278">
        <f>SUMIF(개별IS!$B$48:$B$90,B46,개별IS!$G$48:$G$90)</f>
        <v>532</v>
      </c>
      <c r="E46" s="278">
        <f>SUMIF(개별IS!$B$93:$B$131,B46,개별IS!$G$93:$G$131)</f>
        <v>86258</v>
      </c>
      <c r="F46" s="278">
        <f>SUMIF(개별IS!$B$134:$B$170,B46,개별IS!$G$134:$G$170)</f>
        <v>48015</v>
      </c>
      <c r="G46" s="278">
        <f>SUMIF(개별IS!$B$173:$B$215,B46,개별IS!$G$173:$G$215)</f>
        <v>23</v>
      </c>
      <c r="H46" s="278">
        <f>SUMIF(개별IS!$B$218:$B$256,B46,개별IS!$G$218:$G$256)</f>
        <v>250030</v>
      </c>
      <c r="I46" s="278">
        <f>SUMIF(개별IS!$B$259:$B$287,B46,개별IS!$G$259:$G$287)</f>
        <v>180581</v>
      </c>
      <c r="J46" s="278">
        <f t="shared" si="10"/>
        <v>172272765</v>
      </c>
      <c r="L46" s="47" t="s">
        <v>809</v>
      </c>
    </row>
    <row r="47" spans="2:13" ht="18" customHeight="1">
      <c r="B47" s="275" t="s">
        <v>749</v>
      </c>
      <c r="C47" s="276">
        <f t="shared" ref="C47:J47" si="11">SUM(C48:C51)</f>
        <v>63711</v>
      </c>
      <c r="D47" s="276">
        <f t="shared" si="11"/>
        <v>7771210</v>
      </c>
      <c r="E47" s="276">
        <f t="shared" si="11"/>
        <v>950329991</v>
      </c>
      <c r="F47" s="276">
        <f t="shared" si="11"/>
        <v>5524762</v>
      </c>
      <c r="G47" s="276">
        <f t="shared" si="11"/>
        <v>7300829</v>
      </c>
      <c r="H47" s="276">
        <f t="shared" si="11"/>
        <v>5104995</v>
      </c>
      <c r="I47" s="276">
        <f t="shared" si="11"/>
        <v>187725</v>
      </c>
      <c r="J47" s="276">
        <f t="shared" si="11"/>
        <v>976283223</v>
      </c>
    </row>
    <row r="48" spans="2:13" ht="18" customHeight="1">
      <c r="B48" s="277" t="s">
        <v>750</v>
      </c>
      <c r="C48" s="278">
        <f>SUMIF(개별IS!$B$3:$B$45,B48,개별IS!$G$3:$G$45)</f>
        <v>63710</v>
      </c>
      <c r="D48" s="278">
        <f>SUMIF(개별IS!$B$48:$B$90,B48,개별IS!$G$48:$G$90)</f>
        <v>0</v>
      </c>
      <c r="E48" s="278">
        <f>SUMIF(개별IS!$B$93:$B$131,B48,개별IS!$G$93:$G$131)</f>
        <v>0</v>
      </c>
      <c r="F48" s="278">
        <f>SUMIF(개별IS!$B$134:$B$170,B48,개별IS!$G$134:$G$170)</f>
        <v>0</v>
      </c>
      <c r="G48" s="278">
        <f>SUMIF(개별IS!$B$173:$B$215,B48,개별IS!$G$173:$G$215)</f>
        <v>0</v>
      </c>
      <c r="H48" s="278">
        <f>SUMIF(개별IS!$B$218:$B$256,B48,개별IS!$G$218:$G$256)</f>
        <v>0</v>
      </c>
      <c r="I48" s="278">
        <f>SUMIF(개별IS!$B$259:$B$287,B48,개별IS!$G$259:$G$287)</f>
        <v>0</v>
      </c>
      <c r="J48" s="278">
        <f t="shared" ref="J48:J51" si="12">SUM(C48:I48)</f>
        <v>63710</v>
      </c>
    </row>
    <row r="49" spans="2:10" ht="18" customHeight="1">
      <c r="B49" s="277" t="s">
        <v>752</v>
      </c>
      <c r="C49" s="278">
        <f>SUMIF(개별IS!$B$3:$B$45,B49,개별IS!$G$3:$G$45)</f>
        <v>0</v>
      </c>
      <c r="D49" s="278">
        <f>SUMIF(개별IS!$B$48:$B$90,B49,개별IS!$G$48:$G$90)</f>
        <v>0</v>
      </c>
      <c r="E49" s="278">
        <f>SUMIF(개별IS!$B$93:$B$131,B49,개별IS!$G$93:$G$131)</f>
        <v>859120251</v>
      </c>
      <c r="F49" s="278">
        <f>SUMIF(개별IS!$B$134:$B$170,B49,개별IS!$G$134:$G$170)</f>
        <v>0</v>
      </c>
      <c r="G49" s="278">
        <f>SUMIF(개별IS!$B$173:$B$215,B49,개별IS!$G$173:$G$215)</f>
        <v>0</v>
      </c>
      <c r="H49" s="278">
        <f>SUMIF(개별IS!$B$218:$B$256,B49,개별IS!$G$218:$G$256)</f>
        <v>0</v>
      </c>
      <c r="I49" s="278">
        <f>SUMIF(개별IS!$B$259:$B$287,B49,개별IS!$G$259:$G$287)</f>
        <v>0</v>
      </c>
      <c r="J49" s="278">
        <f t="shared" ref="J49" si="13">SUM(C49:I49)</f>
        <v>859120251</v>
      </c>
    </row>
    <row r="50" spans="2:10" ht="18" customHeight="1">
      <c r="B50" s="277" t="s">
        <v>810</v>
      </c>
      <c r="C50" s="278">
        <f>SUMIF(개별IS!$B$3:$B$45,B50,개별IS!$G$3:$G$45)</f>
        <v>0</v>
      </c>
      <c r="D50" s="278">
        <f>SUMIF(개별IS!$B$48:$B$90,B50,개별IS!$G$48:$G$90)</f>
        <v>7376390</v>
      </c>
      <c r="E50" s="278">
        <f>SUMIF(개별IS!$B$93:$B$131,B50,개별IS!$G$93:$G$131)</f>
        <v>0</v>
      </c>
      <c r="F50" s="278">
        <f>SUMIF(개별IS!$B$134:$B$170,B50,개별IS!$G$134:$G$170)</f>
        <v>5524762</v>
      </c>
      <c r="G50" s="278">
        <f>SUMIF(개별IS!$B$173:$B$215,B50,개별IS!$G$173:$G$215)</f>
        <v>7250829</v>
      </c>
      <c r="H50" s="278">
        <f>SUMIF(개별IS!$B$218:$B$256,B50,개별IS!$G$218:$G$256)</f>
        <v>5104995</v>
      </c>
      <c r="I50" s="278">
        <f>SUMIF(개별IS!$B$259:$B$287,B50,개별IS!$G$259:$G$287)</f>
        <v>187721</v>
      </c>
      <c r="J50" s="278">
        <f t="shared" ref="J50" si="14">SUM(C50:I50)</f>
        <v>25444697</v>
      </c>
    </row>
    <row r="51" spans="2:10" ht="18" customHeight="1">
      <c r="B51" s="277" t="s">
        <v>754</v>
      </c>
      <c r="C51" s="278">
        <f>SUMIF(개별IS!$B$3:$B$45,B51,개별IS!$G$3:$G$45)</f>
        <v>1</v>
      </c>
      <c r="D51" s="278">
        <f>SUMIF(개별IS!$B$48:$B$90,B51,개별IS!$G$48:$G$90)</f>
        <v>394820</v>
      </c>
      <c r="E51" s="278">
        <f>SUMIF(개별IS!$B$93:$B$131,B51,개별IS!$G$93:$G$131)</f>
        <v>91209740</v>
      </c>
      <c r="F51" s="278">
        <f>SUMIF(개별IS!$B$134:$B$170,B51,개별IS!$G$134:$G$170)</f>
        <v>0</v>
      </c>
      <c r="G51" s="278">
        <f>SUMIF(개별IS!$B$173:$B$215,B51,개별IS!$G$173:$G$215)</f>
        <v>50000</v>
      </c>
      <c r="H51" s="278">
        <f>SUMIF(개별IS!$B$218:$B$256,B51,개별IS!$G$218:$G$256)</f>
        <v>0</v>
      </c>
      <c r="I51" s="278">
        <f>SUMIF(개별IS!$B$259:$B$287,B51,개별IS!$G$259:$G$287)</f>
        <v>4</v>
      </c>
      <c r="J51" s="278">
        <f t="shared" si="12"/>
        <v>91654565</v>
      </c>
    </row>
    <row r="52" spans="2:10" ht="18" customHeight="1">
      <c r="B52" s="275" t="s">
        <v>755</v>
      </c>
      <c r="C52" s="276">
        <f t="shared" ref="C52:J52" si="15">C43+C44-C47</f>
        <v>-723697152</v>
      </c>
      <c r="D52" s="276">
        <f t="shared" si="15"/>
        <v>209476369</v>
      </c>
      <c r="E52" s="276">
        <f t="shared" si="15"/>
        <v>-1478329594</v>
      </c>
      <c r="F52" s="276">
        <f t="shared" si="15"/>
        <v>-143896285</v>
      </c>
      <c r="G52" s="276">
        <f t="shared" si="15"/>
        <v>-439386903</v>
      </c>
      <c r="H52" s="276">
        <f t="shared" si="15"/>
        <v>119531223</v>
      </c>
      <c r="I52" s="276">
        <f t="shared" si="15"/>
        <v>-12044334</v>
      </c>
      <c r="J52" s="276">
        <f t="shared" si="15"/>
        <v>-2468346676</v>
      </c>
    </row>
    <row r="53" spans="2:10" ht="18" customHeight="1">
      <c r="B53" s="275" t="s">
        <v>756</v>
      </c>
      <c r="C53" s="276">
        <v>0</v>
      </c>
      <c r="D53" s="276">
        <v>0</v>
      </c>
      <c r="E53" s="276">
        <v>0</v>
      </c>
      <c r="F53" s="276">
        <v>0</v>
      </c>
      <c r="G53" s="276">
        <v>0</v>
      </c>
      <c r="H53" s="276">
        <v>0</v>
      </c>
      <c r="I53" s="276">
        <v>0</v>
      </c>
      <c r="J53" s="276">
        <v>0</v>
      </c>
    </row>
    <row r="54" spans="2:10" ht="18" customHeight="1">
      <c r="B54" s="275" t="s">
        <v>757</v>
      </c>
      <c r="C54" s="276">
        <f>C52-C53</f>
        <v>-723697152</v>
      </c>
      <c r="D54" s="276">
        <f t="shared" ref="D54:J54" si="16">D52-D53</f>
        <v>209476369</v>
      </c>
      <c r="E54" s="276">
        <f t="shared" si="16"/>
        <v>-1478329594</v>
      </c>
      <c r="F54" s="276">
        <f t="shared" si="16"/>
        <v>-143896285</v>
      </c>
      <c r="G54" s="276">
        <f t="shared" si="16"/>
        <v>-439386903</v>
      </c>
      <c r="H54" s="276">
        <f t="shared" si="16"/>
        <v>119531223</v>
      </c>
      <c r="I54" s="276">
        <f t="shared" si="16"/>
        <v>-12044334</v>
      </c>
      <c r="J54" s="276">
        <f t="shared" si="16"/>
        <v>-2468346676</v>
      </c>
    </row>
  </sheetData>
  <mergeCells count="2">
    <mergeCell ref="B1:J1"/>
    <mergeCell ref="B2:J2"/>
  </mergeCells>
  <phoneticPr fontId="9" type="noConversion"/>
  <conditionalFormatting sqref="B25">
    <cfRule type="duplicateValues" dxfId="18" priority="2"/>
  </conditionalFormatting>
  <conditionalFormatting sqref="B35">
    <cfRule type="duplicateValues" dxfId="17" priority="3"/>
  </conditionalFormatting>
  <conditionalFormatting sqref="B39">
    <cfRule type="duplicateValues" dxfId="16" priority="1"/>
  </conditionalFormatting>
  <printOptions horizontalCentered="1"/>
  <pageMargins left="0.31496062992125984" right="0.31496062992125984" top="0.74803149606299213" bottom="0.74803149606299213" header="0.31496062992125984" footer="0.31496062992125984"/>
  <pageSetup paperSize="9" scale="6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P95"/>
  <sheetViews>
    <sheetView tabSelected="1" zoomScaleNormal="100" workbookViewId="0">
      <pane xSplit="4" ySplit="5" topLeftCell="E12" activePane="bottomRight" state="frozen"/>
      <selection activeCell="F54" sqref="F54"/>
      <selection pane="topRight" activeCell="F54" sqref="F54"/>
      <selection pane="bottomLeft" activeCell="F54" sqref="F54"/>
      <selection pane="bottomRight" activeCell="F28" sqref="F28:G28"/>
    </sheetView>
  </sheetViews>
  <sheetFormatPr defaultColWidth="8.7109375" defaultRowHeight="13.5" customHeight="1"/>
  <cols>
    <col min="1" max="1" width="24.7109375" style="481" hidden="1" customWidth="1"/>
    <col min="2" max="2" width="32.140625" style="383" hidden="1" customWidth="1"/>
    <col min="3" max="3" width="16.85546875" style="383" hidden="1" customWidth="1"/>
    <col min="4" max="4" width="34.5703125" style="481" customWidth="1"/>
    <col min="5" max="5" width="18.7109375" style="383" customWidth="1"/>
    <col min="6" max="6" width="15.5703125" style="383" customWidth="1"/>
    <col min="7" max="7" width="16.7109375" style="383" customWidth="1"/>
    <col min="8" max="8" width="20" style="383" customWidth="1"/>
    <col min="9" max="11" width="16.7109375" style="383" customWidth="1"/>
    <col min="12" max="13" width="18" style="385" customWidth="1"/>
    <col min="14" max="14" width="13.140625" style="386" customWidth="1"/>
    <col min="15" max="15" width="8.7109375" style="383"/>
    <col min="16" max="16" width="45.85546875" style="383" customWidth="1"/>
    <col min="17" max="16384" width="8.7109375" style="383"/>
  </cols>
  <sheetData>
    <row r="1" spans="1:14" ht="46.5" customHeight="1">
      <c r="A1" s="380"/>
      <c r="B1" s="381" t="s">
        <v>277</v>
      </c>
      <c r="C1" s="382"/>
      <c r="D1" s="380"/>
      <c r="F1" s="384" t="s">
        <v>278</v>
      </c>
      <c r="G1" s="384"/>
      <c r="H1" s="384"/>
      <c r="I1" s="384"/>
      <c r="J1" s="384"/>
      <c r="K1" s="384"/>
    </row>
    <row r="2" spans="1:14" ht="13.5" customHeight="1">
      <c r="A2" s="380"/>
      <c r="B2" s="387" t="s">
        <v>279</v>
      </c>
      <c r="C2" s="387"/>
      <c r="D2" s="380"/>
      <c r="H2" s="387" t="s">
        <v>280</v>
      </c>
    </row>
    <row r="3" spans="1:14" ht="13.5" customHeight="1">
      <c r="A3" s="388" t="s">
        <v>281</v>
      </c>
      <c r="D3" s="388" t="s">
        <v>282</v>
      </c>
      <c r="E3" s="388" t="s">
        <v>283</v>
      </c>
    </row>
    <row r="4" spans="1:14" ht="13.5" customHeight="1" thickBot="1">
      <c r="A4" s="389" t="s">
        <v>284</v>
      </c>
      <c r="B4" s="390" t="s">
        <v>285</v>
      </c>
      <c r="C4" s="391" t="s">
        <v>286</v>
      </c>
      <c r="D4" s="392" t="s">
        <v>287</v>
      </c>
      <c r="E4" s="393"/>
      <c r="F4" s="394"/>
      <c r="G4" s="394"/>
      <c r="H4" s="394"/>
      <c r="I4" s="394"/>
      <c r="J4" s="394"/>
      <c r="K4" s="395"/>
      <c r="L4" s="396" t="s">
        <v>288</v>
      </c>
      <c r="M4" s="396"/>
      <c r="N4" s="396"/>
    </row>
    <row r="5" spans="1:14" ht="13.5" customHeight="1">
      <c r="A5" s="389"/>
      <c r="B5" s="390" t="s">
        <v>289</v>
      </c>
      <c r="C5" s="397"/>
      <c r="D5" s="398" t="s">
        <v>208</v>
      </c>
      <c r="E5" s="399" t="s">
        <v>10</v>
      </c>
      <c r="F5" s="400" t="s">
        <v>290</v>
      </c>
      <c r="G5" s="390" t="s">
        <v>291</v>
      </c>
      <c r="H5" s="390" t="s">
        <v>292</v>
      </c>
      <c r="I5" s="390" t="s">
        <v>293</v>
      </c>
      <c r="J5" s="390" t="s">
        <v>294</v>
      </c>
      <c r="K5" s="390" t="s">
        <v>295</v>
      </c>
      <c r="L5" s="401" t="s">
        <v>296</v>
      </c>
      <c r="M5" s="401" t="s">
        <v>297</v>
      </c>
      <c r="N5" s="402" t="s">
        <v>15</v>
      </c>
    </row>
    <row r="6" spans="1:14" ht="13.5" customHeight="1">
      <c r="A6" s="403" t="s">
        <v>298</v>
      </c>
      <c r="B6" s="404">
        <f>SUM(B7:B9)</f>
        <v>24993995056</v>
      </c>
      <c r="C6" s="405"/>
      <c r="D6" s="406" t="s">
        <v>298</v>
      </c>
      <c r="E6" s="407">
        <f t="shared" ref="E6:K6" si="0">SUM(E7:E9)</f>
        <v>13051031409</v>
      </c>
      <c r="F6" s="408">
        <f t="shared" si="0"/>
        <v>0</v>
      </c>
      <c r="G6" s="404">
        <f t="shared" si="0"/>
        <v>6651954576</v>
      </c>
      <c r="H6" s="404">
        <f t="shared" si="0"/>
        <v>1341924568</v>
      </c>
      <c r="I6" s="404">
        <f t="shared" si="0"/>
        <v>2345285192</v>
      </c>
      <c r="J6" s="404">
        <f t="shared" si="0"/>
        <v>2435826273</v>
      </c>
      <c r="K6" s="404">
        <f t="shared" si="0"/>
        <v>276040800</v>
      </c>
      <c r="L6" s="409">
        <v>13032465838</v>
      </c>
      <c r="M6" s="409">
        <f>E6-L6</f>
        <v>18565571</v>
      </c>
      <c r="N6" s="410" t="s">
        <v>299</v>
      </c>
    </row>
    <row r="7" spans="1:14" ht="13.5" customHeight="1">
      <c r="A7" s="411" t="s">
        <v>112</v>
      </c>
      <c r="B7" s="412">
        <v>11248271647</v>
      </c>
      <c r="C7" s="413"/>
      <c r="D7" s="414" t="s">
        <v>282</v>
      </c>
      <c r="E7" s="415"/>
      <c r="F7" s="416"/>
      <c r="G7" s="412"/>
      <c r="H7" s="412"/>
      <c r="I7" s="412"/>
      <c r="J7" s="412"/>
      <c r="K7" s="412"/>
      <c r="L7" s="417"/>
      <c r="M7" s="417"/>
      <c r="N7" s="410"/>
    </row>
    <row r="8" spans="1:14" ht="13.5" customHeight="1">
      <c r="A8" s="411" t="s">
        <v>212</v>
      </c>
      <c r="B8" s="418">
        <v>13051031409</v>
      </c>
      <c r="C8" s="419"/>
      <c r="D8" s="420" t="s">
        <v>212</v>
      </c>
      <c r="E8" s="415">
        <f>SUM(F8:K8)</f>
        <v>13051031409</v>
      </c>
      <c r="F8" s="421">
        <v>0</v>
      </c>
      <c r="G8" s="412">
        <v>6651954576</v>
      </c>
      <c r="H8" s="412">
        <f>1323358997+15656571+2909000</f>
        <v>1341924568</v>
      </c>
      <c r="I8" s="412">
        <v>2345285192</v>
      </c>
      <c r="J8" s="412">
        <v>2435826273</v>
      </c>
      <c r="K8" s="412">
        <v>276040800</v>
      </c>
      <c r="L8" s="417" t="s">
        <v>282</v>
      </c>
      <c r="M8" s="417"/>
      <c r="N8" s="410"/>
    </row>
    <row r="9" spans="1:14" ht="13.5" customHeight="1">
      <c r="A9" s="411" t="s">
        <v>300</v>
      </c>
      <c r="B9" s="412">
        <v>694692000</v>
      </c>
      <c r="C9" s="413"/>
      <c r="D9" s="414" t="s">
        <v>282</v>
      </c>
      <c r="E9" s="415"/>
      <c r="F9" s="416"/>
      <c r="G9" s="412"/>
      <c r="H9" s="412"/>
      <c r="I9" s="412"/>
      <c r="J9" s="412"/>
      <c r="K9" s="412"/>
      <c r="L9" s="417"/>
      <c r="M9" s="417"/>
      <c r="N9" s="410"/>
    </row>
    <row r="10" spans="1:14" ht="13.5" customHeight="1">
      <c r="A10" s="422" t="s">
        <v>301</v>
      </c>
      <c r="B10" s="423">
        <f>B11+B16</f>
        <v>13149703587</v>
      </c>
      <c r="C10" s="424"/>
      <c r="D10" s="425" t="s">
        <v>302</v>
      </c>
      <c r="E10" s="426">
        <f>SUM(F10:K10)</f>
        <v>4507776710</v>
      </c>
      <c r="F10" s="427">
        <f t="shared" ref="F10:K10" si="1">F16</f>
        <v>0</v>
      </c>
      <c r="G10" s="423">
        <f t="shared" si="1"/>
        <v>2298630375</v>
      </c>
      <c r="H10" s="423">
        <f t="shared" si="1"/>
        <v>437429276</v>
      </c>
      <c r="I10" s="423">
        <f t="shared" si="1"/>
        <v>929706124</v>
      </c>
      <c r="J10" s="423">
        <f t="shared" si="1"/>
        <v>698912728</v>
      </c>
      <c r="K10" s="423">
        <f t="shared" si="1"/>
        <v>143098207</v>
      </c>
      <c r="L10" s="417">
        <v>4507776710</v>
      </c>
      <c r="M10" s="417"/>
      <c r="N10" s="410"/>
    </row>
    <row r="11" spans="1:14" ht="13.5" customHeight="1">
      <c r="A11" s="422" t="s">
        <v>188</v>
      </c>
      <c r="B11" s="423">
        <f>B12+B13-B14-B15</f>
        <v>5279534698</v>
      </c>
      <c r="C11" s="424"/>
      <c r="D11" s="425"/>
      <c r="E11" s="415"/>
      <c r="F11" s="427"/>
      <c r="G11" s="423"/>
      <c r="H11" s="423"/>
      <c r="I11" s="423"/>
      <c r="J11" s="423"/>
      <c r="K11" s="423"/>
      <c r="L11" s="417"/>
      <c r="M11" s="417"/>
      <c r="N11" s="410"/>
    </row>
    <row r="12" spans="1:14" ht="13.5" customHeight="1">
      <c r="A12" s="411" t="s">
        <v>303</v>
      </c>
      <c r="B12" s="412">
        <v>8251381603</v>
      </c>
      <c r="C12" s="413"/>
      <c r="D12" s="414"/>
      <c r="E12" s="415"/>
      <c r="F12" s="416"/>
      <c r="G12" s="412"/>
      <c r="H12" s="412"/>
      <c r="I12" s="412"/>
      <c r="J12" s="412"/>
      <c r="K12" s="412"/>
      <c r="L12" s="417"/>
      <c r="M12" s="417"/>
      <c r="N12" s="410"/>
    </row>
    <row r="13" spans="1:14" ht="13.5" customHeight="1">
      <c r="A13" s="411" t="s">
        <v>304</v>
      </c>
      <c r="B13" s="412">
        <v>5043985959</v>
      </c>
      <c r="C13" s="413"/>
      <c r="D13" s="414"/>
      <c r="E13" s="415"/>
      <c r="F13" s="416"/>
      <c r="G13" s="412"/>
      <c r="H13" s="412"/>
      <c r="I13" s="412"/>
      <c r="J13" s="412"/>
      <c r="K13" s="412"/>
      <c r="L13" s="417"/>
      <c r="M13" s="417"/>
      <c r="N13" s="410"/>
    </row>
    <row r="14" spans="1:14" ht="13.5" customHeight="1">
      <c r="A14" s="411" t="s">
        <v>305</v>
      </c>
      <c r="B14" s="412">
        <v>157035693</v>
      </c>
      <c r="C14" s="413"/>
      <c r="D14" s="414"/>
      <c r="E14" s="415"/>
      <c r="F14" s="416"/>
      <c r="G14" s="412"/>
      <c r="H14" s="412"/>
      <c r="I14" s="412"/>
      <c r="J14" s="412"/>
      <c r="K14" s="412"/>
      <c r="L14" s="417"/>
      <c r="M14" s="417"/>
      <c r="N14" s="410"/>
    </row>
    <row r="15" spans="1:14" ht="13.5" customHeight="1">
      <c r="A15" s="411" t="s">
        <v>306</v>
      </c>
      <c r="B15" s="412">
        <v>7858797171</v>
      </c>
      <c r="C15" s="413"/>
      <c r="D15" s="414"/>
      <c r="E15" s="415"/>
      <c r="F15" s="416"/>
      <c r="G15" s="412"/>
      <c r="H15" s="412"/>
      <c r="I15" s="412"/>
      <c r="J15" s="412"/>
      <c r="K15" s="412"/>
      <c r="L15" s="417"/>
      <c r="M15" s="417"/>
      <c r="N15" s="410"/>
    </row>
    <row r="16" spans="1:14" ht="13.5" customHeight="1">
      <c r="A16" s="422" t="s">
        <v>222</v>
      </c>
      <c r="B16" s="423">
        <f>B17+B18-B19</f>
        <v>7870168889</v>
      </c>
      <c r="C16" s="424"/>
      <c r="D16" s="425" t="s">
        <v>307</v>
      </c>
      <c r="E16" s="426">
        <f>SUM(F16:K16)</f>
        <v>4507776710</v>
      </c>
      <c r="F16" s="427">
        <f t="shared" ref="F16:K16" si="2">F17+F18-F19</f>
        <v>0</v>
      </c>
      <c r="G16" s="423">
        <f t="shared" si="2"/>
        <v>2298630375</v>
      </c>
      <c r="H16" s="423">
        <f t="shared" si="2"/>
        <v>437429276</v>
      </c>
      <c r="I16" s="423">
        <f t="shared" si="2"/>
        <v>929706124</v>
      </c>
      <c r="J16" s="423">
        <f t="shared" si="2"/>
        <v>698912728</v>
      </c>
      <c r="K16" s="423">
        <f t="shared" si="2"/>
        <v>143098207</v>
      </c>
      <c r="L16" s="417">
        <f>SUM(F10:K10)</f>
        <v>4507776710</v>
      </c>
      <c r="M16" s="417"/>
      <c r="N16" s="410"/>
    </row>
    <row r="17" spans="1:16" ht="13.5" customHeight="1">
      <c r="A17" s="411" t="s">
        <v>308</v>
      </c>
      <c r="B17" s="412">
        <v>0</v>
      </c>
      <c r="C17" s="413"/>
      <c r="D17" s="420" t="s">
        <v>309</v>
      </c>
      <c r="E17" s="415">
        <f>SUM(F17:K17)</f>
        <v>13711156</v>
      </c>
      <c r="F17" s="421">
        <v>0</v>
      </c>
      <c r="G17" s="412">
        <v>7591164</v>
      </c>
      <c r="H17" s="412">
        <v>6119992</v>
      </c>
      <c r="I17" s="412"/>
      <c r="J17" s="412"/>
      <c r="K17" s="412"/>
      <c r="L17" s="417"/>
      <c r="M17" s="417" t="s">
        <v>282</v>
      </c>
      <c r="N17" s="410"/>
    </row>
    <row r="18" spans="1:16" ht="13.5" customHeight="1">
      <c r="A18" s="411" t="s">
        <v>310</v>
      </c>
      <c r="B18" s="412">
        <v>7870168889</v>
      </c>
      <c r="C18" s="413"/>
      <c r="D18" s="420" t="s">
        <v>311</v>
      </c>
      <c r="E18" s="415">
        <f>SUM(F18:K18)</f>
        <v>4534062975</v>
      </c>
      <c r="F18" s="421">
        <v>0</v>
      </c>
      <c r="G18" s="428">
        <v>2305403850</v>
      </c>
      <c r="H18" s="428">
        <v>439711839</v>
      </c>
      <c r="I18" s="428">
        <v>932616747</v>
      </c>
      <c r="J18" s="428">
        <v>707302668</v>
      </c>
      <c r="K18" s="428">
        <v>149027871</v>
      </c>
      <c r="L18" s="417">
        <v>4534062975</v>
      </c>
      <c r="M18" s="417">
        <f>E18-L18</f>
        <v>0</v>
      </c>
      <c r="N18" s="410"/>
    </row>
    <row r="19" spans="1:16" ht="13.5" customHeight="1">
      <c r="A19" s="411" t="s">
        <v>312</v>
      </c>
      <c r="B19" s="412">
        <v>0</v>
      </c>
      <c r="C19" s="413"/>
      <c r="D19" s="420" t="s">
        <v>313</v>
      </c>
      <c r="E19" s="415">
        <f>SUM(F19:K19)</f>
        <v>39997421</v>
      </c>
      <c r="F19" s="416"/>
      <c r="G19" s="412">
        <v>14364639</v>
      </c>
      <c r="H19" s="412">
        <v>8402555</v>
      </c>
      <c r="I19" s="412">
        <v>2910623</v>
      </c>
      <c r="J19" s="412">
        <v>8389940</v>
      </c>
      <c r="K19" s="412">
        <v>5929664</v>
      </c>
      <c r="L19" s="417"/>
      <c r="M19" s="417"/>
      <c r="N19" s="410"/>
    </row>
    <row r="20" spans="1:16" ht="13.5" customHeight="1">
      <c r="A20" s="411"/>
      <c r="B20" s="412"/>
      <c r="C20" s="413"/>
      <c r="D20" s="414"/>
      <c r="E20" s="415"/>
      <c r="F20" s="416"/>
      <c r="G20" s="412"/>
      <c r="H20" s="412"/>
      <c r="I20" s="412"/>
      <c r="J20" s="412"/>
      <c r="K20" s="412"/>
      <c r="L20" s="417" t="s">
        <v>282</v>
      </c>
      <c r="M20" s="417"/>
      <c r="N20" s="410"/>
    </row>
    <row r="21" spans="1:16" ht="13.5" customHeight="1">
      <c r="A21" s="422" t="s">
        <v>314</v>
      </c>
      <c r="B21" s="423">
        <f>B6-B10</f>
        <v>11844291469</v>
      </c>
      <c r="C21" s="424"/>
      <c r="D21" s="425" t="s">
        <v>314</v>
      </c>
      <c r="E21" s="429">
        <f>SUM(F21:K21)</f>
        <v>8543254699</v>
      </c>
      <c r="F21" s="427">
        <f t="shared" ref="F21:K21" si="3">F6-F16</f>
        <v>0</v>
      </c>
      <c r="G21" s="423">
        <f t="shared" si="3"/>
        <v>4353324201</v>
      </c>
      <c r="H21" s="423">
        <f t="shared" si="3"/>
        <v>904495292</v>
      </c>
      <c r="I21" s="423">
        <f t="shared" si="3"/>
        <v>1415579068</v>
      </c>
      <c r="J21" s="423">
        <f t="shared" si="3"/>
        <v>1736913545</v>
      </c>
      <c r="K21" s="423">
        <f t="shared" si="3"/>
        <v>132942593</v>
      </c>
      <c r="L21" s="417">
        <f>L6-L10</f>
        <v>8524689128</v>
      </c>
      <c r="M21" s="417">
        <f>E21-L21</f>
        <v>18565571</v>
      </c>
      <c r="N21" s="410"/>
    </row>
    <row r="22" spans="1:16" ht="13.5" customHeight="1">
      <c r="A22" s="422"/>
      <c r="B22" s="423"/>
      <c r="C22" s="424"/>
      <c r="D22" s="425"/>
      <c r="E22" s="429"/>
      <c r="F22" s="427"/>
      <c r="G22" s="423"/>
      <c r="H22" s="423"/>
      <c r="I22" s="423"/>
      <c r="J22" s="423"/>
      <c r="K22" s="423"/>
      <c r="L22" s="417"/>
      <c r="M22" s="417"/>
      <c r="N22" s="410"/>
    </row>
    <row r="23" spans="1:16" ht="13.5" customHeight="1">
      <c r="A23" s="422" t="s">
        <v>315</v>
      </c>
      <c r="B23" s="423">
        <f>SUM(B24:B61)</f>
        <v>13814050936</v>
      </c>
      <c r="C23" s="423">
        <f>SUM(C24:C61)</f>
        <v>123154415</v>
      </c>
      <c r="D23" s="430" t="s">
        <v>316</v>
      </c>
      <c r="E23" s="429">
        <f t="shared" ref="E23:K23" si="4">SUM(E24:E61)</f>
        <v>10063671410</v>
      </c>
      <c r="F23" s="431">
        <f t="shared" si="4"/>
        <v>447990942</v>
      </c>
      <c r="G23" s="423">
        <f t="shared" si="4"/>
        <v>3979167679</v>
      </c>
      <c r="H23" s="423">
        <f t="shared" si="4"/>
        <v>2186828057</v>
      </c>
      <c r="I23" s="423">
        <f t="shared" si="4"/>
        <v>1307911633</v>
      </c>
      <c r="J23" s="423">
        <f t="shared" si="4"/>
        <v>1995445130</v>
      </c>
      <c r="K23" s="423">
        <f t="shared" si="4"/>
        <v>146327969</v>
      </c>
      <c r="L23" s="417">
        <f>SUM(L24:L61)</f>
        <v>9650373864</v>
      </c>
      <c r="M23" s="417">
        <f>E23-L23</f>
        <v>413297546</v>
      </c>
      <c r="N23" s="410"/>
    </row>
    <row r="24" spans="1:16" ht="13.5" customHeight="1" thickBot="1">
      <c r="A24" s="411" t="s">
        <v>317</v>
      </c>
      <c r="B24" s="412">
        <v>4551127641</v>
      </c>
      <c r="C24" s="413">
        <v>110111686</v>
      </c>
      <c r="D24" s="420" t="s">
        <v>317</v>
      </c>
      <c r="E24" s="432">
        <f t="shared" ref="E24:E61" si="5">SUM(F24:K24)</f>
        <v>3604635878</v>
      </c>
      <c r="F24" s="421">
        <v>413297546</v>
      </c>
      <c r="G24" s="428">
        <v>1076064918</v>
      </c>
      <c r="H24" s="428">
        <v>897522964</v>
      </c>
      <c r="I24" s="428">
        <v>341857630</v>
      </c>
      <c r="J24" s="428">
        <v>826432509</v>
      </c>
      <c r="K24" s="428">
        <v>49460311</v>
      </c>
      <c r="L24" s="417">
        <v>3191338332</v>
      </c>
      <c r="M24" s="417">
        <f>E24-L24</f>
        <v>413297546</v>
      </c>
      <c r="N24" s="410"/>
      <c r="O24" s="383">
        <f>E27/E24</f>
        <v>0.11509316780983336</v>
      </c>
    </row>
    <row r="25" spans="1:16" ht="13.5" customHeight="1">
      <c r="A25" s="411" t="s">
        <v>318</v>
      </c>
      <c r="B25" s="412">
        <v>82090000</v>
      </c>
      <c r="C25" s="413"/>
      <c r="D25" s="420" t="s">
        <v>318</v>
      </c>
      <c r="E25" s="415">
        <f t="shared" si="5"/>
        <v>16429000</v>
      </c>
      <c r="F25" s="421"/>
      <c r="G25" s="428">
        <v>7429000</v>
      </c>
      <c r="H25" s="428">
        <v>1000000</v>
      </c>
      <c r="I25" s="428">
        <v>5600000</v>
      </c>
      <c r="J25" s="428">
        <v>2400000</v>
      </c>
      <c r="K25" s="428">
        <v>0</v>
      </c>
      <c r="L25" s="417">
        <v>16429000</v>
      </c>
      <c r="M25" s="417">
        <f t="shared" ref="M25:M61" si="6">E25-L25</f>
        <v>0</v>
      </c>
      <c r="N25" s="433" t="s">
        <v>282</v>
      </c>
      <c r="O25" s="434" t="s">
        <v>282</v>
      </c>
      <c r="P25" s="435" t="s">
        <v>319</v>
      </c>
    </row>
    <row r="26" spans="1:16" ht="13.5" customHeight="1">
      <c r="A26" s="411" t="s">
        <v>239</v>
      </c>
      <c r="B26" s="412">
        <v>36840862</v>
      </c>
      <c r="C26" s="413"/>
      <c r="D26" s="420" t="s">
        <v>320</v>
      </c>
      <c r="E26" s="415">
        <f t="shared" si="5"/>
        <v>0</v>
      </c>
      <c r="F26" s="421"/>
      <c r="G26" s="428">
        <v>0</v>
      </c>
      <c r="H26" s="428">
        <v>0</v>
      </c>
      <c r="I26" s="428">
        <v>0</v>
      </c>
      <c r="J26" s="428">
        <v>0</v>
      </c>
      <c r="K26" s="428">
        <v>0</v>
      </c>
      <c r="L26" s="417">
        <v>0</v>
      </c>
      <c r="M26" s="417">
        <f t="shared" si="6"/>
        <v>0</v>
      </c>
      <c r="N26" s="436"/>
      <c r="O26" s="434"/>
      <c r="P26" s="437">
        <f>SUM(E25:E28)</f>
        <v>606223545</v>
      </c>
    </row>
    <row r="27" spans="1:16" ht="13.5" customHeight="1">
      <c r="A27" s="411" t="s">
        <v>154</v>
      </c>
      <c r="B27" s="412">
        <v>579747832</v>
      </c>
      <c r="C27" s="413"/>
      <c r="D27" s="420" t="s">
        <v>321</v>
      </c>
      <c r="E27" s="415">
        <f t="shared" si="5"/>
        <v>414868962</v>
      </c>
      <c r="F27" s="421">
        <v>0</v>
      </c>
      <c r="G27" s="428">
        <v>294473780</v>
      </c>
      <c r="H27" s="428">
        <v>67517500</v>
      </c>
      <c r="I27" s="428">
        <v>30027500</v>
      </c>
      <c r="J27" s="428">
        <v>17541000</v>
      </c>
      <c r="K27" s="428">
        <v>5309182</v>
      </c>
      <c r="L27" s="417">
        <v>414868962</v>
      </c>
      <c r="M27" s="417">
        <f t="shared" si="6"/>
        <v>0</v>
      </c>
      <c r="N27" s="436"/>
      <c r="O27" s="434"/>
      <c r="P27" s="438" t="s">
        <v>322</v>
      </c>
    </row>
    <row r="28" spans="1:16" ht="13.5" customHeight="1" thickBot="1">
      <c r="A28" s="411" t="s">
        <v>323</v>
      </c>
      <c r="B28" s="412">
        <v>389688006</v>
      </c>
      <c r="C28" s="413"/>
      <c r="D28" s="420" t="s">
        <v>324</v>
      </c>
      <c r="E28" s="415">
        <f t="shared" si="5"/>
        <v>174925583</v>
      </c>
      <c r="F28" s="421"/>
      <c r="G28" s="428">
        <v>151765913</v>
      </c>
      <c r="H28" s="428">
        <v>16290861</v>
      </c>
      <c r="I28" s="428">
        <v>6496261</v>
      </c>
      <c r="J28" s="428">
        <v>0</v>
      </c>
      <c r="K28" s="428">
        <v>372548</v>
      </c>
      <c r="L28" s="417">
        <v>174925583</v>
      </c>
      <c r="M28" s="417">
        <f t="shared" si="6"/>
        <v>0</v>
      </c>
      <c r="N28" s="436"/>
      <c r="O28" s="434"/>
      <c r="P28" s="439">
        <f>P26/E24</f>
        <v>0.16817885787020401</v>
      </c>
    </row>
    <row r="29" spans="1:16" ht="13.5" customHeight="1">
      <c r="A29" s="411" t="s">
        <v>155</v>
      </c>
      <c r="B29" s="412">
        <v>3036807</v>
      </c>
      <c r="C29" s="413"/>
      <c r="D29" s="420" t="s">
        <v>325</v>
      </c>
      <c r="E29" s="415">
        <f t="shared" si="5"/>
        <v>0</v>
      </c>
      <c r="F29" s="421"/>
      <c r="G29" s="428">
        <v>0</v>
      </c>
      <c r="H29" s="428">
        <v>0</v>
      </c>
      <c r="I29" s="428">
        <v>0</v>
      </c>
      <c r="J29" s="428">
        <v>0</v>
      </c>
      <c r="K29" s="428">
        <v>0</v>
      </c>
      <c r="L29" s="417">
        <v>0</v>
      </c>
      <c r="M29" s="417">
        <f t="shared" si="6"/>
        <v>0</v>
      </c>
      <c r="N29" s="440"/>
      <c r="O29" s="434"/>
      <c r="P29" s="383" t="s">
        <v>326</v>
      </c>
    </row>
    <row r="30" spans="1:16" ht="13.5" customHeight="1">
      <c r="A30" s="411" t="s">
        <v>156</v>
      </c>
      <c r="B30" s="428">
        <v>438798969</v>
      </c>
      <c r="C30" s="441">
        <v>8368488</v>
      </c>
      <c r="D30" s="420" t="s">
        <v>204</v>
      </c>
      <c r="E30" s="415">
        <f t="shared" si="5"/>
        <v>254318559</v>
      </c>
      <c r="F30" s="421">
        <f>30628497-C30</f>
        <v>22260009</v>
      </c>
      <c r="G30" s="428">
        <v>106293831</v>
      </c>
      <c r="H30" s="428">
        <v>49437714</v>
      </c>
      <c r="I30" s="428">
        <v>31439157</v>
      </c>
      <c r="J30" s="428">
        <v>44316178</v>
      </c>
      <c r="K30" s="428">
        <v>571670</v>
      </c>
      <c r="L30" s="417">
        <v>254318559</v>
      </c>
      <c r="M30" s="417">
        <f t="shared" si="6"/>
        <v>0</v>
      </c>
      <c r="N30" s="410"/>
      <c r="P30" s="383" t="s">
        <v>327</v>
      </c>
    </row>
    <row r="31" spans="1:16" ht="13.5" customHeight="1">
      <c r="A31" s="411" t="s">
        <v>158</v>
      </c>
      <c r="B31" s="412">
        <v>71857846</v>
      </c>
      <c r="C31" s="413"/>
      <c r="D31" s="420" t="s">
        <v>328</v>
      </c>
      <c r="E31" s="415">
        <f t="shared" si="5"/>
        <v>1587507</v>
      </c>
      <c r="F31" s="421">
        <v>0</v>
      </c>
      <c r="G31" s="428">
        <v>450837</v>
      </c>
      <c r="H31" s="428">
        <v>148900</v>
      </c>
      <c r="I31" s="428">
        <v>272300</v>
      </c>
      <c r="J31" s="428">
        <v>715470</v>
      </c>
      <c r="K31" s="428">
        <v>0</v>
      </c>
      <c r="L31" s="417">
        <v>1587507</v>
      </c>
      <c r="M31" s="417">
        <f t="shared" si="6"/>
        <v>0</v>
      </c>
      <c r="N31" s="410"/>
    </row>
    <row r="32" spans="1:16" ht="13.5" customHeight="1">
      <c r="A32" s="411" t="s">
        <v>159</v>
      </c>
      <c r="B32" s="412">
        <v>166328114</v>
      </c>
      <c r="C32" s="413"/>
      <c r="D32" s="420" t="s">
        <v>329</v>
      </c>
      <c r="E32" s="415">
        <f t="shared" si="5"/>
        <v>471779</v>
      </c>
      <c r="F32" s="421"/>
      <c r="G32" s="428">
        <v>0</v>
      </c>
      <c r="H32" s="428">
        <v>171779</v>
      </c>
      <c r="I32" s="428">
        <v>0</v>
      </c>
      <c r="J32" s="428">
        <v>300000</v>
      </c>
      <c r="K32" s="428">
        <v>0</v>
      </c>
      <c r="L32" s="417">
        <v>471779</v>
      </c>
      <c r="M32" s="417">
        <f t="shared" si="6"/>
        <v>0</v>
      </c>
      <c r="N32" s="410"/>
    </row>
    <row r="33" spans="1:14" ht="13.5" customHeight="1">
      <c r="A33" s="411" t="s">
        <v>189</v>
      </c>
      <c r="B33" s="412">
        <v>19588506</v>
      </c>
      <c r="C33" s="413"/>
      <c r="D33" s="420" t="s">
        <v>330</v>
      </c>
      <c r="E33" s="415">
        <f t="shared" si="5"/>
        <v>2887270</v>
      </c>
      <c r="F33" s="421">
        <v>0</v>
      </c>
      <c r="G33" s="428">
        <v>1044475</v>
      </c>
      <c r="H33" s="428">
        <v>1050843</v>
      </c>
      <c r="I33" s="428">
        <v>659552</v>
      </c>
      <c r="J33" s="428">
        <v>132400</v>
      </c>
      <c r="K33" s="428">
        <v>0</v>
      </c>
      <c r="L33" s="417">
        <v>2887270</v>
      </c>
      <c r="M33" s="417">
        <f t="shared" si="6"/>
        <v>0</v>
      </c>
      <c r="N33" s="410"/>
    </row>
    <row r="34" spans="1:14" ht="13.5" customHeight="1">
      <c r="A34" s="411" t="s">
        <v>193</v>
      </c>
      <c r="B34" s="412">
        <v>3970124</v>
      </c>
      <c r="C34" s="413"/>
      <c r="D34" s="420" t="s">
        <v>202</v>
      </c>
      <c r="E34" s="415">
        <f t="shared" si="5"/>
        <v>58905598</v>
      </c>
      <c r="F34" s="421"/>
      <c r="G34" s="428">
        <v>17445659</v>
      </c>
      <c r="H34" s="428">
        <v>28258543</v>
      </c>
      <c r="I34" s="428">
        <v>0</v>
      </c>
      <c r="J34" s="428">
        <v>13201396</v>
      </c>
      <c r="K34" s="428">
        <v>0</v>
      </c>
      <c r="L34" s="417">
        <v>58905598</v>
      </c>
      <c r="M34" s="417">
        <f t="shared" si="6"/>
        <v>0</v>
      </c>
      <c r="N34" s="410"/>
    </row>
    <row r="35" spans="1:14" s="451" customFormat="1" ht="13.5" customHeight="1">
      <c r="A35" s="442" t="s">
        <v>225</v>
      </c>
      <c r="B35" s="443">
        <v>87645184</v>
      </c>
      <c r="C35" s="444"/>
      <c r="D35" s="445" t="s">
        <v>203</v>
      </c>
      <c r="E35" s="446">
        <f t="shared" si="5"/>
        <v>75984256</v>
      </c>
      <c r="F35" s="447">
        <v>0</v>
      </c>
      <c r="G35" s="448">
        <v>21296751</v>
      </c>
      <c r="H35" s="448">
        <v>27886124</v>
      </c>
      <c r="I35" s="448">
        <v>0</v>
      </c>
      <c r="J35" s="448">
        <v>26502122</v>
      </c>
      <c r="K35" s="448">
        <v>299259</v>
      </c>
      <c r="L35" s="449">
        <v>75984256</v>
      </c>
      <c r="M35" s="449">
        <f t="shared" si="6"/>
        <v>0</v>
      </c>
      <c r="N35" s="450"/>
    </row>
    <row r="36" spans="1:14" s="451" customFormat="1" ht="13.5" customHeight="1">
      <c r="A36" s="442" t="s">
        <v>160</v>
      </c>
      <c r="B36" s="443">
        <v>238974004</v>
      </c>
      <c r="C36" s="444">
        <v>3903459</v>
      </c>
      <c r="D36" s="445" t="s">
        <v>331</v>
      </c>
      <c r="E36" s="446">
        <f t="shared" si="5"/>
        <v>88198260</v>
      </c>
      <c r="F36" s="447">
        <f>14286582-C36</f>
        <v>10383123</v>
      </c>
      <c r="G36" s="448">
        <v>25060297</v>
      </c>
      <c r="H36" s="448">
        <v>8589260</v>
      </c>
      <c r="I36" s="448">
        <v>14602870</v>
      </c>
      <c r="J36" s="448">
        <v>28527080</v>
      </c>
      <c r="K36" s="448">
        <v>1035630</v>
      </c>
      <c r="L36" s="449">
        <v>88198260</v>
      </c>
      <c r="M36" s="449">
        <f t="shared" si="6"/>
        <v>0</v>
      </c>
      <c r="N36" s="450"/>
    </row>
    <row r="37" spans="1:14" ht="13.5" customHeight="1">
      <c r="A37" s="411" t="s">
        <v>115</v>
      </c>
      <c r="B37" s="412">
        <v>1045710266</v>
      </c>
      <c r="C37" s="413"/>
      <c r="D37" s="420" t="s">
        <v>101</v>
      </c>
      <c r="E37" s="415">
        <f t="shared" si="5"/>
        <v>1463258254</v>
      </c>
      <c r="F37" s="421">
        <v>0</v>
      </c>
      <c r="G37" s="428">
        <v>422731146</v>
      </c>
      <c r="H37" s="428">
        <v>411435269</v>
      </c>
      <c r="I37" s="428">
        <v>242854773</v>
      </c>
      <c r="J37" s="428">
        <v>358604550</v>
      </c>
      <c r="K37" s="428">
        <v>27632516</v>
      </c>
      <c r="L37" s="417">
        <v>1463258254</v>
      </c>
      <c r="M37" s="417">
        <f t="shared" si="6"/>
        <v>0</v>
      </c>
      <c r="N37" s="410"/>
    </row>
    <row r="38" spans="1:14" ht="13.5" customHeight="1">
      <c r="A38" s="411" t="s">
        <v>194</v>
      </c>
      <c r="B38" s="412">
        <v>1033069209</v>
      </c>
      <c r="C38" s="413"/>
      <c r="D38" s="420" t="s">
        <v>332</v>
      </c>
      <c r="E38" s="415">
        <f t="shared" si="5"/>
        <v>1027923486</v>
      </c>
      <c r="F38" s="421">
        <v>0</v>
      </c>
      <c r="G38" s="428">
        <v>688051610</v>
      </c>
      <c r="H38" s="428">
        <v>109451225</v>
      </c>
      <c r="I38" s="428">
        <v>16068219</v>
      </c>
      <c r="J38" s="428">
        <v>195181757</v>
      </c>
      <c r="K38" s="428">
        <v>19170675</v>
      </c>
      <c r="L38" s="417">
        <v>1027923486</v>
      </c>
      <c r="M38" s="417">
        <f t="shared" si="6"/>
        <v>0</v>
      </c>
      <c r="N38" s="410"/>
    </row>
    <row r="39" spans="1:14" s="451" customFormat="1" ht="13.5" customHeight="1">
      <c r="A39" s="442" t="s">
        <v>191</v>
      </c>
      <c r="B39" s="443">
        <v>17296548</v>
      </c>
      <c r="C39" s="444"/>
      <c r="D39" s="445" t="s">
        <v>333</v>
      </c>
      <c r="E39" s="446">
        <f t="shared" si="5"/>
        <v>17682913</v>
      </c>
      <c r="F39" s="447"/>
      <c r="G39" s="448">
        <v>5650640</v>
      </c>
      <c r="H39" s="448">
        <v>5700000</v>
      </c>
      <c r="I39" s="448">
        <v>760000</v>
      </c>
      <c r="J39" s="448">
        <v>5572273</v>
      </c>
      <c r="K39" s="448">
        <v>0</v>
      </c>
      <c r="L39" s="449">
        <v>17682913</v>
      </c>
      <c r="M39" s="449">
        <f t="shared" si="6"/>
        <v>0</v>
      </c>
      <c r="N39" s="450"/>
    </row>
    <row r="40" spans="1:14" ht="13.5" customHeight="1">
      <c r="A40" s="411" t="s">
        <v>161</v>
      </c>
      <c r="B40" s="412">
        <v>77312363</v>
      </c>
      <c r="C40" s="413">
        <v>770782</v>
      </c>
      <c r="D40" s="420" t="s">
        <v>334</v>
      </c>
      <c r="E40" s="415">
        <f t="shared" si="5"/>
        <v>22631729</v>
      </c>
      <c r="F40" s="421">
        <f>2821046-C40</f>
        <v>2050264</v>
      </c>
      <c r="G40" s="428">
        <v>6757509</v>
      </c>
      <c r="H40" s="428">
        <v>2765160</v>
      </c>
      <c r="I40" s="428">
        <v>4776376</v>
      </c>
      <c r="J40" s="428">
        <v>6061710</v>
      </c>
      <c r="K40" s="428">
        <v>220710</v>
      </c>
      <c r="L40" s="417">
        <v>22631729</v>
      </c>
      <c r="M40" s="417">
        <f t="shared" si="6"/>
        <v>0</v>
      </c>
      <c r="N40" s="410"/>
    </row>
    <row r="41" spans="1:14" ht="13.5" customHeight="1">
      <c r="A41" s="411" t="s">
        <v>195</v>
      </c>
      <c r="B41" s="412">
        <v>76792675</v>
      </c>
      <c r="C41" s="413"/>
      <c r="D41" s="420" t="s">
        <v>335</v>
      </c>
      <c r="E41" s="415">
        <f t="shared" si="5"/>
        <v>0</v>
      </c>
      <c r="F41" s="421">
        <v>0</v>
      </c>
      <c r="G41" s="428">
        <v>0</v>
      </c>
      <c r="H41" s="428">
        <v>0</v>
      </c>
      <c r="I41" s="428">
        <v>0</v>
      </c>
      <c r="J41" s="428">
        <v>0</v>
      </c>
      <c r="K41" s="428">
        <v>0</v>
      </c>
      <c r="L41" s="417">
        <v>0</v>
      </c>
      <c r="M41" s="417">
        <f t="shared" si="6"/>
        <v>0</v>
      </c>
      <c r="N41" s="410"/>
    </row>
    <row r="42" spans="1:14" ht="13.5" customHeight="1">
      <c r="A42" s="411" t="s">
        <v>336</v>
      </c>
      <c r="B42" s="412">
        <v>258104391</v>
      </c>
      <c r="C42" s="413"/>
      <c r="D42" s="420" t="s">
        <v>337</v>
      </c>
      <c r="E42" s="415">
        <f t="shared" si="5"/>
        <v>0</v>
      </c>
      <c r="F42" s="421"/>
      <c r="G42" s="428">
        <v>0</v>
      </c>
      <c r="H42" s="428">
        <v>0</v>
      </c>
      <c r="I42" s="428">
        <v>0</v>
      </c>
      <c r="J42" s="428">
        <v>0</v>
      </c>
      <c r="K42" s="428">
        <v>0</v>
      </c>
      <c r="L42" s="417">
        <v>0</v>
      </c>
      <c r="M42" s="417">
        <f t="shared" si="6"/>
        <v>0</v>
      </c>
      <c r="N42" s="410"/>
    </row>
    <row r="43" spans="1:14" ht="13.5" customHeight="1">
      <c r="A43" s="411" t="s">
        <v>162</v>
      </c>
      <c r="B43" s="412">
        <v>134677940</v>
      </c>
      <c r="C43" s="413"/>
      <c r="D43" s="420" t="s">
        <v>338</v>
      </c>
      <c r="E43" s="415">
        <f t="shared" si="5"/>
        <v>1532375</v>
      </c>
      <c r="F43" s="421">
        <v>0</v>
      </c>
      <c r="G43" s="428">
        <v>1499184</v>
      </c>
      <c r="H43" s="428">
        <v>12000</v>
      </c>
      <c r="I43" s="428">
        <v>0</v>
      </c>
      <c r="J43" s="428">
        <v>21191</v>
      </c>
      <c r="K43" s="428">
        <v>0</v>
      </c>
      <c r="L43" s="417">
        <v>1532375</v>
      </c>
      <c r="M43" s="417">
        <f t="shared" si="6"/>
        <v>0</v>
      </c>
      <c r="N43" s="410"/>
    </row>
    <row r="44" spans="1:14" ht="13.5" customHeight="1">
      <c r="A44" s="411" t="s">
        <v>190</v>
      </c>
      <c r="B44" s="412">
        <v>41939975</v>
      </c>
      <c r="C44" s="413"/>
      <c r="D44" s="420" t="s">
        <v>339</v>
      </c>
      <c r="E44" s="415">
        <f t="shared" si="5"/>
        <v>12583000</v>
      </c>
      <c r="F44" s="421"/>
      <c r="G44" s="428">
        <v>6286000</v>
      </c>
      <c r="H44" s="428">
        <v>3124000</v>
      </c>
      <c r="I44" s="428">
        <v>3173000</v>
      </c>
      <c r="J44" s="428">
        <v>0</v>
      </c>
      <c r="K44" s="428">
        <v>0</v>
      </c>
      <c r="L44" s="417">
        <v>12583000</v>
      </c>
      <c r="M44" s="417">
        <f t="shared" si="6"/>
        <v>0</v>
      </c>
      <c r="N44" s="410"/>
    </row>
    <row r="45" spans="1:14" ht="13.5" customHeight="1">
      <c r="A45" s="411" t="s">
        <v>163</v>
      </c>
      <c r="B45" s="412">
        <v>17488145</v>
      </c>
      <c r="C45" s="413"/>
      <c r="D45" s="420" t="s">
        <v>340</v>
      </c>
      <c r="E45" s="415">
        <f t="shared" si="5"/>
        <v>8402574</v>
      </c>
      <c r="F45" s="421">
        <v>0</v>
      </c>
      <c r="G45" s="428">
        <v>3572674</v>
      </c>
      <c r="H45" s="428">
        <v>336180</v>
      </c>
      <c r="I45" s="428">
        <v>3783038</v>
      </c>
      <c r="J45" s="428">
        <v>710682</v>
      </c>
      <c r="K45" s="428">
        <v>0</v>
      </c>
      <c r="L45" s="417">
        <v>8402574</v>
      </c>
      <c r="M45" s="417">
        <f t="shared" si="6"/>
        <v>0</v>
      </c>
      <c r="N45" s="410"/>
    </row>
    <row r="46" spans="1:14" ht="13.5" customHeight="1">
      <c r="A46" s="411" t="s">
        <v>341</v>
      </c>
      <c r="B46" s="412">
        <v>159520978</v>
      </c>
      <c r="C46" s="413"/>
      <c r="D46" s="420" t="s">
        <v>342</v>
      </c>
      <c r="E46" s="415">
        <f t="shared" si="5"/>
        <v>69995158</v>
      </c>
      <c r="F46" s="421">
        <v>0</v>
      </c>
      <c r="G46" s="428">
        <v>4597200</v>
      </c>
      <c r="H46" s="428">
        <v>3537900</v>
      </c>
      <c r="I46" s="428">
        <v>58492591</v>
      </c>
      <c r="J46" s="428">
        <v>3367467</v>
      </c>
      <c r="K46" s="428">
        <v>0</v>
      </c>
      <c r="L46" s="417">
        <v>69995158</v>
      </c>
      <c r="M46" s="417">
        <f t="shared" si="6"/>
        <v>0</v>
      </c>
      <c r="N46" s="410"/>
    </row>
    <row r="47" spans="1:14" ht="13.5" customHeight="1">
      <c r="A47" s="411" t="s">
        <v>343</v>
      </c>
      <c r="B47" s="412">
        <v>1370286</v>
      </c>
      <c r="C47" s="413"/>
      <c r="D47" s="420" t="s">
        <v>344</v>
      </c>
      <c r="E47" s="415">
        <f t="shared" si="5"/>
        <v>607714</v>
      </c>
      <c r="F47" s="421"/>
      <c r="G47" s="428">
        <v>390393</v>
      </c>
      <c r="H47" s="428">
        <v>150370</v>
      </c>
      <c r="I47" s="428">
        <v>20907</v>
      </c>
      <c r="J47" s="428">
        <v>46044</v>
      </c>
      <c r="K47" s="428">
        <v>0</v>
      </c>
      <c r="L47" s="417">
        <v>607714</v>
      </c>
      <c r="M47" s="417">
        <f t="shared" si="6"/>
        <v>0</v>
      </c>
      <c r="N47" s="410"/>
    </row>
    <row r="48" spans="1:14" ht="13.5" customHeight="1">
      <c r="A48" s="411" t="s">
        <v>192</v>
      </c>
      <c r="B48" s="412">
        <v>252837135</v>
      </c>
      <c r="C48" s="413"/>
      <c r="D48" s="420" t="s">
        <v>345</v>
      </c>
      <c r="E48" s="415">
        <f t="shared" si="5"/>
        <v>196602987</v>
      </c>
      <c r="F48" s="421">
        <v>0</v>
      </c>
      <c r="G48" s="428">
        <v>93542411</v>
      </c>
      <c r="H48" s="428">
        <v>19012918</v>
      </c>
      <c r="I48" s="428">
        <v>42708323</v>
      </c>
      <c r="J48" s="428">
        <v>38461314</v>
      </c>
      <c r="K48" s="428">
        <v>2878021</v>
      </c>
      <c r="L48" s="417">
        <v>196602987</v>
      </c>
      <c r="M48" s="417">
        <f t="shared" si="6"/>
        <v>0</v>
      </c>
      <c r="N48" s="410"/>
    </row>
    <row r="49" spans="1:14" s="451" customFormat="1" ht="13.5" customHeight="1">
      <c r="A49" s="442" t="s">
        <v>114</v>
      </c>
      <c r="B49" s="443">
        <v>2139657791</v>
      </c>
      <c r="C49" s="444"/>
      <c r="D49" s="445" t="s">
        <v>346</v>
      </c>
      <c r="E49" s="446">
        <f t="shared" si="5"/>
        <v>1925016787</v>
      </c>
      <c r="F49" s="447">
        <v>0</v>
      </c>
      <c r="G49" s="448">
        <v>825442125</v>
      </c>
      <c r="H49" s="448">
        <v>394547420</v>
      </c>
      <c r="I49" s="448">
        <v>370704481</v>
      </c>
      <c r="J49" s="448">
        <v>310426689</v>
      </c>
      <c r="K49" s="448">
        <v>23896072</v>
      </c>
      <c r="L49" s="449">
        <v>1925016787</v>
      </c>
      <c r="M49" s="449">
        <f t="shared" si="6"/>
        <v>0</v>
      </c>
      <c r="N49" s="450"/>
    </row>
    <row r="50" spans="1:14" s="451" customFormat="1" ht="13.5" customHeight="1">
      <c r="A50" s="442" t="s">
        <v>106</v>
      </c>
      <c r="B50" s="443">
        <v>334346030</v>
      </c>
      <c r="C50" s="444"/>
      <c r="D50" s="445" t="s">
        <v>347</v>
      </c>
      <c r="E50" s="446">
        <f t="shared" si="5"/>
        <v>290874798</v>
      </c>
      <c r="F50" s="447">
        <v>0</v>
      </c>
      <c r="G50" s="448">
        <v>118459152</v>
      </c>
      <c r="H50" s="448">
        <v>61629290</v>
      </c>
      <c r="I50" s="448">
        <v>80364438</v>
      </c>
      <c r="J50" s="448">
        <v>25221918</v>
      </c>
      <c r="K50" s="448">
        <v>5200000</v>
      </c>
      <c r="L50" s="449">
        <v>290874798</v>
      </c>
      <c r="M50" s="449">
        <f t="shared" si="6"/>
        <v>0</v>
      </c>
      <c r="N50" s="450"/>
    </row>
    <row r="51" spans="1:14" ht="13.5" customHeight="1">
      <c r="A51" s="411" t="s">
        <v>236</v>
      </c>
      <c r="B51" s="412">
        <v>13613902</v>
      </c>
      <c r="C51" s="413"/>
      <c r="D51" s="420" t="s">
        <v>348</v>
      </c>
      <c r="E51" s="415">
        <f t="shared" si="5"/>
        <v>0</v>
      </c>
      <c r="F51" s="421"/>
      <c r="G51" s="428">
        <v>0</v>
      </c>
      <c r="H51" s="428">
        <v>0</v>
      </c>
      <c r="I51" s="428">
        <v>0</v>
      </c>
      <c r="J51" s="428">
        <v>0</v>
      </c>
      <c r="K51" s="428">
        <v>0</v>
      </c>
      <c r="L51" s="417">
        <v>0</v>
      </c>
      <c r="M51" s="417">
        <f t="shared" si="6"/>
        <v>0</v>
      </c>
      <c r="N51" s="410"/>
    </row>
    <row r="52" spans="1:14" ht="13.5" customHeight="1">
      <c r="A52" s="411" t="s">
        <v>164</v>
      </c>
      <c r="B52" s="412">
        <v>30287929</v>
      </c>
      <c r="C52" s="413"/>
      <c r="D52" s="420" t="s">
        <v>349</v>
      </c>
      <c r="E52" s="415">
        <f t="shared" si="5"/>
        <v>0</v>
      </c>
      <c r="F52" s="421"/>
      <c r="G52" s="428">
        <v>0</v>
      </c>
      <c r="H52" s="428">
        <v>0</v>
      </c>
      <c r="I52" s="428">
        <v>0</v>
      </c>
      <c r="J52" s="428">
        <v>0</v>
      </c>
      <c r="K52" s="428">
        <v>0</v>
      </c>
      <c r="L52" s="417">
        <v>0</v>
      </c>
      <c r="M52" s="417">
        <f t="shared" si="6"/>
        <v>0</v>
      </c>
      <c r="N52" s="410"/>
    </row>
    <row r="53" spans="1:14" s="451" customFormat="1" ht="13.5" customHeight="1">
      <c r="A53" s="442" t="s">
        <v>237</v>
      </c>
      <c r="B53" s="443">
        <v>169271315</v>
      </c>
      <c r="C53" s="444"/>
      <c r="D53" s="445" t="s">
        <v>350</v>
      </c>
      <c r="E53" s="446">
        <f t="shared" si="5"/>
        <v>199119991</v>
      </c>
      <c r="F53" s="447"/>
      <c r="G53" s="448">
        <v>99781128</v>
      </c>
      <c r="H53" s="448">
        <v>71886875</v>
      </c>
      <c r="I53" s="448">
        <v>0</v>
      </c>
      <c r="J53" s="448">
        <v>27451988</v>
      </c>
      <c r="K53" s="448">
        <v>0</v>
      </c>
      <c r="L53" s="449">
        <v>199119991</v>
      </c>
      <c r="M53" s="449">
        <f t="shared" si="6"/>
        <v>0</v>
      </c>
      <c r="N53" s="450"/>
    </row>
    <row r="54" spans="1:14" ht="13.5" customHeight="1">
      <c r="A54" s="411" t="s">
        <v>351</v>
      </c>
      <c r="B54" s="412">
        <v>0</v>
      </c>
      <c r="C54" s="413"/>
      <c r="D54" s="420" t="s">
        <v>352</v>
      </c>
      <c r="E54" s="415">
        <f t="shared" si="5"/>
        <v>0</v>
      </c>
      <c r="F54" s="421"/>
      <c r="G54" s="428"/>
      <c r="H54" s="428"/>
      <c r="I54" s="428"/>
      <c r="J54" s="428"/>
      <c r="K54" s="428"/>
      <c r="L54" s="417">
        <v>0</v>
      </c>
      <c r="M54" s="417">
        <f t="shared" si="6"/>
        <v>0</v>
      </c>
      <c r="N54" s="410"/>
    </row>
    <row r="55" spans="1:14" ht="13.5" customHeight="1">
      <c r="A55" s="411" t="s">
        <v>353</v>
      </c>
      <c r="B55" s="412">
        <v>1044089211</v>
      </c>
      <c r="C55" s="413"/>
      <c r="D55" s="420" t="s">
        <v>354</v>
      </c>
      <c r="E55" s="415">
        <f t="shared" si="5"/>
        <v>0</v>
      </c>
      <c r="F55" s="421"/>
      <c r="G55" s="428"/>
      <c r="H55" s="428"/>
      <c r="I55" s="428"/>
      <c r="J55" s="428"/>
      <c r="K55" s="428"/>
      <c r="L55" s="417">
        <v>0</v>
      </c>
      <c r="M55" s="417">
        <f t="shared" si="6"/>
        <v>0</v>
      </c>
      <c r="N55" s="410"/>
    </row>
    <row r="56" spans="1:14" ht="13.5" customHeight="1">
      <c r="A56" s="411" t="s">
        <v>355</v>
      </c>
      <c r="B56" s="412">
        <v>133525958</v>
      </c>
      <c r="C56" s="413"/>
      <c r="D56" s="420" t="s">
        <v>356</v>
      </c>
      <c r="E56" s="415">
        <f t="shared" si="5"/>
        <v>127325958</v>
      </c>
      <c r="F56" s="421">
        <v>0</v>
      </c>
      <c r="G56" s="428"/>
      <c r="H56" s="428"/>
      <c r="I56" s="428">
        <v>53045625</v>
      </c>
      <c r="J56" s="428">
        <v>63998958</v>
      </c>
      <c r="K56" s="428">
        <v>10281375</v>
      </c>
      <c r="L56" s="417">
        <v>127325958</v>
      </c>
      <c r="M56" s="417">
        <f t="shared" si="6"/>
        <v>0</v>
      </c>
      <c r="N56" s="410"/>
    </row>
    <row r="57" spans="1:14" ht="13.5" customHeight="1">
      <c r="A57" s="411" t="s">
        <v>165</v>
      </c>
      <c r="B57" s="412">
        <v>3340468</v>
      </c>
      <c r="C57" s="413"/>
      <c r="D57" s="420" t="s">
        <v>357</v>
      </c>
      <c r="E57" s="415">
        <f t="shared" si="5"/>
        <v>0</v>
      </c>
      <c r="F57" s="421"/>
      <c r="G57" s="428"/>
      <c r="H57" s="428"/>
      <c r="I57" s="428"/>
      <c r="J57" s="428"/>
      <c r="K57" s="428"/>
      <c r="L57" s="417">
        <v>0</v>
      </c>
      <c r="M57" s="417">
        <f t="shared" si="6"/>
        <v>0</v>
      </c>
      <c r="N57" s="410"/>
    </row>
    <row r="58" spans="1:14" ht="13.5" customHeight="1">
      <c r="A58" s="411" t="s">
        <v>358</v>
      </c>
      <c r="B58" s="412">
        <v>51913441</v>
      </c>
      <c r="C58" s="413"/>
      <c r="D58" s="420" t="s">
        <v>359</v>
      </c>
      <c r="E58" s="415">
        <f t="shared" si="5"/>
        <v>0</v>
      </c>
      <c r="F58" s="421"/>
      <c r="G58" s="428"/>
      <c r="H58" s="428"/>
      <c r="I58" s="428"/>
      <c r="J58" s="428"/>
      <c r="K58" s="428"/>
      <c r="L58" s="417">
        <v>0</v>
      </c>
      <c r="M58" s="417">
        <f t="shared" si="6"/>
        <v>0</v>
      </c>
      <c r="N58" s="410"/>
    </row>
    <row r="59" spans="1:14" ht="13.5" customHeight="1">
      <c r="A59" s="411" t="s">
        <v>360</v>
      </c>
      <c r="B59" s="412">
        <v>32313265</v>
      </c>
      <c r="C59" s="413"/>
      <c r="D59" s="420" t="s">
        <v>361</v>
      </c>
      <c r="E59" s="415">
        <f t="shared" si="5"/>
        <v>0</v>
      </c>
      <c r="F59" s="421"/>
      <c r="G59" s="428"/>
      <c r="H59" s="428"/>
      <c r="I59" s="428"/>
      <c r="J59" s="428"/>
      <c r="K59" s="428"/>
      <c r="L59" s="417">
        <v>0</v>
      </c>
      <c r="M59" s="417">
        <f t="shared" si="6"/>
        <v>0</v>
      </c>
      <c r="N59" s="410"/>
    </row>
    <row r="60" spans="1:14" ht="13.5" customHeight="1">
      <c r="A60" s="411" t="s">
        <v>238</v>
      </c>
      <c r="B60" s="412">
        <v>9765510</v>
      </c>
      <c r="C60" s="413"/>
      <c r="D60" s="420" t="s">
        <v>362</v>
      </c>
      <c r="E60" s="415">
        <f t="shared" si="5"/>
        <v>6901034</v>
      </c>
      <c r="F60" s="421">
        <v>0</v>
      </c>
      <c r="G60" s="428">
        <v>1081046</v>
      </c>
      <c r="H60" s="428">
        <v>5364962</v>
      </c>
      <c r="I60" s="428">
        <v>204592</v>
      </c>
      <c r="J60" s="428">
        <v>250434</v>
      </c>
      <c r="K60" s="428">
        <v>0</v>
      </c>
      <c r="L60" s="417">
        <v>6901034</v>
      </c>
      <c r="M60" s="417">
        <f t="shared" si="6"/>
        <v>0</v>
      </c>
      <c r="N60" s="410"/>
    </row>
    <row r="61" spans="1:14" ht="13.5" customHeight="1">
      <c r="A61" s="411" t="s">
        <v>363</v>
      </c>
      <c r="B61" s="412">
        <v>66112310</v>
      </c>
      <c r="C61" s="413"/>
      <c r="D61" s="420" t="s">
        <v>364</v>
      </c>
      <c r="E61" s="415">
        <f t="shared" si="5"/>
        <v>0</v>
      </c>
      <c r="F61" s="421"/>
      <c r="G61" s="428"/>
      <c r="H61" s="428"/>
      <c r="I61" s="428"/>
      <c r="J61" s="428"/>
      <c r="K61" s="428"/>
      <c r="L61" s="417">
        <v>0</v>
      </c>
      <c r="M61" s="417">
        <f t="shared" si="6"/>
        <v>0</v>
      </c>
      <c r="N61" s="410"/>
    </row>
    <row r="62" spans="1:14" ht="13.5" customHeight="1">
      <c r="A62" s="422" t="s">
        <v>365</v>
      </c>
      <c r="B62" s="423">
        <f>B21-B23</f>
        <v>-1969759467</v>
      </c>
      <c r="C62" s="424"/>
      <c r="D62" s="425" t="s">
        <v>365</v>
      </c>
      <c r="E62" s="452">
        <f t="shared" ref="E62:L62" si="7">E21-E23</f>
        <v>-1520416711</v>
      </c>
      <c r="F62" s="453">
        <f t="shared" si="7"/>
        <v>-447990942</v>
      </c>
      <c r="G62" s="454">
        <f t="shared" si="7"/>
        <v>374156522</v>
      </c>
      <c r="H62" s="454">
        <f t="shared" si="7"/>
        <v>-1282332765</v>
      </c>
      <c r="I62" s="454">
        <f t="shared" si="7"/>
        <v>107667435</v>
      </c>
      <c r="J62" s="454">
        <f t="shared" si="7"/>
        <v>-258531585</v>
      </c>
      <c r="K62" s="454">
        <f t="shared" si="7"/>
        <v>-13385376</v>
      </c>
      <c r="L62" s="417">
        <f t="shared" si="7"/>
        <v>-1125684736</v>
      </c>
      <c r="M62" s="417">
        <f>E62-L62</f>
        <v>-394731975</v>
      </c>
      <c r="N62" s="410"/>
    </row>
    <row r="63" spans="1:14" ht="13.5" customHeight="1">
      <c r="A63" s="422" t="s">
        <v>366</v>
      </c>
      <c r="B63" s="423">
        <f>SUM(B64:B70)</f>
        <v>356770167</v>
      </c>
      <c r="C63" s="424"/>
      <c r="D63" s="425" t="s">
        <v>366</v>
      </c>
      <c r="E63" s="452">
        <f t="shared" ref="E63:K63" si="8">SUM(E64:E70)</f>
        <v>172107486</v>
      </c>
      <c r="F63" s="453">
        <f t="shared" si="8"/>
        <v>0</v>
      </c>
      <c r="G63" s="454">
        <f t="shared" si="8"/>
        <v>159297813</v>
      </c>
      <c r="H63" s="454">
        <f t="shared" si="8"/>
        <v>9621852</v>
      </c>
      <c r="I63" s="454">
        <f t="shared" si="8"/>
        <v>21970</v>
      </c>
      <c r="J63" s="454">
        <f t="shared" si="8"/>
        <v>3165807</v>
      </c>
      <c r="K63" s="454">
        <f t="shared" si="8"/>
        <v>44</v>
      </c>
      <c r="L63" s="417"/>
      <c r="M63" s="417"/>
      <c r="N63" s="410"/>
    </row>
    <row r="64" spans="1:14" ht="13.5" customHeight="1">
      <c r="A64" s="411" t="s">
        <v>367</v>
      </c>
      <c r="B64" s="412">
        <v>112434399</v>
      </c>
      <c r="C64" s="413"/>
      <c r="D64" s="420" t="s">
        <v>367</v>
      </c>
      <c r="E64" s="455">
        <f t="shared" ref="E64:E70" si="9">SUM(F64:K64)</f>
        <v>90261</v>
      </c>
      <c r="F64" s="456"/>
      <c r="G64" s="457">
        <v>36815</v>
      </c>
      <c r="H64" s="457">
        <v>20889</v>
      </c>
      <c r="I64" s="457">
        <v>21915</v>
      </c>
      <c r="J64" s="457">
        <v>10599</v>
      </c>
      <c r="K64" s="457">
        <v>43</v>
      </c>
      <c r="L64" s="417"/>
      <c r="M64" s="417"/>
      <c r="N64" s="410"/>
    </row>
    <row r="65" spans="1:14" ht="13.5" customHeight="1">
      <c r="A65" s="411" t="s">
        <v>368</v>
      </c>
      <c r="B65" s="412">
        <v>0</v>
      </c>
      <c r="C65" s="413"/>
      <c r="D65" s="420" t="s">
        <v>368</v>
      </c>
      <c r="E65" s="455">
        <f t="shared" si="9"/>
        <v>0</v>
      </c>
      <c r="F65" s="456"/>
      <c r="G65" s="457"/>
      <c r="H65" s="457"/>
      <c r="I65" s="457"/>
      <c r="J65" s="457"/>
      <c r="K65" s="457"/>
      <c r="L65" s="417"/>
      <c r="M65" s="417"/>
      <c r="N65" s="410"/>
    </row>
    <row r="66" spans="1:14" ht="13.5" customHeight="1">
      <c r="A66" s="411" t="s">
        <v>369</v>
      </c>
      <c r="B66" s="412">
        <v>24042980</v>
      </c>
      <c r="C66" s="413"/>
      <c r="D66" s="420" t="s">
        <v>369</v>
      </c>
      <c r="E66" s="455">
        <f t="shared" si="9"/>
        <v>0</v>
      </c>
      <c r="F66" s="456"/>
      <c r="G66" s="457"/>
      <c r="H66" s="457"/>
      <c r="I66" s="457"/>
      <c r="J66" s="457"/>
      <c r="K66" s="457"/>
      <c r="L66" s="417"/>
      <c r="M66" s="417"/>
      <c r="N66" s="410"/>
    </row>
    <row r="67" spans="1:14" ht="13.5" customHeight="1">
      <c r="A67" s="411" t="s">
        <v>370</v>
      </c>
      <c r="B67" s="412">
        <v>34805545</v>
      </c>
      <c r="C67" s="413"/>
      <c r="D67" s="420" t="s">
        <v>370</v>
      </c>
      <c r="E67" s="455">
        <f t="shared" si="9"/>
        <v>0</v>
      </c>
      <c r="F67" s="456"/>
      <c r="G67" s="457"/>
      <c r="H67" s="457"/>
      <c r="I67" s="457"/>
      <c r="J67" s="457"/>
      <c r="K67" s="457"/>
      <c r="L67" s="417"/>
      <c r="M67" s="417"/>
      <c r="N67" s="410"/>
    </row>
    <row r="68" spans="1:14" ht="13.5" customHeight="1">
      <c r="A68" s="411" t="s">
        <v>371</v>
      </c>
      <c r="B68" s="412">
        <v>0</v>
      </c>
      <c r="C68" s="413"/>
      <c r="D68" s="420" t="s">
        <v>371</v>
      </c>
      <c r="E68" s="455">
        <f t="shared" si="9"/>
        <v>0</v>
      </c>
      <c r="F68" s="456"/>
      <c r="G68" s="457"/>
      <c r="H68" s="457"/>
      <c r="I68" s="457"/>
      <c r="J68" s="457"/>
      <c r="K68" s="457"/>
      <c r="L68" s="417"/>
      <c r="M68" s="417"/>
      <c r="N68" s="410"/>
    </row>
    <row r="69" spans="1:14" ht="13.5" customHeight="1">
      <c r="A69" s="411" t="s">
        <v>372</v>
      </c>
      <c r="B69" s="412"/>
      <c r="C69" s="413"/>
      <c r="D69" s="420" t="s">
        <v>372</v>
      </c>
      <c r="E69" s="455">
        <f t="shared" si="9"/>
        <v>0</v>
      </c>
      <c r="F69" s="456"/>
      <c r="G69" s="457"/>
      <c r="H69" s="457"/>
      <c r="I69" s="457"/>
      <c r="J69" s="457"/>
      <c r="K69" s="457"/>
      <c r="L69" s="417"/>
      <c r="M69" s="417"/>
      <c r="N69" s="410"/>
    </row>
    <row r="70" spans="1:14" ht="13.5" customHeight="1">
      <c r="A70" s="411" t="s">
        <v>373</v>
      </c>
      <c r="B70" s="412">
        <v>185487243</v>
      </c>
      <c r="C70" s="413"/>
      <c r="D70" s="420" t="s">
        <v>373</v>
      </c>
      <c r="E70" s="455">
        <f t="shared" si="9"/>
        <v>172017225</v>
      </c>
      <c r="F70" s="456"/>
      <c r="G70" s="457">
        <f>14825510+4435488+140000000</f>
        <v>159260998</v>
      </c>
      <c r="H70" s="457">
        <v>9600963</v>
      </c>
      <c r="I70" s="457">
        <v>55</v>
      </c>
      <c r="J70" s="457">
        <v>3155208</v>
      </c>
      <c r="K70" s="457">
        <v>1</v>
      </c>
      <c r="L70" s="417"/>
      <c r="M70" s="417"/>
      <c r="N70" s="410"/>
    </row>
    <row r="71" spans="1:14" ht="13.5" customHeight="1">
      <c r="A71" s="422" t="s">
        <v>374</v>
      </c>
      <c r="B71" s="423">
        <f>SUM(B72:B77)</f>
        <v>283248967</v>
      </c>
      <c r="C71" s="424"/>
      <c r="D71" s="425" t="s">
        <v>374</v>
      </c>
      <c r="E71" s="452">
        <f t="shared" ref="E71:K71" si="10">SUM(E72:E77)</f>
        <v>971784</v>
      </c>
      <c r="F71" s="453">
        <f t="shared" si="10"/>
        <v>0</v>
      </c>
      <c r="G71" s="454">
        <f t="shared" si="10"/>
        <v>50044</v>
      </c>
      <c r="H71" s="454">
        <f t="shared" si="10"/>
        <v>74198</v>
      </c>
      <c r="I71" s="454">
        <f t="shared" si="10"/>
        <v>456029</v>
      </c>
      <c r="J71" s="454">
        <f t="shared" si="10"/>
        <v>383263</v>
      </c>
      <c r="K71" s="454">
        <f t="shared" si="10"/>
        <v>8250</v>
      </c>
      <c r="L71" s="417"/>
      <c r="M71" s="417"/>
      <c r="N71" s="410"/>
    </row>
    <row r="72" spans="1:14" ht="13.5" customHeight="1">
      <c r="A72" s="411" t="s">
        <v>375</v>
      </c>
      <c r="B72" s="412">
        <v>258794440</v>
      </c>
      <c r="C72" s="413"/>
      <c r="D72" s="420" t="s">
        <v>375</v>
      </c>
      <c r="E72" s="455">
        <f t="shared" ref="E72:E77" si="11">SUM(F72:K72)</f>
        <v>0</v>
      </c>
      <c r="F72" s="456"/>
      <c r="G72" s="457"/>
      <c r="H72" s="457"/>
      <c r="I72" s="457"/>
      <c r="J72" s="457"/>
      <c r="K72" s="457"/>
      <c r="L72" s="409"/>
      <c r="M72" s="409"/>
      <c r="N72" s="410"/>
    </row>
    <row r="73" spans="1:14" ht="13.5" customHeight="1">
      <c r="A73" s="411" t="s">
        <v>376</v>
      </c>
      <c r="B73" s="412">
        <v>1188253</v>
      </c>
      <c r="C73" s="413"/>
      <c r="D73" s="420" t="s">
        <v>376</v>
      </c>
      <c r="E73" s="455">
        <f t="shared" si="11"/>
        <v>0</v>
      </c>
      <c r="F73" s="456"/>
      <c r="G73" s="457"/>
      <c r="H73" s="457"/>
      <c r="I73" s="457"/>
      <c r="J73" s="457"/>
      <c r="K73" s="457"/>
      <c r="L73" s="409"/>
      <c r="M73" s="409"/>
      <c r="N73" s="410"/>
    </row>
    <row r="74" spans="1:14" ht="13.5" customHeight="1">
      <c r="A74" s="411" t="s">
        <v>377</v>
      </c>
      <c r="B74" s="412">
        <v>0</v>
      </c>
      <c r="C74" s="413"/>
      <c r="D74" s="420" t="s">
        <v>377</v>
      </c>
      <c r="E74" s="455">
        <f t="shared" si="11"/>
        <v>0</v>
      </c>
      <c r="F74" s="456"/>
      <c r="G74" s="457"/>
      <c r="H74" s="457"/>
      <c r="I74" s="457"/>
      <c r="J74" s="457"/>
      <c r="K74" s="457"/>
      <c r="L74" s="409"/>
      <c r="M74" s="409"/>
      <c r="N74" s="410"/>
    </row>
    <row r="75" spans="1:14" ht="13.5" customHeight="1">
      <c r="A75" s="411" t="s">
        <v>378</v>
      </c>
      <c r="B75" s="412">
        <v>456136</v>
      </c>
      <c r="C75" s="413"/>
      <c r="D75" s="420" t="s">
        <v>378</v>
      </c>
      <c r="E75" s="455">
        <f t="shared" si="11"/>
        <v>0</v>
      </c>
      <c r="F75" s="456"/>
      <c r="G75" s="457"/>
      <c r="H75" s="457"/>
      <c r="I75" s="457"/>
      <c r="J75" s="457"/>
      <c r="K75" s="457"/>
      <c r="L75" s="409"/>
      <c r="M75" s="409"/>
      <c r="N75" s="410"/>
    </row>
    <row r="76" spans="1:14" ht="13.5" customHeight="1">
      <c r="A76" s="411" t="s">
        <v>379</v>
      </c>
      <c r="B76" s="412">
        <v>15847371</v>
      </c>
      <c r="C76" s="413"/>
      <c r="D76" s="420" t="s">
        <v>379</v>
      </c>
      <c r="E76" s="455">
        <f t="shared" si="11"/>
        <v>0</v>
      </c>
      <c r="F76" s="456"/>
      <c r="G76" s="457"/>
      <c r="H76" s="457"/>
      <c r="I76" s="457"/>
      <c r="J76" s="457"/>
      <c r="K76" s="457"/>
      <c r="L76" s="409"/>
      <c r="M76" s="409"/>
      <c r="N76" s="410"/>
    </row>
    <row r="77" spans="1:14" ht="13.5" customHeight="1">
      <c r="A77" s="411" t="s">
        <v>380</v>
      </c>
      <c r="B77" s="412">
        <v>6962767</v>
      </c>
      <c r="C77" s="413"/>
      <c r="D77" s="420" t="s">
        <v>380</v>
      </c>
      <c r="E77" s="455">
        <f t="shared" si="11"/>
        <v>971784</v>
      </c>
      <c r="F77" s="456"/>
      <c r="G77" s="457">
        <f>50004+40</f>
        <v>50044</v>
      </c>
      <c r="H77" s="457">
        <v>74198</v>
      </c>
      <c r="I77" s="457">
        <v>456029</v>
      </c>
      <c r="J77" s="457">
        <v>383263</v>
      </c>
      <c r="K77" s="457">
        <v>8250</v>
      </c>
      <c r="L77" s="417"/>
      <c r="M77" s="417"/>
      <c r="N77" s="410"/>
    </row>
    <row r="78" spans="1:14" ht="13.5" customHeight="1">
      <c r="A78" s="422" t="s">
        <v>381</v>
      </c>
      <c r="B78" s="423">
        <f>B62+B63-B71</f>
        <v>-1896238267</v>
      </c>
      <c r="C78" s="424"/>
      <c r="D78" s="425" t="s">
        <v>381</v>
      </c>
      <c r="E78" s="452">
        <f t="shared" ref="E78:K78" si="12">E62+E63-E71</f>
        <v>-1349281009</v>
      </c>
      <c r="F78" s="453">
        <f t="shared" si="12"/>
        <v>-447990942</v>
      </c>
      <c r="G78" s="454">
        <f t="shared" si="12"/>
        <v>533404291</v>
      </c>
      <c r="H78" s="454">
        <f t="shared" si="12"/>
        <v>-1272785111</v>
      </c>
      <c r="I78" s="454">
        <f t="shared" si="12"/>
        <v>107233376</v>
      </c>
      <c r="J78" s="454">
        <f t="shared" si="12"/>
        <v>-255749041</v>
      </c>
      <c r="K78" s="454">
        <f t="shared" si="12"/>
        <v>-13393582</v>
      </c>
      <c r="L78" s="409"/>
      <c r="M78" s="409"/>
      <c r="N78" s="410"/>
    </row>
    <row r="79" spans="1:14" ht="13.5" customHeight="1">
      <c r="A79" s="422" t="s">
        <v>382</v>
      </c>
      <c r="B79" s="423">
        <f>B80</f>
        <v>0</v>
      </c>
      <c r="C79" s="424"/>
      <c r="D79" s="425" t="s">
        <v>382</v>
      </c>
      <c r="E79" s="455">
        <f>SUM(F79:K79)</f>
        <v>0</v>
      </c>
      <c r="F79" s="453"/>
      <c r="G79" s="454">
        <f>G80</f>
        <v>0</v>
      </c>
      <c r="H79" s="454"/>
      <c r="I79" s="454"/>
      <c r="J79" s="454"/>
      <c r="K79" s="454"/>
      <c r="L79" s="409"/>
      <c r="M79" s="409"/>
      <c r="N79" s="410"/>
    </row>
    <row r="80" spans="1:14" ht="13.5" customHeight="1">
      <c r="A80" s="411" t="s">
        <v>383</v>
      </c>
      <c r="B80" s="412">
        <v>0</v>
      </c>
      <c r="C80" s="413"/>
      <c r="D80" s="420" t="s">
        <v>383</v>
      </c>
      <c r="E80" s="455">
        <f>SUM(F80:K80)</f>
        <v>0</v>
      </c>
      <c r="F80" s="456"/>
      <c r="G80" s="457"/>
      <c r="H80" s="457"/>
      <c r="I80" s="457"/>
      <c r="J80" s="457"/>
      <c r="K80" s="457"/>
      <c r="L80" s="409"/>
      <c r="M80" s="409"/>
      <c r="N80" s="410"/>
    </row>
    <row r="81" spans="1:14" ht="13.5" customHeight="1" thickBot="1">
      <c r="A81" s="422" t="s">
        <v>384</v>
      </c>
      <c r="B81" s="423">
        <f>B78-B79</f>
        <v>-1896238267</v>
      </c>
      <c r="C81" s="424"/>
      <c r="D81" s="458" t="s">
        <v>385</v>
      </c>
      <c r="E81" s="459">
        <f t="shared" ref="E81:K81" si="13">E78-E79</f>
        <v>-1349281009</v>
      </c>
      <c r="F81" s="460">
        <f t="shared" si="13"/>
        <v>-447990942</v>
      </c>
      <c r="G81" s="461">
        <f t="shared" si="13"/>
        <v>533404291</v>
      </c>
      <c r="H81" s="461">
        <f t="shared" si="13"/>
        <v>-1272785111</v>
      </c>
      <c r="I81" s="461">
        <f t="shared" si="13"/>
        <v>107233376</v>
      </c>
      <c r="J81" s="461">
        <f t="shared" si="13"/>
        <v>-255749041</v>
      </c>
      <c r="K81" s="461">
        <f t="shared" si="13"/>
        <v>-13393582</v>
      </c>
      <c r="L81" s="409"/>
      <c r="M81" s="409"/>
      <c r="N81" s="410"/>
    </row>
    <row r="82" spans="1:14" ht="13.5" customHeight="1">
      <c r="A82" s="462"/>
      <c r="B82" s="463"/>
      <c r="C82" s="463"/>
      <c r="D82" s="462"/>
      <c r="E82" s="464"/>
      <c r="F82" s="464"/>
      <c r="G82" s="464"/>
      <c r="H82" s="464"/>
      <c r="I82" s="464"/>
      <c r="J82" s="464"/>
      <c r="K82" s="464"/>
    </row>
    <row r="83" spans="1:14" ht="13.5" customHeight="1">
      <c r="A83" s="462"/>
      <c r="B83" s="463"/>
      <c r="C83" s="463"/>
      <c r="D83" s="462"/>
      <c r="E83" s="464"/>
      <c r="F83" s="464"/>
      <c r="G83" s="464"/>
      <c r="H83" s="464"/>
      <c r="I83" s="464"/>
      <c r="J83" s="464"/>
      <c r="K83" s="464"/>
    </row>
    <row r="84" spans="1:14" ht="13.5" customHeight="1">
      <c r="A84" s="462"/>
      <c r="B84" s="463"/>
      <c r="C84" s="463"/>
      <c r="D84" s="462"/>
      <c r="E84" s="464"/>
      <c r="F84" s="464"/>
      <c r="G84" s="464"/>
      <c r="H84" s="464"/>
      <c r="I84" s="464"/>
      <c r="J84" s="464"/>
      <c r="K84" s="464"/>
    </row>
    <row r="85" spans="1:14" ht="13.5" customHeight="1" thickBot="1">
      <c r="A85" s="462"/>
      <c r="B85" s="463"/>
      <c r="C85" s="463"/>
      <c r="D85" s="462" t="s">
        <v>386</v>
      </c>
      <c r="E85" s="464"/>
      <c r="F85" s="464"/>
      <c r="G85" s="464"/>
      <c r="H85" s="464"/>
      <c r="I85" s="464"/>
      <c r="J85" s="464"/>
      <c r="K85" s="465" t="s">
        <v>387</v>
      </c>
    </row>
    <row r="86" spans="1:14" ht="13.5" customHeight="1">
      <c r="A86" s="462"/>
      <c r="B86" s="463"/>
      <c r="C86" s="463"/>
      <c r="D86" s="466" t="s">
        <v>388</v>
      </c>
      <c r="E86" s="467" t="s">
        <v>389</v>
      </c>
      <c r="F86" s="468" t="s">
        <v>290</v>
      </c>
      <c r="G86" s="468" t="s">
        <v>291</v>
      </c>
      <c r="H86" s="468" t="s">
        <v>390</v>
      </c>
      <c r="I86" s="468" t="s">
        <v>293</v>
      </c>
      <c r="J86" s="468" t="s">
        <v>294</v>
      </c>
      <c r="K86" s="469" t="s">
        <v>295</v>
      </c>
    </row>
    <row r="87" spans="1:14" ht="13.5" customHeight="1">
      <c r="A87" s="462"/>
      <c r="B87" s="463"/>
      <c r="C87" s="463"/>
      <c r="D87" s="470" t="s">
        <v>391</v>
      </c>
      <c r="E87" s="454">
        <f t="shared" ref="E87:K87" si="14">E81</f>
        <v>-1349281009</v>
      </c>
      <c r="F87" s="454">
        <f t="shared" si="14"/>
        <v>-447990942</v>
      </c>
      <c r="G87" s="454">
        <f t="shared" si="14"/>
        <v>533404291</v>
      </c>
      <c r="H87" s="454">
        <f t="shared" si="14"/>
        <v>-1272785111</v>
      </c>
      <c r="I87" s="454">
        <f t="shared" si="14"/>
        <v>107233376</v>
      </c>
      <c r="J87" s="454">
        <f t="shared" si="14"/>
        <v>-255749041</v>
      </c>
      <c r="K87" s="471">
        <f t="shared" si="14"/>
        <v>-13393582</v>
      </c>
    </row>
    <row r="88" spans="1:14" s="386" customFormat="1" ht="13.5" customHeight="1">
      <c r="A88" s="472"/>
      <c r="D88" s="473" t="s">
        <v>392</v>
      </c>
      <c r="E88" s="474">
        <v>792191132.80208337</v>
      </c>
      <c r="F88" s="474">
        <v>0</v>
      </c>
      <c r="G88" s="474">
        <v>178079212.20833334</v>
      </c>
      <c r="H88" s="474">
        <v>236680909.40000001</v>
      </c>
      <c r="I88" s="474">
        <v>145539797.70416665</v>
      </c>
      <c r="J88" s="474">
        <v>215391867.78125003</v>
      </c>
      <c r="K88" s="475">
        <v>16499345.708333332</v>
      </c>
      <c r="L88" s="385"/>
      <c r="M88" s="385"/>
    </row>
    <row r="89" spans="1:14" s="386" customFormat="1" ht="13.5" customHeight="1" thickBot="1">
      <c r="A89" s="472"/>
      <c r="D89" s="476" t="s">
        <v>393</v>
      </c>
      <c r="E89" s="477">
        <f>E87+E88</f>
        <v>-557089876.19791663</v>
      </c>
      <c r="F89" s="477">
        <f t="shared" ref="F89:K89" si="15">F87+F88</f>
        <v>-447990942</v>
      </c>
      <c r="G89" s="477">
        <f t="shared" si="15"/>
        <v>711483503.20833337</v>
      </c>
      <c r="H89" s="477">
        <f t="shared" si="15"/>
        <v>-1036104201.6</v>
      </c>
      <c r="I89" s="477">
        <f t="shared" si="15"/>
        <v>252773173.70416665</v>
      </c>
      <c r="J89" s="477">
        <f t="shared" si="15"/>
        <v>-40357173.21874997</v>
      </c>
      <c r="K89" s="478">
        <f t="shared" si="15"/>
        <v>3105763.7083333321</v>
      </c>
      <c r="L89" s="385"/>
      <c r="M89" s="385"/>
    </row>
    <row r="90" spans="1:14" s="480" customFormat="1" ht="13.5" customHeight="1">
      <c r="A90" s="479"/>
      <c r="D90" s="479"/>
      <c r="L90" s="385"/>
      <c r="M90" s="385"/>
      <c r="N90" s="385"/>
    </row>
    <row r="91" spans="1:14" s="480" customFormat="1" ht="13.5" customHeight="1">
      <c r="A91" s="479"/>
      <c r="D91" s="479"/>
      <c r="L91" s="385"/>
      <c r="M91" s="385"/>
      <c r="N91" s="385"/>
    </row>
    <row r="92" spans="1:14" s="480" customFormat="1" ht="13.5" customHeight="1">
      <c r="A92" s="479"/>
      <c r="D92" s="479"/>
      <c r="L92" s="385"/>
      <c r="M92" s="385"/>
      <c r="N92" s="385"/>
    </row>
    <row r="93" spans="1:14" s="480" customFormat="1" ht="13.5" customHeight="1">
      <c r="A93" s="479"/>
      <c r="D93" s="479"/>
      <c r="L93" s="385"/>
      <c r="M93" s="385"/>
      <c r="N93" s="385"/>
    </row>
    <row r="94" spans="1:14" s="480" customFormat="1" ht="13.5" customHeight="1">
      <c r="A94" s="479"/>
      <c r="D94" s="479"/>
      <c r="L94" s="385"/>
      <c r="M94" s="385"/>
      <c r="N94" s="385"/>
    </row>
    <row r="95" spans="1:14" s="480" customFormat="1" ht="13.5" customHeight="1">
      <c r="A95" s="479"/>
      <c r="D95" s="479"/>
      <c r="L95" s="385"/>
      <c r="M95" s="385"/>
      <c r="N95" s="385"/>
    </row>
  </sheetData>
  <mergeCells count="7">
    <mergeCell ref="O25:O29"/>
    <mergeCell ref="F1:K1"/>
    <mergeCell ref="A4:A5"/>
    <mergeCell ref="C4:C5"/>
    <mergeCell ref="D4:K4"/>
    <mergeCell ref="L4:N4"/>
    <mergeCell ref="N25:N29"/>
  </mergeCells>
  <phoneticPr fontId="9" type="noConversion"/>
  <pageMargins left="0.3958333432674408" right="0" top="0.51458334922790527" bottom="0" header="0.5" footer="0.5"/>
  <pageSetup paperSize="9"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Z113"/>
  <sheetViews>
    <sheetView workbookViewId="0">
      <pane xSplit="3" ySplit="5" topLeftCell="D6" activePane="bottomRight" state="frozen"/>
      <selection activeCell="O43" sqref="O43"/>
      <selection pane="topRight" activeCell="O43" sqref="O43"/>
      <selection pane="bottomLeft" activeCell="O43" sqref="O43"/>
      <selection pane="bottomRight" activeCell="C6" sqref="C6"/>
    </sheetView>
  </sheetViews>
  <sheetFormatPr defaultRowHeight="13.5"/>
  <cols>
    <col min="1" max="1" width="1.7109375" customWidth="1"/>
    <col min="2" max="2" width="31.28515625" bestFit="1" customWidth="1"/>
    <col min="3" max="3" width="24.42578125" bestFit="1" customWidth="1"/>
    <col min="4" max="5" width="15.140625" style="202" bestFit="1" customWidth="1"/>
    <col min="6" max="7" width="15" bestFit="1" customWidth="1"/>
    <col min="8" max="11" width="13.28515625" bestFit="1" customWidth="1"/>
    <col min="12" max="13" width="15" bestFit="1" customWidth="1"/>
    <col min="14" max="14" width="12.28515625" bestFit="1" customWidth="1"/>
    <col min="15" max="15" width="13.28515625" bestFit="1" customWidth="1"/>
    <col min="16" max="17" width="12.28515625" bestFit="1" customWidth="1"/>
    <col min="20" max="20" width="20.42578125" bestFit="1" customWidth="1"/>
    <col min="21" max="21" width="11.28515625" bestFit="1" customWidth="1"/>
    <col min="22" max="22" width="15" bestFit="1" customWidth="1"/>
    <col min="23" max="24" width="12.28515625" bestFit="1" customWidth="1"/>
    <col min="25" max="25" width="11.140625" bestFit="1" customWidth="1"/>
  </cols>
  <sheetData>
    <row r="2" spans="2:26">
      <c r="B2" s="209" t="s">
        <v>564</v>
      </c>
      <c r="C2" s="210"/>
      <c r="D2" s="211"/>
      <c r="E2" s="211"/>
    </row>
    <row r="3" spans="2:26">
      <c r="B3" s="362" t="s">
        <v>565</v>
      </c>
      <c r="C3" s="365" t="s">
        <v>566</v>
      </c>
      <c r="D3" s="212" t="s">
        <v>567</v>
      </c>
      <c r="E3" s="212"/>
      <c r="F3" s="212" t="s">
        <v>568</v>
      </c>
      <c r="G3" s="212"/>
      <c r="H3" s="212" t="s">
        <v>569</v>
      </c>
      <c r="I3" s="212"/>
      <c r="J3" s="212" t="s">
        <v>265</v>
      </c>
      <c r="K3" s="212"/>
      <c r="L3" s="212" t="s">
        <v>266</v>
      </c>
      <c r="M3" s="212"/>
      <c r="N3" s="212" t="s">
        <v>267</v>
      </c>
      <c r="O3" s="212"/>
      <c r="P3" s="212" t="s">
        <v>570</v>
      </c>
      <c r="Q3" s="212"/>
    </row>
    <row r="4" spans="2:26">
      <c r="B4" s="363"/>
      <c r="C4" s="366"/>
      <c r="D4" s="212" t="s">
        <v>571</v>
      </c>
      <c r="E4" s="212"/>
      <c r="F4" s="212" t="s">
        <v>571</v>
      </c>
      <c r="G4" s="212"/>
      <c r="H4" s="212" t="s">
        <v>571</v>
      </c>
      <c r="I4" s="212"/>
      <c r="J4" s="212" t="s">
        <v>571</v>
      </c>
      <c r="K4" s="212"/>
      <c r="L4" s="212" t="s">
        <v>571</v>
      </c>
      <c r="M4" s="212"/>
      <c r="N4" s="212" t="s">
        <v>571</v>
      </c>
      <c r="O4" s="212"/>
      <c r="P4" s="212" t="s">
        <v>571</v>
      </c>
      <c r="Q4" s="212"/>
    </row>
    <row r="5" spans="2:26">
      <c r="B5" s="364"/>
      <c r="C5" s="367"/>
      <c r="D5" s="213" t="s">
        <v>572</v>
      </c>
      <c r="E5" s="213" t="s">
        <v>573</v>
      </c>
      <c r="F5" s="213" t="s">
        <v>572</v>
      </c>
      <c r="G5" s="213" t="s">
        <v>573</v>
      </c>
      <c r="H5" s="213" t="s">
        <v>572</v>
      </c>
      <c r="I5" s="213" t="s">
        <v>573</v>
      </c>
      <c r="J5" s="213" t="s">
        <v>572</v>
      </c>
      <c r="K5" s="213" t="s">
        <v>573</v>
      </c>
      <c r="L5" s="213" t="s">
        <v>572</v>
      </c>
      <c r="M5" s="213" t="s">
        <v>573</v>
      </c>
      <c r="N5" s="213" t="s">
        <v>572</v>
      </c>
      <c r="O5" s="213" t="s">
        <v>573</v>
      </c>
      <c r="P5" s="213" t="s">
        <v>572</v>
      </c>
      <c r="Q5" s="213" t="s">
        <v>573</v>
      </c>
    </row>
    <row r="6" spans="2:26">
      <c r="B6" s="214" t="s">
        <v>574</v>
      </c>
      <c r="C6" s="214" t="s">
        <v>92</v>
      </c>
      <c r="D6" s="215">
        <v>2490176</v>
      </c>
      <c r="E6" s="215"/>
      <c r="F6" s="215">
        <v>2525524</v>
      </c>
      <c r="G6" s="215"/>
      <c r="H6" s="215"/>
      <c r="I6" s="215"/>
      <c r="J6" s="215">
        <v>15156397</v>
      </c>
      <c r="K6" s="215"/>
      <c r="L6" s="215">
        <v>38320134</v>
      </c>
      <c r="M6" s="215"/>
      <c r="N6" s="215"/>
      <c r="O6" s="215"/>
      <c r="P6" s="215"/>
      <c r="Q6" s="215"/>
      <c r="R6" s="202"/>
      <c r="S6" s="202"/>
    </row>
    <row r="7" spans="2:26">
      <c r="B7" s="216"/>
      <c r="C7" s="216" t="s">
        <v>108</v>
      </c>
      <c r="D7" s="217"/>
      <c r="E7" s="217">
        <f>D6</f>
        <v>2490176</v>
      </c>
      <c r="F7" s="217"/>
      <c r="G7" s="217">
        <f>F6</f>
        <v>2525524</v>
      </c>
      <c r="H7" s="217"/>
      <c r="I7" s="217"/>
      <c r="J7" s="217"/>
      <c r="K7" s="217">
        <f>J6</f>
        <v>15156397</v>
      </c>
      <c r="L7" s="217"/>
      <c r="M7" s="217">
        <f>L6</f>
        <v>38320134</v>
      </c>
      <c r="N7" s="217"/>
      <c r="O7" s="217"/>
      <c r="P7" s="217"/>
      <c r="Q7" s="217"/>
      <c r="R7" s="202"/>
      <c r="S7" s="202"/>
    </row>
    <row r="8" spans="2:26">
      <c r="B8" s="216"/>
      <c r="C8" s="216"/>
      <c r="D8" s="217"/>
      <c r="E8" s="217"/>
      <c r="F8" s="217"/>
      <c r="G8" s="217"/>
      <c r="H8" s="217"/>
      <c r="I8" s="217"/>
      <c r="J8" s="217"/>
      <c r="K8" s="217"/>
      <c r="L8" s="217"/>
      <c r="M8" s="217"/>
      <c r="N8" s="217"/>
      <c r="O8" s="217"/>
      <c r="P8" s="217"/>
      <c r="Q8" s="217"/>
      <c r="R8" s="202"/>
      <c r="S8" s="202"/>
      <c r="U8" s="201" t="s">
        <v>575</v>
      </c>
      <c r="V8" s="201" t="s">
        <v>488</v>
      </c>
      <c r="W8" s="201" t="s">
        <v>265</v>
      </c>
      <c r="X8" s="201" t="s">
        <v>266</v>
      </c>
      <c r="Y8" s="201" t="s">
        <v>267</v>
      </c>
    </row>
    <row r="9" spans="2:26">
      <c r="B9" s="216"/>
      <c r="C9" s="216"/>
      <c r="D9" s="217"/>
      <c r="E9" s="217"/>
      <c r="F9" s="217"/>
      <c r="G9" s="217"/>
      <c r="H9" s="217"/>
      <c r="I9" s="217"/>
      <c r="J9" s="217"/>
      <c r="K9" s="217"/>
      <c r="L9" s="217"/>
      <c r="M9" s="217"/>
      <c r="N9" s="217"/>
      <c r="O9" s="217"/>
      <c r="P9" s="217"/>
      <c r="Q9" s="217"/>
      <c r="R9" s="202"/>
      <c r="S9" s="202"/>
      <c r="T9" t="s">
        <v>576</v>
      </c>
      <c r="U9" s="202">
        <v>2258450</v>
      </c>
      <c r="V9" s="202">
        <v>3248300</v>
      </c>
      <c r="W9" s="202">
        <v>1991020</v>
      </c>
      <c r="X9" s="202">
        <v>2999850</v>
      </c>
      <c r="Y9" s="202">
        <v>1929280</v>
      </c>
      <c r="Z9" s="201"/>
    </row>
    <row r="10" spans="2:26">
      <c r="B10" s="216" t="s">
        <v>577</v>
      </c>
      <c r="C10" s="216" t="s">
        <v>233</v>
      </c>
      <c r="D10" s="217">
        <f>SUM(U12:U15)</f>
        <v>7392450</v>
      </c>
      <c r="E10" s="217"/>
      <c r="F10" s="217">
        <f>SUM(V12:V15)</f>
        <v>11664590</v>
      </c>
      <c r="G10" s="217"/>
      <c r="H10" s="217"/>
      <c r="I10" s="217"/>
      <c r="J10" s="217">
        <f>SUM(W12:W15)</f>
        <v>4959950</v>
      </c>
      <c r="K10" s="217"/>
      <c r="L10" s="217">
        <f>SUM(X12:X15)</f>
        <v>6376250</v>
      </c>
      <c r="M10" s="217"/>
      <c r="N10" s="217">
        <f>SUM(Y12:Y15)</f>
        <v>4714500</v>
      </c>
      <c r="O10" s="217"/>
      <c r="P10" s="217"/>
      <c r="Q10" s="217"/>
      <c r="R10" s="202"/>
      <c r="S10" s="202"/>
      <c r="T10" t="s">
        <v>578</v>
      </c>
      <c r="U10" s="202">
        <v>2499070</v>
      </c>
      <c r="V10" s="202">
        <v>3423170</v>
      </c>
      <c r="W10" s="202">
        <v>1797700</v>
      </c>
      <c r="X10" s="202">
        <v>2891790</v>
      </c>
      <c r="Y10" s="202">
        <v>2022730</v>
      </c>
      <c r="Z10" s="202"/>
    </row>
    <row r="11" spans="2:26">
      <c r="B11" s="216"/>
      <c r="C11" s="216" t="s">
        <v>579</v>
      </c>
      <c r="D11" s="217">
        <f>SUM(U9:U11)</f>
        <v>5215620</v>
      </c>
      <c r="E11" s="217"/>
      <c r="F11" s="217">
        <f>SUM(V9:V11)</f>
        <v>7405680</v>
      </c>
      <c r="G11" s="217"/>
      <c r="H11" s="217"/>
      <c r="I11" s="217"/>
      <c r="J11" s="217">
        <f>SUM(W9:W11)</f>
        <v>4239560</v>
      </c>
      <c r="K11" s="217"/>
      <c r="L11" s="217">
        <f>SUM(X9:X11)</f>
        <v>6541570</v>
      </c>
      <c r="M11" s="217"/>
      <c r="N11" s="217">
        <f>SUM(Y9:Y11)</f>
        <v>4481470</v>
      </c>
      <c r="O11" s="217"/>
      <c r="P11" s="217"/>
      <c r="Q11" s="217"/>
      <c r="R11" s="202"/>
      <c r="S11" s="202"/>
      <c r="T11" t="s">
        <v>580</v>
      </c>
      <c r="U11" s="202">
        <v>458100</v>
      </c>
      <c r="V11" s="202">
        <v>734210</v>
      </c>
      <c r="W11" s="202">
        <v>450840</v>
      </c>
      <c r="X11" s="202">
        <v>649930</v>
      </c>
      <c r="Y11" s="202">
        <v>529460</v>
      </c>
      <c r="Z11" s="202"/>
    </row>
    <row r="12" spans="2:26">
      <c r="B12" s="216"/>
      <c r="C12" s="216" t="s">
        <v>108</v>
      </c>
      <c r="D12" s="217"/>
      <c r="E12" s="217">
        <f>SUM(U16:U19)</f>
        <v>12608070</v>
      </c>
      <c r="F12" s="217"/>
      <c r="G12" s="217">
        <f>SUM(V16:V19)</f>
        <v>19070270</v>
      </c>
      <c r="H12" s="217"/>
      <c r="I12" s="217"/>
      <c r="J12" s="217"/>
      <c r="K12" s="217">
        <f>SUM(W16:W19)</f>
        <v>9199510</v>
      </c>
      <c r="L12" s="217"/>
      <c r="M12" s="217">
        <f>SUM(X16:X19)</f>
        <v>12917820</v>
      </c>
      <c r="N12" s="217"/>
      <c r="O12" s="217">
        <f>SUM(Y16:Y19)</f>
        <v>9195970</v>
      </c>
      <c r="P12" s="217"/>
      <c r="Q12" s="217"/>
      <c r="R12" s="202"/>
      <c r="S12" s="202"/>
      <c r="T12" t="s">
        <v>581</v>
      </c>
      <c r="U12" s="202">
        <v>2990510</v>
      </c>
      <c r="V12" s="202">
        <v>4568740</v>
      </c>
      <c r="W12" s="202">
        <v>2060510</v>
      </c>
      <c r="X12" s="202">
        <v>2777250</v>
      </c>
      <c r="Y12" s="202">
        <v>1953400</v>
      </c>
      <c r="Z12" s="202"/>
    </row>
    <row r="13" spans="2:26">
      <c r="B13" s="216"/>
      <c r="C13" s="216"/>
      <c r="D13" s="217"/>
      <c r="E13" s="217"/>
      <c r="F13" s="217"/>
      <c r="G13" s="217"/>
      <c r="H13" s="217"/>
      <c r="I13" s="217"/>
      <c r="J13" s="217"/>
      <c r="K13" s="217"/>
      <c r="L13" s="217"/>
      <c r="M13" s="217"/>
      <c r="N13" s="217"/>
      <c r="O13" s="217"/>
      <c r="P13" s="217"/>
      <c r="Q13" s="217"/>
      <c r="R13" s="202"/>
      <c r="S13" s="202"/>
      <c r="T13" t="s">
        <v>582</v>
      </c>
      <c r="U13" s="202">
        <v>3093570</v>
      </c>
      <c r="V13" s="202">
        <v>4224430</v>
      </c>
      <c r="W13" s="202">
        <v>1533640</v>
      </c>
      <c r="X13" s="202">
        <v>2299150</v>
      </c>
      <c r="Y13" s="202">
        <v>1712570</v>
      </c>
      <c r="Z13" s="202"/>
    </row>
    <row r="14" spans="2:26">
      <c r="B14" s="216"/>
      <c r="C14" s="216"/>
      <c r="D14" s="217"/>
      <c r="E14" s="217"/>
      <c r="F14" s="217"/>
      <c r="G14" s="217"/>
      <c r="H14" s="217"/>
      <c r="I14" s="217"/>
      <c r="J14" s="217"/>
      <c r="K14" s="217"/>
      <c r="L14" s="217"/>
      <c r="M14" s="217"/>
      <c r="N14" s="217"/>
      <c r="O14" s="217"/>
      <c r="P14" s="217"/>
      <c r="Q14" s="217"/>
      <c r="R14" s="202"/>
      <c r="S14" s="202"/>
      <c r="T14" t="s">
        <v>583</v>
      </c>
      <c r="U14" s="202">
        <v>761170</v>
      </c>
      <c r="V14" s="202">
        <v>1731910</v>
      </c>
      <c r="W14" s="202">
        <v>803010</v>
      </c>
      <c r="X14" s="202">
        <v>693150</v>
      </c>
      <c r="Y14" s="202">
        <v>559730</v>
      </c>
      <c r="Z14" s="202"/>
    </row>
    <row r="15" spans="2:26">
      <c r="B15" s="216" t="s">
        <v>584</v>
      </c>
      <c r="C15" s="216" t="s">
        <v>585</v>
      </c>
      <c r="D15" s="217"/>
      <c r="E15" s="217"/>
      <c r="F15" s="217"/>
      <c r="G15" s="217"/>
      <c r="H15" s="217"/>
      <c r="I15" s="217">
        <f>개별BS!D128</f>
        <v>227035060</v>
      </c>
      <c r="J15" s="217"/>
      <c r="K15" s="217"/>
      <c r="L15" s="217"/>
      <c r="M15" s="217"/>
      <c r="N15" s="217"/>
      <c r="O15" s="217"/>
      <c r="P15" s="217"/>
      <c r="Q15" s="217"/>
      <c r="R15" s="202"/>
      <c r="S15" s="202"/>
      <c r="T15" t="s">
        <v>586</v>
      </c>
      <c r="U15" s="202">
        <v>547200</v>
      </c>
      <c r="V15" s="202">
        <v>1139510</v>
      </c>
      <c r="W15" s="202">
        <v>562790</v>
      </c>
      <c r="X15" s="202">
        <v>606700</v>
      </c>
      <c r="Y15" s="202">
        <v>488800</v>
      </c>
      <c r="Z15" s="202"/>
    </row>
    <row r="16" spans="2:26">
      <c r="B16" s="216" t="s">
        <v>587</v>
      </c>
      <c r="C16" s="216" t="s">
        <v>588</v>
      </c>
      <c r="D16" s="217"/>
      <c r="E16" s="217"/>
      <c r="F16" s="217"/>
      <c r="G16" s="217"/>
      <c r="H16" s="217">
        <v>91209735</v>
      </c>
      <c r="I16" s="217"/>
      <c r="J16" s="217"/>
      <c r="K16" s="217"/>
      <c r="L16" s="217"/>
      <c r="M16" s="217"/>
      <c r="N16" s="217"/>
      <c r="O16" s="217"/>
      <c r="P16" s="217"/>
      <c r="Q16" s="217"/>
      <c r="R16" s="202"/>
      <c r="S16" s="202"/>
      <c r="T16" t="s">
        <v>589</v>
      </c>
      <c r="U16" s="202">
        <v>5248960</v>
      </c>
      <c r="V16" s="202">
        <v>7817040</v>
      </c>
      <c r="W16" s="202">
        <v>4051530</v>
      </c>
      <c r="X16" s="202">
        <v>5777100</v>
      </c>
      <c r="Y16" s="202">
        <v>3882680</v>
      </c>
      <c r="Z16" s="202"/>
    </row>
    <row r="17" spans="2:26">
      <c r="B17" s="216" t="s">
        <v>590</v>
      </c>
      <c r="C17" s="216" t="s">
        <v>108</v>
      </c>
      <c r="D17" s="217"/>
      <c r="E17" s="217"/>
      <c r="F17" s="217"/>
      <c r="G17" s="217"/>
      <c r="H17" s="217">
        <f>26928770+5117073</f>
        <v>32045843</v>
      </c>
      <c r="I17" s="217"/>
      <c r="J17" s="217"/>
      <c r="K17" s="217"/>
      <c r="L17" s="217"/>
      <c r="M17" s="217"/>
      <c r="N17" s="217"/>
      <c r="O17" s="217"/>
      <c r="P17" s="217"/>
      <c r="Q17" s="217"/>
      <c r="R17" s="202"/>
      <c r="S17" s="202"/>
      <c r="T17" t="s">
        <v>589</v>
      </c>
      <c r="U17" s="202">
        <v>5592640</v>
      </c>
      <c r="V17" s="202">
        <v>7647600</v>
      </c>
      <c r="W17" s="202">
        <v>3331340</v>
      </c>
      <c r="X17" s="202">
        <v>5190940</v>
      </c>
      <c r="Y17" s="202">
        <v>3735300</v>
      </c>
      <c r="Z17" s="202"/>
    </row>
    <row r="18" spans="2:26">
      <c r="B18" s="216"/>
      <c r="C18" s="216" t="s">
        <v>122</v>
      </c>
      <c r="D18" s="217"/>
      <c r="E18" s="217"/>
      <c r="F18" s="217"/>
      <c r="G18" s="217"/>
      <c r="H18" s="217">
        <f>I15-H16-H17</f>
        <v>103779482</v>
      </c>
      <c r="I18" s="217"/>
      <c r="J18" s="217"/>
      <c r="K18" s="217"/>
      <c r="L18" s="217"/>
      <c r="M18" s="217"/>
      <c r="N18" s="217"/>
      <c r="O18" s="217"/>
      <c r="P18" s="217"/>
      <c r="Q18" s="217"/>
      <c r="R18" s="202"/>
      <c r="S18" s="202"/>
      <c r="T18" t="s">
        <v>589</v>
      </c>
      <c r="U18" s="202">
        <v>1219270</v>
      </c>
      <c r="V18" s="202">
        <v>2466120</v>
      </c>
      <c r="W18" s="202">
        <v>1253850</v>
      </c>
      <c r="X18" s="202">
        <v>1343080</v>
      </c>
      <c r="Y18" s="202">
        <v>1089190</v>
      </c>
      <c r="Z18" s="202"/>
    </row>
    <row r="19" spans="2:26">
      <c r="B19" s="216"/>
      <c r="C19" s="216"/>
      <c r="D19" s="217"/>
      <c r="E19" s="217"/>
      <c r="F19" s="217"/>
      <c r="G19" s="217"/>
      <c r="H19" s="217"/>
      <c r="I19" s="217"/>
      <c r="J19" s="217"/>
      <c r="K19" s="217"/>
      <c r="L19" s="217"/>
      <c r="M19" s="217"/>
      <c r="N19" s="217"/>
      <c r="O19" s="217"/>
      <c r="P19" s="217"/>
      <c r="Q19" s="217"/>
      <c r="R19" s="202"/>
      <c r="S19" s="202"/>
      <c r="T19" t="s">
        <v>589</v>
      </c>
      <c r="U19" s="202">
        <v>547200</v>
      </c>
      <c r="V19" s="202">
        <v>1139510</v>
      </c>
      <c r="W19" s="202">
        <v>562790</v>
      </c>
      <c r="X19" s="202">
        <v>606700</v>
      </c>
      <c r="Y19" s="202">
        <v>488800</v>
      </c>
      <c r="Z19" s="202"/>
    </row>
    <row r="20" spans="2:26">
      <c r="B20" s="216" t="s">
        <v>591</v>
      </c>
      <c r="C20" s="216" t="s">
        <v>592</v>
      </c>
      <c r="D20" s="217"/>
      <c r="E20" s="217"/>
      <c r="F20" s="217"/>
      <c r="G20" s="217"/>
      <c r="H20" s="217">
        <v>859120251</v>
      </c>
      <c r="I20" s="217"/>
      <c r="J20" s="217"/>
      <c r="K20" s="217"/>
      <c r="L20" s="217"/>
      <c r="M20" s="217"/>
      <c r="N20" s="217"/>
      <c r="O20" s="217"/>
      <c r="P20" s="217"/>
      <c r="Q20" s="217"/>
      <c r="R20" s="202"/>
      <c r="S20" s="202"/>
      <c r="U20" s="202"/>
      <c r="V20" s="202"/>
      <c r="W20" s="202"/>
      <c r="X20" s="202"/>
      <c r="Y20" s="202"/>
      <c r="Z20" s="202"/>
    </row>
    <row r="21" spans="2:26">
      <c r="B21" s="216"/>
      <c r="C21" s="216" t="s">
        <v>593</v>
      </c>
      <c r="D21" s="217"/>
      <c r="E21" s="217"/>
      <c r="F21" s="217"/>
      <c r="G21" s="217"/>
      <c r="H21" s="217">
        <f>-H20</f>
        <v>-859120251</v>
      </c>
      <c r="I21" s="217"/>
      <c r="J21" s="217"/>
      <c r="K21" s="217"/>
      <c r="L21" s="217"/>
      <c r="M21" s="217"/>
      <c r="N21" s="217"/>
      <c r="O21" s="217"/>
      <c r="P21" s="217"/>
      <c r="Q21" s="217"/>
      <c r="R21" s="202"/>
      <c r="S21" s="202"/>
      <c r="U21" s="202"/>
      <c r="V21" s="202"/>
      <c r="W21" s="202"/>
      <c r="X21" s="202"/>
      <c r="Y21" s="202"/>
      <c r="Z21" s="202"/>
    </row>
    <row r="22" spans="2:26">
      <c r="B22" s="216"/>
      <c r="C22" s="216"/>
      <c r="D22" s="217"/>
      <c r="E22" s="217"/>
      <c r="F22" s="217"/>
      <c r="G22" s="217"/>
      <c r="H22" s="217"/>
      <c r="I22" s="217"/>
      <c r="J22" s="217"/>
      <c r="K22" s="217"/>
      <c r="L22" s="217"/>
      <c r="M22" s="217"/>
      <c r="N22" s="217"/>
      <c r="O22" s="217"/>
      <c r="P22" s="217"/>
      <c r="Q22" s="217"/>
      <c r="R22" s="202"/>
      <c r="S22" s="202"/>
      <c r="U22" s="202"/>
      <c r="V22" s="202"/>
      <c r="W22" s="202"/>
      <c r="X22" s="202"/>
      <c r="Y22" s="202"/>
      <c r="Z22" s="201"/>
    </row>
    <row r="23" spans="2:26">
      <c r="B23" s="216"/>
      <c r="C23" s="216"/>
      <c r="D23" s="217"/>
      <c r="E23" s="217"/>
      <c r="F23" s="217"/>
      <c r="G23" s="217"/>
      <c r="H23" s="217"/>
      <c r="I23" s="217"/>
      <c r="J23" s="217"/>
      <c r="K23" s="217"/>
      <c r="L23" s="217"/>
      <c r="M23" s="217"/>
      <c r="N23" s="217"/>
      <c r="O23" s="217"/>
      <c r="P23" s="217"/>
      <c r="Q23" s="217"/>
      <c r="U23" s="201" t="s">
        <v>575</v>
      </c>
      <c r="V23" s="201" t="s">
        <v>488</v>
      </c>
      <c r="W23" s="201" t="s">
        <v>265</v>
      </c>
      <c r="X23" s="201" t="s">
        <v>266</v>
      </c>
      <c r="Y23" s="201" t="s">
        <v>267</v>
      </c>
    </row>
    <row r="24" spans="2:26">
      <c r="B24" s="216" t="s">
        <v>594</v>
      </c>
      <c r="C24" s="216" t="s">
        <v>595</v>
      </c>
      <c r="D24" s="217"/>
      <c r="E24" s="217"/>
      <c r="F24" s="217">
        <f>V27</f>
        <v>22941667</v>
      </c>
      <c r="G24" s="217"/>
      <c r="H24" s="217"/>
      <c r="I24" s="217"/>
      <c r="J24" s="217">
        <f>W27</f>
        <v>11470833</v>
      </c>
      <c r="K24" s="217"/>
      <c r="L24" s="217">
        <f>X27</f>
        <v>11470833</v>
      </c>
      <c r="M24" s="217"/>
      <c r="N24" s="217">
        <f>Y27</f>
        <v>11470833</v>
      </c>
      <c r="O24" s="217"/>
      <c r="P24" s="217"/>
      <c r="Q24" s="217"/>
      <c r="T24" t="s">
        <v>596</v>
      </c>
      <c r="U24" s="202"/>
      <c r="V24" s="218">
        <v>50000</v>
      </c>
      <c r="W24" s="218">
        <v>25000</v>
      </c>
      <c r="X24" s="218">
        <v>25000</v>
      </c>
      <c r="Y24" s="218">
        <v>25000</v>
      </c>
    </row>
    <row r="25" spans="2:26">
      <c r="B25" s="216"/>
      <c r="C25" s="216" t="s">
        <v>597</v>
      </c>
      <c r="D25" s="217"/>
      <c r="E25" s="217"/>
      <c r="F25" s="217">
        <f>V28</f>
        <v>45883333</v>
      </c>
      <c r="G25" s="217"/>
      <c r="H25" s="217"/>
      <c r="I25" s="217"/>
      <c r="J25" s="217">
        <f>W28</f>
        <v>22941667</v>
      </c>
      <c r="K25" s="217"/>
      <c r="L25" s="217">
        <f>X28</f>
        <v>22941667</v>
      </c>
      <c r="M25" s="217"/>
      <c r="N25" s="217">
        <f>Y28</f>
        <v>22941667</v>
      </c>
      <c r="O25" s="217"/>
      <c r="P25" s="217"/>
      <c r="Q25" s="217"/>
      <c r="T25" t="s">
        <v>598</v>
      </c>
      <c r="U25" s="202"/>
      <c r="V25" s="219">
        <v>1376.5</v>
      </c>
      <c r="W25" s="219">
        <v>1376.5</v>
      </c>
      <c r="X25" s="219">
        <v>1376.5</v>
      </c>
      <c r="Y25" s="219">
        <v>1376.5</v>
      </c>
    </row>
    <row r="26" spans="2:26">
      <c r="B26" s="216"/>
      <c r="C26" s="216" t="s">
        <v>108</v>
      </c>
      <c r="D26" s="217"/>
      <c r="E26" s="217"/>
      <c r="F26" s="217"/>
      <c r="G26" s="217">
        <f>F24+F25</f>
        <v>68825000</v>
      </c>
      <c r="H26" s="217"/>
      <c r="I26" s="217"/>
      <c r="J26" s="217"/>
      <c r="K26" s="217">
        <f>J24+J25</f>
        <v>34412500</v>
      </c>
      <c r="L26" s="217"/>
      <c r="M26" s="217">
        <f>L24+L25</f>
        <v>34412500</v>
      </c>
      <c r="N26" s="217"/>
      <c r="O26" s="217">
        <f>N24+N25</f>
        <v>34412500</v>
      </c>
      <c r="P26" s="217"/>
      <c r="Q26" s="217"/>
      <c r="R26" t="s">
        <v>599</v>
      </c>
      <c r="T26" t="s">
        <v>600</v>
      </c>
      <c r="U26" s="202"/>
      <c r="V26" s="202">
        <f>ROUND(V24*V25,)</f>
        <v>68825000</v>
      </c>
      <c r="W26" s="202">
        <f t="shared" ref="W26:Y26" si="0">ROUND(W24*W25,)</f>
        <v>34412500</v>
      </c>
      <c r="X26" s="202">
        <f t="shared" si="0"/>
        <v>34412500</v>
      </c>
      <c r="Y26" s="202">
        <f t="shared" si="0"/>
        <v>34412500</v>
      </c>
    </row>
    <row r="27" spans="2:26">
      <c r="B27" s="216"/>
      <c r="C27" s="216"/>
      <c r="D27" s="217"/>
      <c r="E27" s="217"/>
      <c r="F27" s="217"/>
      <c r="G27" s="217"/>
      <c r="H27" s="217"/>
      <c r="I27" s="217"/>
      <c r="J27" s="217"/>
      <c r="K27" s="217"/>
      <c r="L27" s="217"/>
      <c r="M27" s="217"/>
      <c r="N27" s="217"/>
      <c r="O27" s="217"/>
      <c r="P27" s="217"/>
      <c r="Q27" s="217"/>
      <c r="T27" t="s">
        <v>601</v>
      </c>
      <c r="U27" s="202"/>
      <c r="V27" s="202">
        <f>ROUND(V26/3,)</f>
        <v>22941667</v>
      </c>
      <c r="W27" s="202">
        <f t="shared" ref="W27:Y27" si="1">ROUND(W26/3,)</f>
        <v>11470833</v>
      </c>
      <c r="X27" s="202">
        <f t="shared" si="1"/>
        <v>11470833</v>
      </c>
      <c r="Y27" s="202">
        <f t="shared" si="1"/>
        <v>11470833</v>
      </c>
    </row>
    <row r="28" spans="2:26">
      <c r="B28" s="216"/>
      <c r="C28" s="216"/>
      <c r="D28" s="217"/>
      <c r="E28" s="217"/>
      <c r="F28" s="217"/>
      <c r="G28" s="217"/>
      <c r="H28" s="217"/>
      <c r="I28" s="217"/>
      <c r="J28" s="217"/>
      <c r="K28" s="217"/>
      <c r="L28" s="217"/>
      <c r="M28" s="217"/>
      <c r="N28" s="217"/>
      <c r="O28" s="217"/>
      <c r="P28" s="217"/>
      <c r="Q28" s="217"/>
      <c r="R28" s="202"/>
      <c r="S28" s="202"/>
      <c r="T28" t="s">
        <v>602</v>
      </c>
      <c r="U28" s="202"/>
      <c r="V28" s="202">
        <f>V26-V27</f>
        <v>45883333</v>
      </c>
      <c r="W28" s="202">
        <f t="shared" ref="W28:Y28" si="2">W26-W27</f>
        <v>22941667</v>
      </c>
      <c r="X28" s="202">
        <f t="shared" si="2"/>
        <v>22941667</v>
      </c>
      <c r="Y28" s="202">
        <f t="shared" si="2"/>
        <v>22941667</v>
      </c>
    </row>
    <row r="29" spans="2:26">
      <c r="B29" s="216"/>
      <c r="C29" s="216"/>
      <c r="D29" s="217"/>
      <c r="E29" s="217"/>
      <c r="F29" s="217"/>
      <c r="G29" s="217"/>
      <c r="H29" s="217"/>
      <c r="I29" s="217"/>
      <c r="J29" s="217"/>
      <c r="K29" s="217"/>
      <c r="L29" s="217"/>
      <c r="M29" s="217"/>
      <c r="N29" s="217"/>
      <c r="O29" s="217"/>
      <c r="P29" s="217"/>
      <c r="Q29" s="217"/>
      <c r="R29" s="202"/>
      <c r="S29" s="202"/>
    </row>
    <row r="30" spans="2:26">
      <c r="B30" s="216" t="s">
        <v>603</v>
      </c>
      <c r="C30" s="216" t="s">
        <v>595</v>
      </c>
      <c r="D30" s="217"/>
      <c r="E30" s="217"/>
      <c r="F30" s="217">
        <f>W31</f>
        <v>39907467</v>
      </c>
      <c r="G30" s="217"/>
      <c r="H30" s="217"/>
      <c r="I30" s="217"/>
      <c r="J30" s="217"/>
      <c r="K30" s="217"/>
      <c r="L30" s="217"/>
      <c r="M30" s="217"/>
      <c r="N30" s="217"/>
      <c r="O30" s="217"/>
      <c r="P30" s="217"/>
      <c r="Q30" s="217"/>
      <c r="R30" s="202"/>
      <c r="S30" s="202"/>
      <c r="U30" t="s">
        <v>529</v>
      </c>
      <c r="V30" s="201" t="s">
        <v>604</v>
      </c>
      <c r="W30" s="201" t="s">
        <v>600</v>
      </c>
    </row>
    <row r="31" spans="2:26">
      <c r="B31" s="216"/>
      <c r="C31" s="216" t="s">
        <v>108</v>
      </c>
      <c r="D31" s="217"/>
      <c r="E31" s="217"/>
      <c r="F31" s="217"/>
      <c r="G31" s="217">
        <f>F30</f>
        <v>39907467</v>
      </c>
      <c r="H31" s="217"/>
      <c r="I31" s="217"/>
      <c r="J31" s="217"/>
      <c r="K31" s="217"/>
      <c r="L31" s="217"/>
      <c r="M31" s="217"/>
      <c r="N31" s="217"/>
      <c r="O31" s="217"/>
      <c r="P31" s="217"/>
      <c r="Q31" s="217"/>
      <c r="R31" t="s">
        <v>599</v>
      </c>
      <c r="S31" s="202"/>
      <c r="T31" t="s">
        <v>264</v>
      </c>
      <c r="U31" s="219">
        <v>28964.63</v>
      </c>
      <c r="V31" s="219">
        <v>1377.8</v>
      </c>
      <c r="W31" s="202">
        <f>ROUND(U31*V31,)</f>
        <v>39907467</v>
      </c>
      <c r="X31" s="202"/>
    </row>
    <row r="32" spans="2:26">
      <c r="B32" s="216"/>
      <c r="C32" s="216"/>
      <c r="D32" s="217"/>
      <c r="E32" s="217"/>
      <c r="F32" s="217"/>
      <c r="G32" s="217"/>
      <c r="H32" s="217"/>
      <c r="I32" s="217"/>
      <c r="J32" s="217"/>
      <c r="K32" s="217"/>
      <c r="L32" s="217"/>
      <c r="M32" s="217"/>
      <c r="N32" s="217"/>
      <c r="O32" s="217"/>
      <c r="P32" s="217"/>
      <c r="Q32" s="217"/>
      <c r="R32" s="202"/>
      <c r="S32" s="202"/>
    </row>
    <row r="33" spans="2:22">
      <c r="B33" s="216"/>
      <c r="C33" s="216"/>
      <c r="D33" s="217"/>
      <c r="E33" s="217"/>
      <c r="F33" s="217"/>
      <c r="G33" s="217"/>
      <c r="H33" s="217"/>
      <c r="I33" s="217"/>
      <c r="J33" s="217"/>
      <c r="K33" s="217"/>
      <c r="L33" s="217"/>
      <c r="M33" s="217"/>
      <c r="N33" s="217"/>
      <c r="O33" s="217"/>
      <c r="P33" s="217"/>
      <c r="Q33" s="217"/>
      <c r="R33" s="202"/>
      <c r="S33" s="202"/>
    </row>
    <row r="34" spans="2:22">
      <c r="B34" s="216" t="s">
        <v>605</v>
      </c>
      <c r="C34" s="216" t="s">
        <v>606</v>
      </c>
      <c r="D34" s="217">
        <f>V35</f>
        <v>1376500000</v>
      </c>
      <c r="E34" s="217"/>
      <c r="F34" s="217"/>
      <c r="G34" s="217"/>
      <c r="H34" s="217"/>
      <c r="I34" s="217"/>
      <c r="J34" s="217"/>
      <c r="K34" s="217"/>
      <c r="L34" s="217"/>
      <c r="M34" s="217"/>
      <c r="N34" s="217"/>
      <c r="O34" s="217"/>
      <c r="P34" s="217"/>
      <c r="Q34" s="217"/>
      <c r="R34" s="202"/>
      <c r="S34" s="202"/>
      <c r="T34" s="201" t="s">
        <v>607</v>
      </c>
      <c r="U34" s="201" t="s">
        <v>608</v>
      </c>
      <c r="V34" s="201" t="s">
        <v>609</v>
      </c>
    </row>
    <row r="35" spans="2:22">
      <c r="B35" s="216"/>
      <c r="C35" s="216" t="s">
        <v>108</v>
      </c>
      <c r="D35" s="217"/>
      <c r="E35" s="217">
        <f>D34</f>
        <v>1376500000</v>
      </c>
      <c r="F35" s="217"/>
      <c r="G35" s="217"/>
      <c r="H35" s="217"/>
      <c r="I35" s="217"/>
      <c r="J35" s="217"/>
      <c r="K35" s="217"/>
      <c r="L35" s="217"/>
      <c r="M35" s="217"/>
      <c r="N35" s="217"/>
      <c r="O35" s="217"/>
      <c r="P35" s="217"/>
      <c r="Q35" s="217"/>
      <c r="R35" s="202"/>
      <c r="S35" s="202"/>
      <c r="T35" s="202">
        <v>1000000</v>
      </c>
      <c r="U35" s="219">
        <v>1376.5</v>
      </c>
      <c r="V35" s="202">
        <f>ROUND(T35*U35,)</f>
        <v>1376500000</v>
      </c>
    </row>
    <row r="36" spans="2:22">
      <c r="B36" s="216"/>
      <c r="C36" s="216"/>
      <c r="D36" s="217"/>
      <c r="E36" s="217"/>
      <c r="F36" s="217"/>
      <c r="G36" s="217"/>
      <c r="H36" s="217"/>
      <c r="I36" s="217"/>
      <c r="J36" s="217"/>
      <c r="K36" s="217"/>
      <c r="L36" s="217"/>
      <c r="M36" s="217"/>
      <c r="N36" s="217"/>
      <c r="O36" s="217"/>
      <c r="P36" s="217"/>
      <c r="Q36" s="217"/>
      <c r="R36" s="202"/>
      <c r="S36" s="202"/>
    </row>
    <row r="37" spans="2:22">
      <c r="B37" s="216" t="s">
        <v>610</v>
      </c>
      <c r="C37" s="216"/>
      <c r="D37" s="217"/>
      <c r="E37" s="217"/>
      <c r="F37" s="217"/>
      <c r="G37" s="217"/>
      <c r="H37" s="217"/>
      <c r="I37" s="217"/>
      <c r="J37" s="217"/>
      <c r="K37" s="217"/>
      <c r="L37" s="217"/>
      <c r="M37" s="217"/>
      <c r="N37" s="217"/>
      <c r="O37" s="217"/>
      <c r="P37" s="217"/>
      <c r="Q37" s="217"/>
      <c r="R37" s="202"/>
      <c r="S37" s="202"/>
    </row>
    <row r="38" spans="2:22">
      <c r="B38" s="216" t="s">
        <v>611</v>
      </c>
      <c r="C38" s="216" t="s">
        <v>612</v>
      </c>
      <c r="D38" s="217"/>
      <c r="E38" s="217"/>
      <c r="F38" s="217">
        <v>942118832</v>
      </c>
      <c r="G38" s="217"/>
      <c r="H38" s="217"/>
      <c r="I38" s="217"/>
      <c r="J38" s="217">
        <v>159418724</v>
      </c>
      <c r="K38" s="217"/>
      <c r="L38" s="217">
        <v>288207790</v>
      </c>
      <c r="M38" s="217"/>
      <c r="N38" s="217">
        <v>19353832</v>
      </c>
      <c r="O38" s="217"/>
      <c r="P38" s="217"/>
      <c r="Q38" s="217"/>
      <c r="R38" s="202"/>
      <c r="S38" s="202"/>
    </row>
    <row r="39" spans="2:22">
      <c r="B39" s="216"/>
      <c r="C39" s="216" t="s">
        <v>613</v>
      </c>
      <c r="D39" s="217"/>
      <c r="E39" s="217"/>
      <c r="F39" s="217">
        <v>76968393</v>
      </c>
      <c r="G39" s="217"/>
      <c r="H39" s="217"/>
      <c r="I39" s="217"/>
      <c r="J39" s="217">
        <v>75992569</v>
      </c>
      <c r="K39" s="217"/>
      <c r="L39" s="217">
        <v>70396760</v>
      </c>
      <c r="M39" s="217"/>
      <c r="N39" s="217">
        <v>6060517</v>
      </c>
      <c r="O39" s="217"/>
      <c r="P39" s="217"/>
      <c r="Q39" s="217"/>
      <c r="R39" s="202"/>
      <c r="S39" s="202"/>
    </row>
    <row r="40" spans="2:22">
      <c r="B40" s="216"/>
      <c r="C40" s="216" t="s">
        <v>614</v>
      </c>
      <c r="D40" s="217"/>
      <c r="E40" s="217"/>
      <c r="F40" s="217">
        <v>6969824</v>
      </c>
      <c r="G40" s="217"/>
      <c r="H40" s="217"/>
      <c r="I40" s="217"/>
      <c r="J40" s="217">
        <v>7443480</v>
      </c>
      <c r="K40" s="217"/>
      <c r="L40" s="217">
        <v>0</v>
      </c>
      <c r="M40" s="217"/>
      <c r="N40" s="217">
        <v>2218167</v>
      </c>
      <c r="O40" s="217"/>
      <c r="P40" s="217"/>
      <c r="Q40" s="217"/>
      <c r="R40" s="202"/>
      <c r="S40" s="202"/>
    </row>
    <row r="41" spans="2:22">
      <c r="B41" s="216"/>
      <c r="C41" s="216"/>
      <c r="D41" s="217"/>
      <c r="E41" s="217"/>
      <c r="F41" s="217"/>
      <c r="G41" s="217"/>
      <c r="H41" s="217"/>
      <c r="I41" s="217"/>
      <c r="J41" s="217"/>
      <c r="K41" s="217"/>
      <c r="L41" s="217"/>
      <c r="M41" s="217"/>
      <c r="N41" s="217"/>
      <c r="O41" s="217"/>
      <c r="P41" s="217"/>
      <c r="Q41" s="217"/>
      <c r="R41" s="202"/>
      <c r="S41" s="202"/>
    </row>
    <row r="42" spans="2:22">
      <c r="B42" s="216" t="s">
        <v>615</v>
      </c>
      <c r="C42" s="216" t="s">
        <v>612</v>
      </c>
      <c r="D42" s="217"/>
      <c r="E42" s="217"/>
      <c r="F42" s="217"/>
      <c r="G42" s="217">
        <v>453655303</v>
      </c>
      <c r="H42" s="217"/>
      <c r="I42" s="217"/>
      <c r="J42" s="217"/>
      <c r="K42" s="217">
        <v>63665625</v>
      </c>
      <c r="L42" s="217"/>
      <c r="M42" s="217">
        <v>115098958</v>
      </c>
      <c r="N42" s="217"/>
      <c r="O42" s="217">
        <v>7729167</v>
      </c>
      <c r="P42" s="217"/>
      <c r="Q42" s="217"/>
      <c r="R42" s="202"/>
      <c r="S42" s="202"/>
    </row>
    <row r="43" spans="2:22">
      <c r="B43" s="216"/>
      <c r="C43" s="216" t="s">
        <v>613</v>
      </c>
      <c r="D43" s="217"/>
      <c r="E43" s="217"/>
      <c r="F43" s="217"/>
      <c r="G43" s="217">
        <v>35773276</v>
      </c>
      <c r="H43" s="217"/>
      <c r="I43" s="217"/>
      <c r="J43" s="217"/>
      <c r="K43" s="217">
        <v>30348473</v>
      </c>
      <c r="L43" s="217"/>
      <c r="M43" s="217">
        <v>28113725</v>
      </c>
      <c r="N43" s="217"/>
      <c r="O43" s="217">
        <v>2420335</v>
      </c>
      <c r="P43" s="217"/>
      <c r="Q43" s="217"/>
      <c r="R43" s="202"/>
      <c r="S43" s="202"/>
    </row>
    <row r="44" spans="2:22">
      <c r="B44" s="216"/>
      <c r="C44" s="216" t="s">
        <v>614</v>
      </c>
      <c r="D44" s="217"/>
      <c r="E44" s="217"/>
      <c r="F44" s="217"/>
      <c r="G44" s="217">
        <v>3780076</v>
      </c>
      <c r="H44" s="217"/>
      <c r="I44" s="217"/>
      <c r="J44" s="217"/>
      <c r="K44" s="217">
        <v>3300879</v>
      </c>
      <c r="L44" s="217"/>
      <c r="M44" s="217"/>
      <c r="N44" s="217"/>
      <c r="O44" s="217">
        <v>983667</v>
      </c>
      <c r="P44" s="217"/>
      <c r="Q44" s="217"/>
      <c r="R44" s="202"/>
      <c r="S44" s="202"/>
    </row>
    <row r="45" spans="2:22">
      <c r="B45" s="216"/>
      <c r="C45" s="216"/>
      <c r="D45" s="217"/>
      <c r="E45" s="217"/>
      <c r="F45" s="217"/>
      <c r="G45" s="217"/>
      <c r="H45" s="217"/>
      <c r="I45" s="217"/>
      <c r="J45" s="217"/>
      <c r="K45" s="217"/>
      <c r="L45" s="217"/>
      <c r="M45" s="217"/>
      <c r="N45" s="217"/>
      <c r="O45" s="217"/>
      <c r="P45" s="217"/>
      <c r="Q45" s="217"/>
      <c r="R45" s="202"/>
      <c r="S45" s="202"/>
    </row>
    <row r="46" spans="2:22">
      <c r="B46" s="216"/>
      <c r="C46" s="216" t="s">
        <v>616</v>
      </c>
      <c r="D46" s="217"/>
      <c r="E46" s="217"/>
      <c r="F46" s="217"/>
      <c r="G46" s="217">
        <f>SUM(F38:F45)-SUM(G38:G45)</f>
        <v>532848394</v>
      </c>
      <c r="H46" s="217"/>
      <c r="I46" s="217"/>
      <c r="J46" s="217"/>
      <c r="K46" s="217">
        <f>SUM(J38:J45)-SUM(K38:K45)</f>
        <v>145539796</v>
      </c>
      <c r="L46" s="217"/>
      <c r="M46" s="217">
        <f>SUM(L38:L45)-SUM(M38:M45)</f>
        <v>215391867</v>
      </c>
      <c r="N46" s="217"/>
      <c r="O46" s="217">
        <f>SUM(N38:N45)-SUM(O38:O45)</f>
        <v>16499347</v>
      </c>
      <c r="P46" s="217"/>
      <c r="Q46" s="217"/>
      <c r="R46" s="202"/>
      <c r="S46" s="202"/>
    </row>
    <row r="47" spans="2:22">
      <c r="B47" s="216"/>
      <c r="C47" s="216"/>
      <c r="D47" s="217"/>
      <c r="E47" s="217"/>
      <c r="F47" s="217"/>
      <c r="G47" s="217"/>
      <c r="H47" s="217"/>
      <c r="I47" s="217"/>
      <c r="J47" s="217"/>
      <c r="K47" s="217"/>
      <c r="L47" s="217"/>
      <c r="M47" s="217"/>
      <c r="N47" s="217"/>
      <c r="O47" s="217"/>
      <c r="P47" s="217"/>
      <c r="Q47" s="217"/>
      <c r="R47" s="202"/>
      <c r="S47" s="202"/>
    </row>
    <row r="48" spans="2:22">
      <c r="B48" s="216" t="s">
        <v>617</v>
      </c>
      <c r="C48" s="216" t="s">
        <v>545</v>
      </c>
      <c r="D48" s="217"/>
      <c r="E48" s="217">
        <v>13150000</v>
      </c>
      <c r="F48" s="217"/>
      <c r="G48" s="217"/>
      <c r="H48" s="217"/>
      <c r="I48" s="217"/>
      <c r="J48" s="217"/>
      <c r="K48" s="217"/>
      <c r="L48" s="217"/>
      <c r="M48" s="217"/>
      <c r="N48" s="217"/>
      <c r="O48" s="217"/>
      <c r="P48" s="217"/>
      <c r="Q48" s="217"/>
      <c r="R48" s="202"/>
      <c r="S48" s="202"/>
    </row>
    <row r="49" spans="2:19">
      <c r="B49" s="216"/>
      <c r="C49" s="216" t="s">
        <v>546</v>
      </c>
      <c r="D49" s="217"/>
      <c r="E49" s="217">
        <v>22033000</v>
      </c>
      <c r="F49" s="217"/>
      <c r="G49" s="217"/>
      <c r="H49" s="217"/>
      <c r="I49" s="217"/>
      <c r="J49" s="217"/>
      <c r="K49" s="217"/>
      <c r="L49" s="217"/>
      <c r="M49" s="217"/>
      <c r="N49" s="217"/>
      <c r="O49" s="217"/>
      <c r="P49" s="217">
        <f>E49</f>
        <v>22033000</v>
      </c>
      <c r="Q49" s="217"/>
      <c r="R49" s="202"/>
      <c r="S49" s="202"/>
    </row>
    <row r="50" spans="2:19">
      <c r="B50" s="216"/>
      <c r="C50" s="216" t="s">
        <v>206</v>
      </c>
      <c r="D50" s="217"/>
      <c r="E50" s="217"/>
      <c r="F50" s="217"/>
      <c r="G50" s="217"/>
      <c r="H50" s="217"/>
      <c r="I50" s="217"/>
      <c r="J50" s="217"/>
      <c r="K50" s="217"/>
      <c r="L50" s="217"/>
      <c r="M50" s="217"/>
      <c r="N50" s="217"/>
      <c r="O50" s="217"/>
      <c r="P50" s="217">
        <f>E48</f>
        <v>13150000</v>
      </c>
      <c r="Q50" s="217"/>
      <c r="R50" s="202"/>
      <c r="S50" s="202"/>
    </row>
    <row r="51" spans="2:19">
      <c r="B51" s="216"/>
      <c r="C51" s="216" t="s">
        <v>241</v>
      </c>
      <c r="D51" s="217">
        <f>E48+E49</f>
        <v>35183000</v>
      </c>
      <c r="E51" s="217"/>
      <c r="F51" s="217"/>
      <c r="G51" s="217"/>
      <c r="H51" s="217"/>
      <c r="I51" s="217"/>
      <c r="J51" s="217"/>
      <c r="K51" s="217"/>
      <c r="L51" s="217"/>
      <c r="M51" s="217"/>
      <c r="N51" s="217"/>
      <c r="O51" s="217"/>
      <c r="P51" s="217"/>
      <c r="Q51" s="217"/>
      <c r="R51" s="202"/>
      <c r="S51" s="202"/>
    </row>
    <row r="52" spans="2:19">
      <c r="B52" s="216"/>
      <c r="C52" s="216" t="s">
        <v>618</v>
      </c>
      <c r="D52" s="217"/>
      <c r="E52" s="217"/>
      <c r="F52" s="217"/>
      <c r="G52" s="217"/>
      <c r="H52" s="217"/>
      <c r="I52" s="217"/>
      <c r="J52" s="217"/>
      <c r="K52" s="217"/>
      <c r="L52" s="217"/>
      <c r="M52" s="217"/>
      <c r="N52" s="217"/>
      <c r="O52" s="217"/>
      <c r="P52" s="217"/>
      <c r="Q52" s="217">
        <f>P49+P50</f>
        <v>35183000</v>
      </c>
      <c r="R52" s="202"/>
      <c r="S52" s="202"/>
    </row>
    <row r="53" spans="2:19">
      <c r="B53" s="216"/>
      <c r="C53" s="216"/>
      <c r="D53" s="217"/>
      <c r="E53" s="217"/>
      <c r="F53" s="217"/>
      <c r="G53" s="217"/>
      <c r="H53" s="217"/>
      <c r="I53" s="217"/>
      <c r="J53" s="217"/>
      <c r="K53" s="217"/>
      <c r="L53" s="217"/>
      <c r="M53" s="217"/>
      <c r="N53" s="217"/>
      <c r="O53" s="217"/>
      <c r="P53" s="217"/>
      <c r="Q53" s="217"/>
      <c r="R53" s="202"/>
      <c r="S53" s="202"/>
    </row>
    <row r="54" spans="2:19">
      <c r="B54" s="216" t="s">
        <v>619</v>
      </c>
      <c r="C54" s="216"/>
      <c r="D54" s="217"/>
      <c r="E54" s="217"/>
      <c r="F54" s="217"/>
      <c r="G54" s="217"/>
      <c r="H54" s="217"/>
      <c r="I54" s="217"/>
      <c r="J54" s="217"/>
      <c r="K54" s="217"/>
      <c r="L54" s="217"/>
      <c r="M54" s="217"/>
      <c r="N54" s="217"/>
      <c r="O54" s="217"/>
      <c r="P54" s="217"/>
      <c r="Q54" s="217"/>
      <c r="R54" s="202"/>
      <c r="S54" s="202"/>
    </row>
    <row r="55" spans="2:19">
      <c r="B55" s="216" t="s">
        <v>620</v>
      </c>
      <c r="C55" s="216" t="s">
        <v>35</v>
      </c>
      <c r="D55" s="217"/>
      <c r="E55" s="217">
        <f>개별IS!C23</f>
        <v>1981952</v>
      </c>
      <c r="F55" s="217"/>
      <c r="G55" s="217">
        <f>개별IS!C68</f>
        <v>122614506</v>
      </c>
      <c r="H55" s="217"/>
      <c r="I55" s="217"/>
      <c r="J55" s="217"/>
      <c r="K55" s="217">
        <f>개별IS!C151</f>
        <v>83618544</v>
      </c>
      <c r="L55" s="217"/>
      <c r="M55" s="217">
        <f>개별IS!C193</f>
        <v>120959317</v>
      </c>
      <c r="N55" s="217"/>
      <c r="O55" s="217">
        <f>개별IS!C238</f>
        <v>66311519</v>
      </c>
      <c r="P55" s="217"/>
      <c r="Q55" s="217">
        <f>개별IS!C272</f>
        <v>156593</v>
      </c>
      <c r="R55" s="202"/>
      <c r="S55" s="202"/>
    </row>
    <row r="56" spans="2:19">
      <c r="B56" s="216"/>
      <c r="C56" s="216" t="s">
        <v>612</v>
      </c>
      <c r="D56" s="217">
        <f>SUMIF(개별BS!B4:B53,"*"&amp;C56,개별BS!C4:C53)</f>
        <v>946119</v>
      </c>
      <c r="E56" s="217"/>
      <c r="F56" s="217">
        <f>SUMIF(개별BS!B60:B111,"*"&amp;C56,개별BS!C60:C111)-F38</f>
        <v>111346022</v>
      </c>
      <c r="G56" s="217"/>
      <c r="H56" s="217"/>
      <c r="I56" s="217"/>
      <c r="J56" s="217">
        <f>SUMIF(개별BS!B156:B205,"*"&amp;C56,개별BS!C156:C205)-J38</f>
        <v>63665624</v>
      </c>
      <c r="K56" s="217"/>
      <c r="L56" s="217">
        <f>SUMIF(개별BS!B211:B261,"*"&amp;C56,개별BS!C211:C261)-L38</f>
        <v>98656249</v>
      </c>
      <c r="M56" s="217"/>
      <c r="N56" s="217">
        <f>SUMIF(개별BS!B267:B317,"*"&amp;C56,개별BS!C267:C317)-N38</f>
        <v>46374999</v>
      </c>
      <c r="O56" s="217"/>
      <c r="P56" s="217">
        <f>SUMIF(개별BS!B323:B367,"*"&amp;C56,개별BS!C323:C367)</f>
        <v>156593</v>
      </c>
      <c r="Q56" s="217"/>
      <c r="R56" s="202"/>
      <c r="S56" s="202"/>
    </row>
    <row r="57" spans="2:19">
      <c r="B57" s="216"/>
      <c r="C57" s="216" t="s">
        <v>613</v>
      </c>
      <c r="D57" s="217">
        <f>SUMIF(개별BS!B5:B54,"*"&amp;C57,개별BS!C5:C54)</f>
        <v>0</v>
      </c>
      <c r="E57" s="217"/>
      <c r="F57" s="217">
        <f>SUMIF(개별BS!B61:B112,"*"&amp;C57,개별BS!C61:C112)-F39</f>
        <v>10142575</v>
      </c>
      <c r="G57" s="217"/>
      <c r="H57" s="217"/>
      <c r="I57" s="217"/>
      <c r="J57" s="217">
        <f>SUMIF(개별BS!B157:B206,"*"&amp;C57,개별BS!C157:C206)-J39</f>
        <v>18562705</v>
      </c>
      <c r="K57" s="217"/>
      <c r="L57" s="217">
        <f>SUMIF(개별BS!B212:B262,"*"&amp;C57,개별BS!C212:C262)-L39</f>
        <v>22286402</v>
      </c>
      <c r="M57" s="217"/>
      <c r="N57" s="217">
        <f>SUMIF(개별BS!B268:B318,"*"&amp;C57,개별BS!C268:C318)-N39</f>
        <v>14384520</v>
      </c>
      <c r="O57" s="217"/>
      <c r="P57" s="217">
        <f>SUMIF(개별BS!B324:B368,"*"&amp;C57,개별BS!C324:C368)</f>
        <v>0</v>
      </c>
      <c r="Q57" s="217"/>
      <c r="R57" s="202"/>
      <c r="S57" s="202"/>
    </row>
    <row r="58" spans="2:19">
      <c r="B58" s="216"/>
      <c r="C58" s="216" t="s">
        <v>614</v>
      </c>
      <c r="D58" s="217">
        <f>SUMIF(개별BS!B6:B55,"*"&amp;C58,개별BS!C6:C55)</f>
        <v>1035833</v>
      </c>
      <c r="E58" s="217"/>
      <c r="F58" s="217">
        <f>SUMIF(개별BS!B62:B113,"*"&amp;C58,개별BS!C62:C113)-F40</f>
        <v>1125909</v>
      </c>
      <c r="G58" s="217"/>
      <c r="H58" s="217"/>
      <c r="I58" s="217"/>
      <c r="J58" s="217">
        <f>SUMIF(개별BS!B158:B207,"*"&amp;C58,개별BS!C158:C207)-J40</f>
        <v>1390215</v>
      </c>
      <c r="K58" s="217"/>
      <c r="L58" s="217">
        <f>SUMIF(개별BS!B213:B263,"*"&amp;C58,개별BS!C213:C263)-L40</f>
        <v>16666</v>
      </c>
      <c r="M58" s="217"/>
      <c r="N58" s="217">
        <f>SUMIF(개별BS!B269:B319,"*"&amp;C58,개별BS!C269:C319)-N40</f>
        <v>5552000</v>
      </c>
      <c r="O58" s="217"/>
      <c r="P58" s="217">
        <f>SUMIF(개별BS!B325:B369,"*"&amp;C58,개별BS!C325:C369)</f>
        <v>0</v>
      </c>
      <c r="Q58" s="217"/>
      <c r="R58" s="202"/>
      <c r="S58" s="202"/>
    </row>
    <row r="59" spans="2:19">
      <c r="B59" s="216"/>
      <c r="C59" s="216" t="s">
        <v>621</v>
      </c>
      <c r="D59" s="217"/>
      <c r="E59" s="217">
        <f>SUM(D55:D58)-SUM(E55:E58)</f>
        <v>0</v>
      </c>
      <c r="F59" s="217"/>
      <c r="G59" s="217">
        <f>SUM(F55:F58)-SUM(G55:G58)</f>
        <v>0</v>
      </c>
      <c r="H59" s="217"/>
      <c r="I59" s="217"/>
      <c r="J59" s="217"/>
      <c r="K59" s="217">
        <f>SUM(J55:J58)-SUM(K55:K58)</f>
        <v>0</v>
      </c>
      <c r="L59" s="217"/>
      <c r="M59" s="217">
        <f>SUM(L55:L58)-SUM(M55:M58)</f>
        <v>0</v>
      </c>
      <c r="N59" s="217"/>
      <c r="O59" s="217">
        <f>SUM(N55:N58)-SUM(O55:O58)</f>
        <v>0</v>
      </c>
      <c r="P59" s="217"/>
      <c r="Q59" s="217">
        <f>SUM(P55:P58)-SUM(Q55:Q58)</f>
        <v>0</v>
      </c>
      <c r="R59" s="202"/>
      <c r="S59" s="202"/>
    </row>
    <row r="60" spans="2:19">
      <c r="B60" s="216"/>
      <c r="C60" s="216"/>
      <c r="D60" s="217"/>
      <c r="E60" s="217"/>
      <c r="F60" s="217"/>
      <c r="G60" s="217"/>
      <c r="H60" s="217"/>
      <c r="I60" s="217"/>
      <c r="J60" s="217"/>
      <c r="K60" s="217"/>
      <c r="L60" s="217"/>
      <c r="M60" s="217"/>
      <c r="N60" s="217"/>
      <c r="O60" s="217"/>
      <c r="P60" s="217"/>
      <c r="Q60" s="217"/>
      <c r="R60" s="202"/>
      <c r="S60" s="202"/>
    </row>
    <row r="61" spans="2:19">
      <c r="B61" s="216"/>
      <c r="C61" s="216" t="s">
        <v>622</v>
      </c>
      <c r="D61" s="217"/>
      <c r="E61" s="217"/>
      <c r="F61" s="217"/>
      <c r="G61" s="217"/>
      <c r="H61" s="217"/>
      <c r="I61" s="217"/>
      <c r="J61" s="217"/>
      <c r="K61" s="217">
        <f>개별IS!C158</f>
        <v>37131937</v>
      </c>
      <c r="L61" s="217"/>
      <c r="M61" s="217">
        <f>개별IS!C203</f>
        <v>61256145</v>
      </c>
      <c r="N61" s="217"/>
      <c r="O61" s="217">
        <f>개별IS!C244</f>
        <v>31872262</v>
      </c>
      <c r="P61" s="217"/>
      <c r="Q61" s="217"/>
      <c r="R61" s="202"/>
      <c r="S61" s="202"/>
    </row>
    <row r="62" spans="2:19">
      <c r="B62" s="216"/>
      <c r="C62" s="216" t="s">
        <v>606</v>
      </c>
      <c r="D62" s="217"/>
      <c r="E62" s="217"/>
      <c r="F62" s="217"/>
      <c r="G62" s="217"/>
      <c r="H62" s="217"/>
      <c r="I62" s="217"/>
      <c r="J62" s="217"/>
      <c r="K62" s="217">
        <f>개별BS!D178</f>
        <v>228096188</v>
      </c>
      <c r="L62" s="217"/>
      <c r="M62" s="217">
        <f>개별BS!D233</f>
        <v>423307397</v>
      </c>
      <c r="N62" s="217"/>
      <c r="O62" s="217">
        <f>개별BS!D289</f>
        <v>266287613</v>
      </c>
      <c r="P62" s="217"/>
      <c r="Q62" s="217"/>
      <c r="R62" s="202"/>
      <c r="S62" s="202"/>
    </row>
    <row r="63" spans="2:19">
      <c r="B63" s="216"/>
      <c r="C63" s="216" t="s">
        <v>621</v>
      </c>
      <c r="D63" s="217"/>
      <c r="E63" s="217"/>
      <c r="F63" s="217"/>
      <c r="G63" s="217"/>
      <c r="H63" s="217"/>
      <c r="I63" s="217"/>
      <c r="J63" s="217"/>
      <c r="K63" s="217">
        <f>SUM(J61:J62)-SUM(K61:K62)</f>
        <v>-265228125</v>
      </c>
      <c r="L63" s="217"/>
      <c r="M63" s="217">
        <f>SUM(L61:L62)-SUM(M61:M62)</f>
        <v>-484563542</v>
      </c>
      <c r="N63" s="217"/>
      <c r="O63" s="217">
        <f>SUM(N61:N62)-SUM(O61:O62)</f>
        <v>-298159875</v>
      </c>
      <c r="P63" s="217"/>
      <c r="Q63" s="217"/>
      <c r="R63" s="202"/>
      <c r="S63" s="202"/>
    </row>
    <row r="64" spans="2:19">
      <c r="B64" s="216"/>
      <c r="C64" s="216"/>
      <c r="D64" s="217"/>
      <c r="E64" s="217"/>
      <c r="F64" s="217"/>
      <c r="G64" s="217"/>
      <c r="H64" s="217"/>
      <c r="I64" s="217"/>
      <c r="J64" s="217"/>
      <c r="K64" s="217"/>
      <c r="L64" s="217"/>
      <c r="M64" s="217"/>
      <c r="N64" s="217"/>
      <c r="O64" s="217"/>
      <c r="P64" s="217"/>
      <c r="Q64" s="217"/>
      <c r="R64" s="202"/>
      <c r="S64" s="202"/>
    </row>
    <row r="65" spans="2:19">
      <c r="B65" s="216"/>
      <c r="C65" s="216"/>
      <c r="D65" s="217"/>
      <c r="E65" s="217"/>
      <c r="F65" s="217"/>
      <c r="G65" s="217"/>
      <c r="H65" s="217"/>
      <c r="I65" s="217"/>
      <c r="J65" s="217"/>
      <c r="K65" s="217"/>
      <c r="L65" s="217"/>
      <c r="M65" s="217"/>
      <c r="N65" s="217"/>
      <c r="O65" s="217"/>
      <c r="P65" s="217"/>
      <c r="Q65" s="217"/>
      <c r="R65" s="202"/>
      <c r="S65" s="202"/>
    </row>
    <row r="66" spans="2:19">
      <c r="B66" s="216" t="s">
        <v>615</v>
      </c>
      <c r="C66" s="216" t="s">
        <v>35</v>
      </c>
      <c r="D66" s="217"/>
      <c r="E66" s="217"/>
      <c r="F66" s="217">
        <v>122614509</v>
      </c>
      <c r="G66" s="217"/>
      <c r="H66" s="217"/>
      <c r="I66" s="217"/>
      <c r="J66" s="217">
        <v>84452679</v>
      </c>
      <c r="K66" s="217"/>
      <c r="L66" s="217">
        <v>120959322</v>
      </c>
      <c r="M66" s="217"/>
      <c r="N66" s="217">
        <v>66311524</v>
      </c>
      <c r="O66" s="217"/>
      <c r="P66" s="217">
        <f>117917+1398427</f>
        <v>1516344</v>
      </c>
      <c r="Q66" s="217"/>
      <c r="R66" s="202"/>
      <c r="S66" s="202"/>
    </row>
    <row r="67" spans="2:19">
      <c r="B67" s="216"/>
      <c r="C67" s="216" t="s">
        <v>612</v>
      </c>
      <c r="D67" s="217"/>
      <c r="E67" s="217"/>
      <c r="F67" s="217"/>
      <c r="G67" s="217">
        <v>111346023</v>
      </c>
      <c r="H67" s="217"/>
      <c r="I67" s="217"/>
      <c r="J67" s="217"/>
      <c r="K67" s="217">
        <v>63665625</v>
      </c>
      <c r="L67" s="217"/>
      <c r="M67" s="217">
        <v>98656250</v>
      </c>
      <c r="N67" s="217"/>
      <c r="O67" s="217">
        <v>46375001</v>
      </c>
      <c r="P67" s="217"/>
      <c r="Q67" s="217">
        <f>117917+751031</f>
        <v>868948</v>
      </c>
      <c r="R67" s="202"/>
      <c r="S67" s="202"/>
    </row>
    <row r="68" spans="2:19">
      <c r="B68" s="216"/>
      <c r="C68" s="216" t="s">
        <v>613</v>
      </c>
      <c r="D68" s="217"/>
      <c r="E68" s="217"/>
      <c r="F68" s="217"/>
      <c r="G68" s="217">
        <v>10142577</v>
      </c>
      <c r="H68" s="217"/>
      <c r="I68" s="217"/>
      <c r="J68" s="217"/>
      <c r="K68" s="217">
        <v>18562709</v>
      </c>
      <c r="L68" s="217"/>
      <c r="M68" s="217">
        <v>22286405</v>
      </c>
      <c r="N68" s="217"/>
      <c r="O68" s="217">
        <v>14384523</v>
      </c>
      <c r="P68" s="217"/>
      <c r="Q68" s="217">
        <v>647396</v>
      </c>
      <c r="R68" s="202"/>
      <c r="S68" s="202"/>
    </row>
    <row r="69" spans="2:19">
      <c r="B69" s="216"/>
      <c r="C69" s="216" t="s">
        <v>614</v>
      </c>
      <c r="D69" s="217"/>
      <c r="E69" s="217"/>
      <c r="F69" s="217"/>
      <c r="G69" s="217">
        <v>1125909</v>
      </c>
      <c r="H69" s="217"/>
      <c r="I69" s="217"/>
      <c r="J69" s="217"/>
      <c r="K69" s="217">
        <v>2224345</v>
      </c>
      <c r="L69" s="217"/>
      <c r="M69" s="217">
        <v>16667</v>
      </c>
      <c r="N69" s="217"/>
      <c r="O69" s="217">
        <v>5552000</v>
      </c>
      <c r="P69" s="217"/>
      <c r="Q69" s="217"/>
      <c r="R69" s="202"/>
      <c r="S69" s="202"/>
    </row>
    <row r="70" spans="2:19">
      <c r="B70" s="216"/>
      <c r="C70" s="216" t="s">
        <v>621</v>
      </c>
      <c r="D70" s="217"/>
      <c r="E70" s="217">
        <f>SUM(D66:D69)-SUM(E66:E69)</f>
        <v>0</v>
      </c>
      <c r="F70" s="217"/>
      <c r="G70" s="217">
        <f>SUM(F66:F69)-SUM(G66:G69)</f>
        <v>0</v>
      </c>
      <c r="H70" s="217"/>
      <c r="I70" s="217"/>
      <c r="J70" s="217"/>
      <c r="K70" s="217">
        <f>SUM(J66:J69)-SUM(K66:K69)</f>
        <v>0</v>
      </c>
      <c r="L70" s="217"/>
      <c r="M70" s="217">
        <f>SUM(L66:L69)-SUM(M66:M69)</f>
        <v>0</v>
      </c>
      <c r="N70" s="217"/>
      <c r="O70" s="217">
        <f>SUM(N66:N69)-SUM(O66:O69)</f>
        <v>0</v>
      </c>
      <c r="P70" s="217"/>
      <c r="Q70" s="217"/>
      <c r="R70" s="202"/>
      <c r="S70" s="202"/>
    </row>
    <row r="71" spans="2:19">
      <c r="B71" s="216"/>
      <c r="C71" s="216"/>
      <c r="D71" s="217"/>
      <c r="E71" s="217"/>
      <c r="F71" s="217"/>
      <c r="G71" s="217"/>
      <c r="H71" s="217"/>
      <c r="I71" s="217"/>
      <c r="J71" s="217"/>
      <c r="K71" s="217"/>
      <c r="L71" s="217"/>
      <c r="M71" s="217"/>
      <c r="N71" s="217"/>
      <c r="O71" s="217"/>
      <c r="P71" s="217"/>
      <c r="Q71" s="217"/>
      <c r="R71" s="202"/>
      <c r="S71" s="202"/>
    </row>
    <row r="72" spans="2:19">
      <c r="B72" s="216"/>
      <c r="C72" s="216" t="s">
        <v>622</v>
      </c>
      <c r="D72" s="217">
        <v>28677083</v>
      </c>
      <c r="E72" s="217"/>
      <c r="F72" s="217"/>
      <c r="G72" s="217"/>
      <c r="H72" s="217"/>
      <c r="I72" s="217"/>
      <c r="J72" s="217">
        <v>31827375</v>
      </c>
      <c r="K72" s="217"/>
      <c r="L72" s="217">
        <v>54856250</v>
      </c>
      <c r="M72" s="217"/>
      <c r="N72" s="217">
        <v>30844125</v>
      </c>
      <c r="O72" s="217"/>
      <c r="P72" s="217"/>
      <c r="Q72" s="217"/>
      <c r="R72" s="202"/>
      <c r="S72" s="202"/>
    </row>
    <row r="73" spans="2:19">
      <c r="B73" s="216"/>
      <c r="C73" s="216" t="s">
        <v>606</v>
      </c>
      <c r="D73" s="217"/>
      <c r="E73" s="217">
        <f>D72</f>
        <v>28677083</v>
      </c>
      <c r="F73" s="217"/>
      <c r="G73" s="217"/>
      <c r="H73" s="217"/>
      <c r="I73" s="217"/>
      <c r="J73" s="217">
        <v>233400750</v>
      </c>
      <c r="K73" s="217"/>
      <c r="L73" s="217">
        <v>429707292</v>
      </c>
      <c r="M73" s="217"/>
      <c r="N73" s="217">
        <v>267315750</v>
      </c>
      <c r="O73" s="217"/>
      <c r="P73" s="217"/>
      <c r="Q73" s="217"/>
      <c r="R73" s="202"/>
      <c r="S73" s="202"/>
    </row>
    <row r="74" spans="2:19">
      <c r="B74" s="216"/>
      <c r="C74" s="216" t="s">
        <v>621</v>
      </c>
      <c r="D74" s="217"/>
      <c r="E74" s="217">
        <f>SUM(D72:D73)-SUM(E72:E73)</f>
        <v>0</v>
      </c>
      <c r="F74" s="217"/>
      <c r="G74" s="217"/>
      <c r="H74" s="217"/>
      <c r="I74" s="217"/>
      <c r="J74" s="217"/>
      <c r="K74" s="217">
        <f>SUM(J72:J73)-SUM(K72:K73)</f>
        <v>265228125</v>
      </c>
      <c r="L74" s="217"/>
      <c r="M74" s="217">
        <f>SUM(L72:L73)-SUM(M72:M73)</f>
        <v>484563542</v>
      </c>
      <c r="N74" s="217"/>
      <c r="O74" s="217">
        <f>SUM(N72:N73)-SUM(O72:O73)</f>
        <v>298159875</v>
      </c>
      <c r="P74" s="217"/>
      <c r="Q74" s="217"/>
      <c r="R74" s="202"/>
      <c r="S74" s="202"/>
    </row>
    <row r="75" spans="2:19">
      <c r="B75" s="216"/>
      <c r="C75" s="216"/>
      <c r="D75" s="217"/>
      <c r="E75" s="217"/>
      <c r="F75" s="217"/>
      <c r="G75" s="217"/>
      <c r="H75" s="217"/>
      <c r="I75" s="217"/>
      <c r="J75" s="217"/>
      <c r="K75" s="217"/>
      <c r="L75" s="217"/>
      <c r="M75" s="217"/>
      <c r="N75" s="217"/>
      <c r="O75" s="217"/>
      <c r="P75" s="217"/>
      <c r="Q75" s="217"/>
      <c r="R75" s="202"/>
      <c r="S75" s="202"/>
    </row>
    <row r="76" spans="2:19">
      <c r="B76" s="216" t="s">
        <v>623</v>
      </c>
      <c r="C76" s="216" t="s">
        <v>234</v>
      </c>
      <c r="D76" s="217">
        <v>1693117</v>
      </c>
      <c r="E76" s="217"/>
      <c r="F76" s="217"/>
      <c r="G76" s="217"/>
      <c r="H76" s="217"/>
      <c r="I76" s="217"/>
      <c r="J76" s="217"/>
      <c r="K76" s="217"/>
      <c r="L76" s="217"/>
      <c r="M76" s="217"/>
      <c r="N76" s="217"/>
      <c r="O76" s="217"/>
      <c r="P76" s="217"/>
      <c r="Q76" s="217"/>
      <c r="R76" s="202"/>
      <c r="S76" s="202"/>
    </row>
    <row r="77" spans="2:19">
      <c r="B77" s="216"/>
      <c r="C77" s="216" t="s">
        <v>235</v>
      </c>
      <c r="D77" s="217"/>
      <c r="E77" s="217"/>
      <c r="F77" s="217"/>
      <c r="G77" s="217"/>
      <c r="H77" s="217"/>
      <c r="I77" s="217"/>
      <c r="J77" s="217"/>
      <c r="K77" s="217"/>
      <c r="L77" s="217"/>
      <c r="M77" s="217"/>
      <c r="N77" s="217"/>
      <c r="O77" s="217"/>
      <c r="P77" s="217">
        <v>10000</v>
      </c>
      <c r="Q77" s="217"/>
      <c r="R77" s="202"/>
      <c r="S77" s="202"/>
    </row>
    <row r="78" spans="2:19">
      <c r="B78" s="216"/>
      <c r="C78" s="216" t="s">
        <v>108</v>
      </c>
      <c r="D78" s="217"/>
      <c r="E78" s="217">
        <f>D76</f>
        <v>1693117</v>
      </c>
      <c r="F78" s="217"/>
      <c r="G78" s="217"/>
      <c r="H78" s="217"/>
      <c r="I78" s="217"/>
      <c r="J78" s="217"/>
      <c r="K78" s="217"/>
      <c r="L78" s="217"/>
      <c r="M78" s="217"/>
      <c r="N78" s="217"/>
      <c r="O78" s="217"/>
      <c r="P78" s="217"/>
      <c r="Q78" s="217">
        <f>P77</f>
        <v>10000</v>
      </c>
      <c r="R78" s="202"/>
      <c r="S78" s="202"/>
    </row>
    <row r="79" spans="2:19">
      <c r="B79" s="216"/>
      <c r="C79" s="216"/>
      <c r="D79" s="217"/>
      <c r="E79" s="217"/>
      <c r="F79" s="217"/>
      <c r="G79" s="217"/>
      <c r="H79" s="217"/>
      <c r="I79" s="217"/>
      <c r="J79" s="217"/>
      <c r="K79" s="217"/>
      <c r="L79" s="217"/>
      <c r="M79" s="217"/>
      <c r="N79" s="217"/>
      <c r="O79" s="217"/>
      <c r="P79" s="217"/>
      <c r="Q79" s="217"/>
      <c r="R79" s="202"/>
      <c r="S79" s="202"/>
    </row>
    <row r="80" spans="2:19">
      <c r="B80" s="216" t="s">
        <v>624</v>
      </c>
      <c r="C80" s="216" t="s">
        <v>625</v>
      </c>
      <c r="D80" s="217">
        <v>61359066</v>
      </c>
      <c r="E80" s="217"/>
      <c r="F80" s="217">
        <v>79026617</v>
      </c>
      <c r="G80" s="217"/>
      <c r="H80" s="217">
        <v>791210</v>
      </c>
      <c r="I80" s="217"/>
      <c r="J80" s="217">
        <v>48050857</v>
      </c>
      <c r="K80" s="217"/>
      <c r="L80" s="217">
        <v>69763947</v>
      </c>
      <c r="M80" s="217"/>
      <c r="N80" s="217">
        <v>57386662</v>
      </c>
      <c r="O80" s="217"/>
      <c r="P80" s="217">
        <v>5977610</v>
      </c>
      <c r="Q80" s="217"/>
      <c r="R80" s="202"/>
      <c r="S80" s="202"/>
    </row>
    <row r="81" spans="2:19">
      <c r="B81" s="216"/>
      <c r="C81" s="216" t="s">
        <v>108</v>
      </c>
      <c r="D81" s="217"/>
      <c r="E81" s="217">
        <f>D80</f>
        <v>61359066</v>
      </c>
      <c r="F81" s="217"/>
      <c r="G81" s="217">
        <f>F80</f>
        <v>79026617</v>
      </c>
      <c r="H81" s="217"/>
      <c r="I81" s="217">
        <f>H80</f>
        <v>791210</v>
      </c>
      <c r="J81" s="217"/>
      <c r="K81" s="217">
        <f>J80</f>
        <v>48050857</v>
      </c>
      <c r="L81" s="217"/>
      <c r="M81" s="217">
        <f>L80</f>
        <v>69763947</v>
      </c>
      <c r="N81" s="217"/>
      <c r="O81" s="217">
        <f>N80</f>
        <v>57386662</v>
      </c>
      <c r="P81" s="217"/>
      <c r="Q81" s="217">
        <f>P80</f>
        <v>5977610</v>
      </c>
      <c r="R81" s="202"/>
      <c r="S81" s="202"/>
    </row>
    <row r="82" spans="2:19">
      <c r="B82" s="216"/>
      <c r="C82" s="216"/>
      <c r="D82" s="217"/>
      <c r="E82" s="217"/>
      <c r="F82" s="217"/>
      <c r="G82" s="217"/>
      <c r="H82" s="217"/>
      <c r="I82" s="217"/>
      <c r="J82" s="217"/>
      <c r="K82" s="217"/>
      <c r="L82" s="217"/>
      <c r="M82" s="217"/>
      <c r="N82" s="217"/>
      <c r="O82" s="217"/>
      <c r="P82" s="217"/>
      <c r="Q82" s="217"/>
      <c r="R82" s="202"/>
      <c r="S82" s="202"/>
    </row>
    <row r="83" spans="2:19">
      <c r="B83" s="216" t="s">
        <v>626</v>
      </c>
      <c r="C83" s="216" t="s">
        <v>627</v>
      </c>
      <c r="D83" s="217"/>
      <c r="E83" s="217">
        <v>20745886</v>
      </c>
      <c r="F83" s="217"/>
      <c r="G83" s="217"/>
      <c r="H83" s="217"/>
      <c r="I83" s="217"/>
      <c r="J83" s="217"/>
      <c r="K83" s="217"/>
      <c r="L83" s="217"/>
      <c r="M83" s="217"/>
      <c r="N83" s="217"/>
      <c r="O83" s="217"/>
      <c r="P83" s="217"/>
      <c r="Q83" s="217"/>
      <c r="R83" s="202"/>
      <c r="S83" s="202"/>
    </row>
    <row r="84" spans="2:19">
      <c r="B84" s="216"/>
      <c r="C84" s="216" t="s">
        <v>628</v>
      </c>
      <c r="D84" s="217">
        <v>20745886</v>
      </c>
      <c r="E84" s="217"/>
      <c r="F84" s="217"/>
      <c r="G84" s="217"/>
      <c r="H84" s="217"/>
      <c r="I84" s="217"/>
      <c r="J84" s="217"/>
      <c r="K84" s="217"/>
      <c r="L84" s="217"/>
      <c r="M84" s="217"/>
      <c r="N84" s="217"/>
      <c r="O84" s="217"/>
      <c r="P84" s="217"/>
      <c r="Q84" s="217"/>
      <c r="R84" s="202"/>
      <c r="S84" s="202"/>
    </row>
    <row r="85" spans="2:19">
      <c r="B85" s="216"/>
      <c r="C85" s="216"/>
      <c r="D85" s="217"/>
      <c r="E85" s="217"/>
      <c r="F85" s="217"/>
      <c r="G85" s="217"/>
      <c r="H85" s="217"/>
      <c r="I85" s="217"/>
      <c r="J85" s="217"/>
      <c r="K85" s="217"/>
      <c r="L85" s="217"/>
      <c r="M85" s="217"/>
      <c r="N85" s="217"/>
      <c r="O85" s="217"/>
      <c r="P85" s="217"/>
      <c r="Q85" s="217"/>
      <c r="R85" s="202"/>
      <c r="S85" s="202"/>
    </row>
    <row r="86" spans="2:19">
      <c r="B86" s="216" t="s">
        <v>629</v>
      </c>
      <c r="C86" s="216" t="s">
        <v>234</v>
      </c>
      <c r="D86" s="217"/>
      <c r="E86" s="217">
        <v>93500</v>
      </c>
      <c r="F86" s="217"/>
      <c r="G86" s="217"/>
      <c r="H86" s="217"/>
      <c r="I86" s="217"/>
      <c r="J86" s="217"/>
      <c r="K86" s="217"/>
      <c r="L86" s="217"/>
      <c r="M86" s="217"/>
      <c r="N86" s="217"/>
      <c r="O86" s="217"/>
      <c r="P86" s="217"/>
      <c r="Q86" s="217"/>
      <c r="R86" s="202"/>
      <c r="S86" s="202"/>
    </row>
    <row r="87" spans="2:19">
      <c r="B87" s="216"/>
      <c r="C87" s="216" t="s">
        <v>108</v>
      </c>
      <c r="D87" s="217">
        <v>93500</v>
      </c>
      <c r="E87" s="217"/>
      <c r="F87" s="217"/>
      <c r="G87" s="217"/>
      <c r="H87" s="217"/>
      <c r="I87" s="217"/>
      <c r="J87" s="217"/>
      <c r="K87" s="217"/>
      <c r="L87" s="217"/>
      <c r="M87" s="217"/>
      <c r="N87" s="217"/>
      <c r="O87" s="217"/>
      <c r="P87" s="217"/>
      <c r="Q87" s="217"/>
      <c r="R87" s="202"/>
      <c r="S87" s="202"/>
    </row>
    <row r="88" spans="2:19">
      <c r="B88" s="216"/>
      <c r="C88" s="216"/>
      <c r="D88" s="217"/>
      <c r="E88" s="217"/>
      <c r="F88" s="217"/>
      <c r="G88" s="217"/>
      <c r="H88" s="217"/>
      <c r="I88" s="217"/>
      <c r="J88" s="217"/>
      <c r="K88" s="217"/>
      <c r="L88" s="217"/>
      <c r="M88" s="217"/>
      <c r="N88" s="217"/>
      <c r="O88" s="217"/>
      <c r="P88" s="217"/>
      <c r="Q88" s="217"/>
      <c r="R88" s="202"/>
      <c r="S88" s="202"/>
    </row>
    <row r="89" spans="2:19">
      <c r="B89" s="216" t="s">
        <v>630</v>
      </c>
      <c r="C89" s="216" t="s">
        <v>631</v>
      </c>
      <c r="D89" s="217"/>
      <c r="E89" s="217">
        <v>10309830</v>
      </c>
      <c r="F89" s="217"/>
      <c r="G89" s="217">
        <v>17512880</v>
      </c>
      <c r="H89" s="217"/>
      <c r="I89" s="217">
        <v>6720590</v>
      </c>
      <c r="J89" s="217"/>
      <c r="K89" s="217">
        <v>13107130</v>
      </c>
      <c r="L89" s="217"/>
      <c r="M89" s="217">
        <v>22002020</v>
      </c>
      <c r="N89" s="217"/>
      <c r="O89" s="217">
        <v>12920330</v>
      </c>
      <c r="P89" s="217"/>
      <c r="Q89" s="217"/>
      <c r="R89" s="202"/>
      <c r="S89" s="202"/>
    </row>
    <row r="90" spans="2:19">
      <c r="B90" s="216"/>
      <c r="C90" s="216" t="s">
        <v>632</v>
      </c>
      <c r="D90" s="217"/>
      <c r="E90" s="217">
        <v>10826470</v>
      </c>
      <c r="F90" s="217"/>
      <c r="G90" s="217">
        <v>13935290</v>
      </c>
      <c r="H90" s="217"/>
      <c r="I90" s="217">
        <v>5158120</v>
      </c>
      <c r="J90" s="217"/>
      <c r="K90" s="217">
        <v>10792430</v>
      </c>
      <c r="L90" s="217"/>
      <c r="M90" s="217">
        <v>16516830</v>
      </c>
      <c r="N90" s="217"/>
      <c r="O90" s="217">
        <v>12157460</v>
      </c>
      <c r="P90" s="217"/>
      <c r="Q90" s="217"/>
      <c r="R90" s="202"/>
      <c r="S90" s="202"/>
    </row>
    <row r="91" spans="2:19">
      <c r="B91" s="216"/>
      <c r="C91" s="216" t="s">
        <v>233</v>
      </c>
      <c r="D91" s="217">
        <f>SUM(E89:E90)</f>
        <v>21136300</v>
      </c>
      <c r="E91" s="217"/>
      <c r="F91" s="217">
        <f>SUM(G89:G90)</f>
        <v>31448170</v>
      </c>
      <c r="G91" s="217"/>
      <c r="H91" s="217">
        <f>SUM(I89:I90)</f>
        <v>11878710</v>
      </c>
      <c r="I91" s="217"/>
      <c r="J91" s="217">
        <f>SUM(K89:K90)</f>
        <v>23899560</v>
      </c>
      <c r="K91" s="217"/>
      <c r="L91" s="217">
        <f>SUM(M89:M90)</f>
        <v>38518850</v>
      </c>
      <c r="M91" s="217"/>
      <c r="N91" s="217">
        <f>SUM(O89:O90)</f>
        <v>25077790</v>
      </c>
      <c r="O91" s="217"/>
      <c r="P91" s="217"/>
      <c r="Q91" s="217"/>
      <c r="R91" s="202"/>
      <c r="S91" s="202"/>
    </row>
    <row r="92" spans="2:19">
      <c r="B92" s="216"/>
      <c r="C92" s="216"/>
      <c r="D92" s="217"/>
      <c r="E92" s="217"/>
      <c r="F92" s="217"/>
      <c r="G92" s="217"/>
      <c r="H92" s="217"/>
      <c r="I92" s="217"/>
      <c r="J92" s="217"/>
      <c r="K92" s="217"/>
      <c r="L92" s="217"/>
      <c r="M92" s="217"/>
      <c r="N92" s="217"/>
      <c r="O92" s="217"/>
      <c r="P92" s="217"/>
      <c r="Q92" s="217"/>
      <c r="R92" s="202"/>
      <c r="S92" s="202"/>
    </row>
    <row r="93" spans="2:19">
      <c r="B93" s="216" t="s">
        <v>633</v>
      </c>
      <c r="C93" s="216" t="s">
        <v>634</v>
      </c>
      <c r="D93" s="217">
        <v>12332150</v>
      </c>
      <c r="E93" s="217"/>
      <c r="F93" s="217">
        <v>253117456</v>
      </c>
      <c r="G93" s="217"/>
      <c r="H93" s="217"/>
      <c r="I93" s="217"/>
      <c r="J93" s="217">
        <v>102179192</v>
      </c>
      <c r="K93" s="217"/>
      <c r="L93" s="217">
        <v>172601828</v>
      </c>
      <c r="M93" s="217"/>
      <c r="N93" s="217">
        <v>101519747</v>
      </c>
      <c r="O93" s="217"/>
      <c r="P93" s="217">
        <v>16974390</v>
      </c>
      <c r="Q93" s="217"/>
      <c r="R93" s="202"/>
      <c r="S93" s="202"/>
    </row>
    <row r="94" spans="2:19">
      <c r="B94" s="216"/>
      <c r="C94" s="216" t="s">
        <v>635</v>
      </c>
      <c r="D94" s="217"/>
      <c r="E94" s="217">
        <v>10165142</v>
      </c>
      <c r="F94" s="217"/>
      <c r="G94" s="217"/>
      <c r="H94" s="217"/>
      <c r="I94" s="217"/>
      <c r="J94" s="217"/>
      <c r="K94" s="217"/>
      <c r="L94" s="217"/>
      <c r="M94" s="217"/>
      <c r="N94" s="217"/>
      <c r="O94" s="217"/>
      <c r="P94" s="217"/>
      <c r="Q94" s="217"/>
      <c r="R94" s="202"/>
      <c r="S94" s="202"/>
    </row>
    <row r="95" spans="2:19">
      <c r="B95" s="216"/>
      <c r="C95" s="216" t="s">
        <v>636</v>
      </c>
      <c r="D95" s="217"/>
      <c r="E95" s="217">
        <v>2167008</v>
      </c>
      <c r="F95" s="217"/>
      <c r="G95" s="217">
        <v>114687153</v>
      </c>
      <c r="H95" s="217"/>
      <c r="I95" s="217"/>
      <c r="J95" s="217"/>
      <c r="K95" s="217"/>
      <c r="L95" s="217"/>
      <c r="M95" s="217">
        <v>38499449</v>
      </c>
      <c r="N95" s="217"/>
      <c r="O95" s="217">
        <v>7104047</v>
      </c>
      <c r="P95" s="217"/>
      <c r="Q95" s="217">
        <v>5177585</v>
      </c>
      <c r="R95" s="202"/>
      <c r="S95" s="202"/>
    </row>
    <row r="96" spans="2:19">
      <c r="B96" s="216"/>
      <c r="C96" s="216" t="s">
        <v>243</v>
      </c>
      <c r="D96" s="217"/>
      <c r="E96" s="217"/>
      <c r="F96" s="217"/>
      <c r="G96" s="217">
        <v>138430303</v>
      </c>
      <c r="H96" s="217"/>
      <c r="I96" s="217"/>
      <c r="J96" s="217"/>
      <c r="K96" s="217">
        <f>J93</f>
        <v>102179192</v>
      </c>
      <c r="L96" s="217"/>
      <c r="M96" s="217">
        <v>134102379</v>
      </c>
      <c r="N96" s="217"/>
      <c r="O96" s="217">
        <v>94415700</v>
      </c>
      <c r="P96" s="217"/>
      <c r="Q96" s="217">
        <v>11796805</v>
      </c>
      <c r="R96" s="202"/>
      <c r="S96" s="202"/>
    </row>
    <row r="97" spans="2:19">
      <c r="B97" s="216"/>
      <c r="C97" s="216"/>
      <c r="D97" s="217"/>
      <c r="E97" s="217"/>
      <c r="F97" s="217"/>
      <c r="G97" s="217"/>
      <c r="H97" s="217"/>
      <c r="I97" s="217"/>
      <c r="J97" s="217"/>
      <c r="K97" s="217"/>
      <c r="L97" s="217"/>
      <c r="M97" s="217"/>
      <c r="N97" s="217"/>
      <c r="O97" s="217"/>
      <c r="P97" s="217"/>
      <c r="Q97" s="217"/>
      <c r="R97" s="202"/>
      <c r="S97" s="202"/>
    </row>
    <row r="98" spans="2:19">
      <c r="B98" s="216" t="s">
        <v>637</v>
      </c>
      <c r="C98" s="216" t="s">
        <v>635</v>
      </c>
      <c r="D98" s="217">
        <v>818290</v>
      </c>
      <c r="E98" s="217"/>
      <c r="F98" s="217"/>
      <c r="G98" s="217"/>
      <c r="H98" s="217"/>
      <c r="I98" s="217"/>
      <c r="J98" s="217"/>
      <c r="K98" s="217"/>
      <c r="L98" s="217"/>
      <c r="M98" s="217"/>
      <c r="N98" s="217"/>
      <c r="O98" s="217"/>
      <c r="P98" s="217"/>
      <c r="Q98" s="217"/>
      <c r="R98" s="202"/>
      <c r="S98" s="202"/>
    </row>
    <row r="99" spans="2:19">
      <c r="B99" s="216"/>
      <c r="C99" s="216" t="s">
        <v>375</v>
      </c>
      <c r="D99" s="217">
        <v>63710</v>
      </c>
      <c r="E99" s="217"/>
      <c r="F99" s="217"/>
      <c r="G99" s="217"/>
      <c r="H99" s="217"/>
      <c r="I99" s="217"/>
      <c r="J99" s="217"/>
      <c r="K99" s="217"/>
      <c r="L99" s="217"/>
      <c r="M99" s="217"/>
      <c r="N99" s="217"/>
      <c r="O99" s="217"/>
      <c r="P99" s="217"/>
      <c r="Q99" s="217"/>
      <c r="R99" s="202"/>
      <c r="S99" s="202"/>
    </row>
    <row r="100" spans="2:19">
      <c r="B100" s="216"/>
      <c r="C100" s="216" t="s">
        <v>527</v>
      </c>
      <c r="D100" s="217">
        <v>-882000</v>
      </c>
      <c r="E100" s="217"/>
      <c r="F100" s="217"/>
      <c r="G100" s="217"/>
      <c r="H100" s="217"/>
      <c r="I100" s="217"/>
      <c r="J100" s="217"/>
      <c r="K100" s="217"/>
      <c r="L100" s="217"/>
      <c r="M100" s="217"/>
      <c r="N100" s="217"/>
      <c r="O100" s="217"/>
      <c r="P100" s="217"/>
      <c r="Q100" s="217"/>
      <c r="R100" s="202"/>
      <c r="S100" s="202"/>
    </row>
    <row r="101" spans="2:19">
      <c r="B101" s="216"/>
      <c r="C101" s="216" t="s">
        <v>638</v>
      </c>
      <c r="D101" s="217">
        <v>0</v>
      </c>
      <c r="E101" s="217"/>
      <c r="F101" s="217">
        <v>7376390</v>
      </c>
      <c r="G101" s="217"/>
      <c r="H101" s="217"/>
      <c r="I101" s="217"/>
      <c r="J101" s="217">
        <v>5524762</v>
      </c>
      <c r="K101" s="217"/>
      <c r="L101" s="217">
        <v>7250829</v>
      </c>
      <c r="M101" s="217"/>
      <c r="N101" s="217">
        <v>5104995</v>
      </c>
      <c r="O101" s="217"/>
      <c r="P101" s="217">
        <v>187721</v>
      </c>
      <c r="Q101" s="217"/>
      <c r="R101" s="202"/>
      <c r="S101" s="202"/>
    </row>
    <row r="102" spans="2:19">
      <c r="B102" s="216"/>
      <c r="C102" s="216" t="s">
        <v>639</v>
      </c>
      <c r="D102" s="217"/>
      <c r="E102" s="217">
        <v>0</v>
      </c>
      <c r="F102" s="217"/>
      <c r="G102" s="217">
        <f>F101</f>
        <v>7376390</v>
      </c>
      <c r="H102" s="217"/>
      <c r="I102" s="217"/>
      <c r="J102" s="217"/>
      <c r="K102" s="217">
        <f>J101</f>
        <v>5524762</v>
      </c>
      <c r="L102" s="217"/>
      <c r="M102" s="217">
        <f>L101</f>
        <v>7250829</v>
      </c>
      <c r="N102" s="217"/>
      <c r="O102" s="217">
        <f>N101</f>
        <v>5104995</v>
      </c>
      <c r="P102" s="217"/>
      <c r="Q102" s="217">
        <f>P101</f>
        <v>187721</v>
      </c>
      <c r="R102" s="202"/>
      <c r="S102" s="202"/>
    </row>
    <row r="103" spans="2:19">
      <c r="B103" s="216"/>
      <c r="C103" s="216" t="s">
        <v>636</v>
      </c>
      <c r="D103" s="217">
        <v>174443</v>
      </c>
      <c r="E103" s="217"/>
      <c r="F103" s="217">
        <v>17867465</v>
      </c>
      <c r="G103" s="217"/>
      <c r="H103" s="217"/>
      <c r="I103" s="217"/>
      <c r="J103" s="217"/>
      <c r="K103" s="217"/>
      <c r="L103" s="217">
        <v>3433433</v>
      </c>
      <c r="M103" s="217"/>
      <c r="N103" s="217">
        <v>697276</v>
      </c>
      <c r="O103" s="217"/>
      <c r="P103" s="217">
        <v>394995</v>
      </c>
      <c r="Q103" s="217"/>
      <c r="R103" s="202"/>
      <c r="S103" s="202"/>
    </row>
    <row r="104" spans="2:19">
      <c r="B104" s="216"/>
      <c r="C104" s="216" t="s">
        <v>640</v>
      </c>
      <c r="D104" s="217"/>
      <c r="E104" s="217">
        <f>D103</f>
        <v>174443</v>
      </c>
      <c r="F104" s="217"/>
      <c r="G104" s="217">
        <f>F103</f>
        <v>17867465</v>
      </c>
      <c r="H104" s="217"/>
      <c r="I104" s="217"/>
      <c r="J104" s="217"/>
      <c r="K104" s="217"/>
      <c r="L104" s="217"/>
      <c r="M104" s="217">
        <f>L103</f>
        <v>3433433</v>
      </c>
      <c r="N104" s="217"/>
      <c r="O104" s="217">
        <f>N103</f>
        <v>697276</v>
      </c>
      <c r="P104" s="217"/>
      <c r="Q104" s="217">
        <f>P103</f>
        <v>394995</v>
      </c>
      <c r="R104" s="202"/>
      <c r="S104" s="202"/>
    </row>
    <row r="105" spans="2:19">
      <c r="B105" s="216"/>
      <c r="C105" s="216" t="s">
        <v>35</v>
      </c>
      <c r="D105" s="217">
        <v>1027679</v>
      </c>
      <c r="E105" s="217"/>
      <c r="F105" s="217">
        <v>44667786</v>
      </c>
      <c r="G105" s="217"/>
      <c r="H105" s="217"/>
      <c r="I105" s="217"/>
      <c r="J105" s="217">
        <v>11146818</v>
      </c>
      <c r="K105" s="217"/>
      <c r="L105" s="217">
        <v>19177980</v>
      </c>
      <c r="M105" s="217"/>
      <c r="N105" s="217">
        <v>12182370</v>
      </c>
      <c r="O105" s="217"/>
      <c r="P105" s="217">
        <v>1414532</v>
      </c>
      <c r="Q105" s="217"/>
      <c r="R105" s="202"/>
      <c r="S105" s="202"/>
    </row>
    <row r="106" spans="2:19">
      <c r="B106" s="216"/>
      <c r="C106" s="216" t="s">
        <v>641</v>
      </c>
      <c r="D106" s="217"/>
      <c r="E106" s="217">
        <f>D105</f>
        <v>1027679</v>
      </c>
      <c r="F106" s="217"/>
      <c r="G106" s="217">
        <f>F105</f>
        <v>44667786</v>
      </c>
      <c r="H106" s="217"/>
      <c r="I106" s="217"/>
      <c r="J106" s="217"/>
      <c r="K106" s="217">
        <f>J105</f>
        <v>11146818</v>
      </c>
      <c r="L106" s="217"/>
      <c r="M106" s="217">
        <f>L105</f>
        <v>19177980</v>
      </c>
      <c r="N106" s="217"/>
      <c r="O106" s="217">
        <f>N105</f>
        <v>12182370</v>
      </c>
      <c r="P106" s="217"/>
      <c r="Q106" s="217">
        <f>P105</f>
        <v>1414532</v>
      </c>
      <c r="R106" s="202"/>
      <c r="S106" s="202"/>
    </row>
    <row r="107" spans="2:19">
      <c r="B107" s="216"/>
      <c r="C107" s="216"/>
      <c r="D107" s="217"/>
      <c r="E107" s="217"/>
      <c r="F107" s="217"/>
      <c r="G107" s="217"/>
      <c r="H107" s="217"/>
      <c r="I107" s="217"/>
      <c r="J107" s="217"/>
      <c r="K107" s="217"/>
      <c r="L107" s="217"/>
      <c r="M107" s="217"/>
      <c r="N107" s="217"/>
      <c r="O107" s="217"/>
      <c r="P107" s="217"/>
      <c r="Q107" s="217"/>
      <c r="R107" s="202"/>
      <c r="S107" s="202"/>
    </row>
    <row r="108" spans="2:19">
      <c r="B108" s="220"/>
      <c r="C108" s="220"/>
      <c r="D108" s="221"/>
      <c r="E108" s="221"/>
      <c r="F108" s="221"/>
      <c r="G108" s="221"/>
      <c r="H108" s="221"/>
      <c r="I108" s="221"/>
      <c r="J108" s="221"/>
      <c r="K108" s="221"/>
      <c r="L108" s="221"/>
      <c r="M108" s="221"/>
      <c r="N108" s="221"/>
      <c r="O108" s="221"/>
      <c r="P108" s="221"/>
      <c r="Q108" s="221"/>
      <c r="R108" s="202"/>
      <c r="S108" s="202"/>
    </row>
    <row r="109" spans="2:19">
      <c r="E109" s="202">
        <f>SUM(D6:D108)-SUM(E6:E108)</f>
        <v>0</v>
      </c>
      <c r="F109" s="202"/>
      <c r="G109" s="202">
        <f>SUM(F6:F108)-SUM(G6:G108)</f>
        <v>0</v>
      </c>
      <c r="H109" s="202"/>
      <c r="I109" s="202">
        <f>SUM(H6:H108)-SUM(I6:I108)</f>
        <v>0</v>
      </c>
      <c r="J109" s="202"/>
      <c r="K109" s="202">
        <f>SUM(J6:J108)-SUM(K6:K108)</f>
        <v>0</v>
      </c>
      <c r="L109" s="202"/>
      <c r="M109" s="202">
        <f>SUM(L6:L108)-SUM(M6:M108)</f>
        <v>0</v>
      </c>
      <c r="N109" s="202"/>
      <c r="O109" s="202">
        <f>SUM(N6:N108)-SUM(O6:O108)</f>
        <v>0</v>
      </c>
      <c r="P109" s="202"/>
      <c r="Q109" s="202">
        <f>SUM(P6:P108)-SUM(Q6:Q108)</f>
        <v>0</v>
      </c>
      <c r="R109" s="202"/>
      <c r="S109" s="202"/>
    </row>
    <row r="110" spans="2:19">
      <c r="F110" s="202"/>
      <c r="G110" s="202"/>
      <c r="H110" s="202"/>
      <c r="I110" s="202"/>
      <c r="J110" s="202"/>
      <c r="K110" s="202"/>
      <c r="L110" s="202"/>
      <c r="M110" s="202"/>
      <c r="N110" s="202"/>
      <c r="O110" s="202"/>
      <c r="P110" s="202"/>
      <c r="Q110" s="202"/>
      <c r="R110" s="202"/>
      <c r="S110" s="202"/>
    </row>
    <row r="111" spans="2:19">
      <c r="F111" s="202"/>
      <c r="G111" s="202"/>
      <c r="H111" s="202"/>
      <c r="I111" s="202"/>
      <c r="J111" s="202"/>
      <c r="K111" s="202"/>
      <c r="L111" s="202"/>
      <c r="M111" s="202"/>
      <c r="N111" s="202"/>
      <c r="O111" s="202"/>
      <c r="P111" s="202"/>
      <c r="Q111" s="202"/>
      <c r="R111" s="202"/>
      <c r="S111" s="202"/>
    </row>
    <row r="112" spans="2:19">
      <c r="F112" s="202"/>
      <c r="G112" s="202"/>
      <c r="H112" s="202"/>
      <c r="I112" s="202"/>
      <c r="J112" s="202"/>
      <c r="K112" s="202"/>
      <c r="L112" s="202"/>
      <c r="M112" s="202"/>
      <c r="N112" s="202"/>
      <c r="O112" s="202"/>
      <c r="P112" s="202"/>
      <c r="Q112" s="202"/>
      <c r="R112" s="202"/>
      <c r="S112" s="202"/>
    </row>
    <row r="113" spans="6:17">
      <c r="F113" s="202"/>
      <c r="G113" s="202"/>
      <c r="H113" s="202"/>
      <c r="I113" s="202"/>
      <c r="J113" s="202"/>
      <c r="K113" s="202"/>
      <c r="L113" s="202"/>
      <c r="M113" s="202"/>
      <c r="N113" s="202"/>
      <c r="O113" s="202"/>
      <c r="P113" s="202"/>
      <c r="Q113" s="202"/>
    </row>
  </sheetData>
  <mergeCells count="2">
    <mergeCell ref="B3:B5"/>
    <mergeCell ref="C3:C5"/>
  </mergeCells>
  <phoneticPr fontId="9" type="noConversion"/>
  <conditionalFormatting sqref="D5:E5">
    <cfRule type="expression" dxfId="15" priority="4" stopIfTrue="1">
      <formula>#REF!&lt;&gt;#REF!</formula>
    </cfRule>
  </conditionalFormatting>
  <conditionalFormatting sqref="F5:G5">
    <cfRule type="expression" dxfId="14" priority="3" stopIfTrue="1">
      <formula>#REF!&lt;&gt;#REF!</formula>
    </cfRule>
  </conditionalFormatting>
  <conditionalFormatting sqref="H5:I5">
    <cfRule type="expression" dxfId="13" priority="2" stopIfTrue="1">
      <formula>#REF!&lt;&gt;#REF!</formula>
    </cfRule>
  </conditionalFormatting>
  <conditionalFormatting sqref="J5:Q5">
    <cfRule type="expression" dxfId="12" priority="1" stopIfTrue="1">
      <formula>#REF!&lt;&gt;#REF!</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65"/>
  <sheetViews>
    <sheetView topLeftCell="A19" workbookViewId="0">
      <selection activeCell="H18" sqref="H18"/>
    </sheetView>
  </sheetViews>
  <sheetFormatPr defaultColWidth="9.140625" defaultRowHeight="18" customHeight="1"/>
  <cols>
    <col min="1" max="1" width="1.7109375" style="210" customWidth="1"/>
    <col min="2" max="2" width="37.42578125" style="210" bestFit="1" customWidth="1"/>
    <col min="3" max="8" width="15.7109375" style="210" customWidth="1"/>
    <col min="9" max="9" width="12.5703125" style="210" bestFit="1" customWidth="1"/>
    <col min="10" max="16384" width="9.140625" style="210"/>
  </cols>
  <sheetData>
    <row r="1" spans="2:8" ht="30" customHeight="1">
      <c r="B1" s="360" t="s">
        <v>642</v>
      </c>
      <c r="C1" s="360"/>
      <c r="D1" s="360"/>
      <c r="E1" s="360"/>
      <c r="F1" s="360"/>
      <c r="G1" s="360"/>
      <c r="H1" s="360"/>
    </row>
    <row r="2" spans="2:8" ht="18" customHeight="1">
      <c r="B2" s="361" t="s">
        <v>643</v>
      </c>
      <c r="C2" s="361"/>
      <c r="D2" s="361"/>
      <c r="E2" s="361"/>
      <c r="F2" s="361"/>
      <c r="G2" s="361"/>
      <c r="H2" s="361"/>
    </row>
    <row r="3" spans="2:8" ht="18" customHeight="1">
      <c r="B3" s="222"/>
      <c r="C3" s="223"/>
      <c r="D3" s="224"/>
      <c r="E3" s="225"/>
      <c r="F3" s="226"/>
      <c r="G3" s="225"/>
      <c r="H3" s="226"/>
    </row>
    <row r="4" spans="2:8" ht="18" customHeight="1">
      <c r="B4" s="225" t="s">
        <v>644</v>
      </c>
      <c r="F4" s="227"/>
      <c r="H4" s="227" t="s">
        <v>201</v>
      </c>
    </row>
    <row r="5" spans="2:8" ht="18" customHeight="1">
      <c r="B5" s="368" t="s">
        <v>645</v>
      </c>
      <c r="C5" s="370" t="s">
        <v>646</v>
      </c>
      <c r="D5" s="371"/>
      <c r="E5" s="368" t="s">
        <v>647</v>
      </c>
      <c r="F5" s="368"/>
      <c r="G5" s="370" t="s">
        <v>648</v>
      </c>
      <c r="H5" s="371"/>
    </row>
    <row r="6" spans="2:8" ht="18" customHeight="1">
      <c r="B6" s="369"/>
      <c r="C6" s="372"/>
      <c r="D6" s="373"/>
      <c r="E6" s="228" t="s">
        <v>649</v>
      </c>
      <c r="F6" s="228" t="s">
        <v>650</v>
      </c>
      <c r="G6" s="372"/>
      <c r="H6" s="373"/>
    </row>
    <row r="7" spans="2:8" ht="18" customHeight="1">
      <c r="B7" s="229" t="s">
        <v>651</v>
      </c>
      <c r="C7" s="230" t="s">
        <v>110</v>
      </c>
      <c r="D7" s="230" t="s">
        <v>110</v>
      </c>
      <c r="E7" s="230" t="s">
        <v>110</v>
      </c>
      <c r="F7" s="230" t="s">
        <v>110</v>
      </c>
      <c r="G7" s="230" t="s">
        <v>110</v>
      </c>
      <c r="H7" s="230" t="s">
        <v>110</v>
      </c>
    </row>
    <row r="8" spans="2:8" ht="18" customHeight="1">
      <c r="B8" s="229" t="s">
        <v>652</v>
      </c>
      <c r="C8" s="230" t="s">
        <v>110</v>
      </c>
      <c r="D8" s="230">
        <f>SUM(D9,D17)</f>
        <v>4465283196</v>
      </c>
      <c r="E8" s="230"/>
      <c r="F8" s="230"/>
      <c r="G8" s="230" t="s">
        <v>110</v>
      </c>
      <c r="H8" s="230">
        <f>SUM(H9,H17)</f>
        <v>1502250913</v>
      </c>
    </row>
    <row r="9" spans="2:8" ht="18" customHeight="1">
      <c r="B9" s="229" t="s">
        <v>653</v>
      </c>
      <c r="C9" s="230" t="s">
        <v>110</v>
      </c>
      <c r="D9" s="230">
        <f>SUM(D10:D16)</f>
        <v>4465283196</v>
      </c>
      <c r="E9" s="230"/>
      <c r="F9" s="230"/>
      <c r="G9" s="230" t="s">
        <v>110</v>
      </c>
      <c r="H9" s="230">
        <f>SUM(H10:H16)</f>
        <v>1502250913</v>
      </c>
    </row>
    <row r="10" spans="2:8" ht="18" customHeight="1">
      <c r="B10" s="229" t="s">
        <v>654</v>
      </c>
      <c r="C10" s="230"/>
      <c r="D10" s="230">
        <f>SUMIF(개별BS!B:B,B10,개별BS!D:D)</f>
        <v>1400000</v>
      </c>
      <c r="E10" s="230">
        <f>SUMIF(개별BS!$B:$B,$B10,개별BS!E:E)</f>
        <v>0</v>
      </c>
      <c r="F10" s="230">
        <f>SUMIF(개별BS!$B:$B,$B10,개별BS!F:F)</f>
        <v>0</v>
      </c>
      <c r="G10" s="230"/>
      <c r="H10" s="230">
        <f>D10+E10-F10</f>
        <v>1400000</v>
      </c>
    </row>
    <row r="11" spans="2:8" ht="18" customHeight="1">
      <c r="B11" s="229" t="s">
        <v>655</v>
      </c>
      <c r="C11" s="230" t="s">
        <v>110</v>
      </c>
      <c r="D11" s="230">
        <f>SUMIF(개별BS!B:B,B11,개별BS!D:D)</f>
        <v>256730612</v>
      </c>
      <c r="E11" s="230">
        <f>SUMIF(개별BS!$B:$B,$B11,개별BS!E:E)</f>
        <v>0</v>
      </c>
      <c r="F11" s="230">
        <f>SUMIF(개별BS!$B:$B,$B11,개별BS!F:F)</f>
        <v>0</v>
      </c>
      <c r="G11" s="230" t="s">
        <v>110</v>
      </c>
      <c r="H11" s="230">
        <f t="shared" ref="H11:H19" si="0">D11+E11-F11</f>
        <v>256730612</v>
      </c>
    </row>
    <row r="12" spans="2:8" ht="18" customHeight="1">
      <c r="B12" s="229" t="s">
        <v>656</v>
      </c>
      <c r="C12" s="230" t="s">
        <v>110</v>
      </c>
      <c r="D12" s="230">
        <f>SUMIF(개별BS!B:B,B12,개별BS!D:D)</f>
        <v>897546150</v>
      </c>
      <c r="E12" s="230">
        <f>SUMIF(개별BS!$B:$B,$B12,개별BS!E:E)</f>
        <v>0</v>
      </c>
      <c r="F12" s="230">
        <f>SUMIF(개별BS!$B:$B,$B12,개별BS!F:F)</f>
        <v>0</v>
      </c>
      <c r="G12" s="230" t="s">
        <v>110</v>
      </c>
      <c r="H12" s="230">
        <f t="shared" si="0"/>
        <v>897546150</v>
      </c>
    </row>
    <row r="13" spans="2:8" ht="18" customHeight="1">
      <c r="B13" s="229" t="s">
        <v>657</v>
      </c>
      <c r="C13" s="230" t="s">
        <v>110</v>
      </c>
      <c r="D13" s="230">
        <f>SUMIF(개별BS!B:B,B13,개별BS!D:D)</f>
        <v>48468980</v>
      </c>
      <c r="E13" s="230">
        <f>SUMIF(개별BS!$B:$B,$B13,개별BS!E:E)</f>
        <v>103779482</v>
      </c>
      <c r="F13" s="230">
        <f>SUMIF(개별BS!$B:$B,$B13,개별BS!F:F)</f>
        <v>0</v>
      </c>
      <c r="G13" s="230" t="s">
        <v>110</v>
      </c>
      <c r="H13" s="230">
        <f t="shared" si="0"/>
        <v>152248462</v>
      </c>
    </row>
    <row r="14" spans="2:8" ht="18" customHeight="1">
      <c r="B14" s="229" t="s">
        <v>658</v>
      </c>
      <c r="C14" s="230" t="s">
        <v>110</v>
      </c>
      <c r="D14" s="230">
        <f>SUMIF(개별BS!B:B,B14,개별BS!D:D)</f>
        <v>79617355</v>
      </c>
      <c r="E14" s="230">
        <f>SUMIF(개별BS!$B:$B,$B14,개별BS!E:E)</f>
        <v>0</v>
      </c>
      <c r="F14" s="230">
        <f>SUMIF(개별BS!$B:$B,$B14,개별BS!F:F)</f>
        <v>0</v>
      </c>
      <c r="G14" s="230" t="s">
        <v>110</v>
      </c>
      <c r="H14" s="230">
        <f t="shared" si="0"/>
        <v>79617355</v>
      </c>
    </row>
    <row r="15" spans="2:8" ht="18" customHeight="1">
      <c r="B15" s="229" t="s">
        <v>659</v>
      </c>
      <c r="C15" s="230"/>
      <c r="D15" s="230">
        <f>SUMIF(개별BS!B:B,B15,개별BS!D:D)</f>
        <v>0</v>
      </c>
      <c r="E15" s="230">
        <f>SUMIF(개별BS!$B:$B,$B15,개별BS!E:E)</f>
        <v>114708334</v>
      </c>
      <c r="F15" s="230">
        <f>SUMIF(개별BS!$B:$B,$B15,개별BS!F:F)</f>
        <v>0</v>
      </c>
      <c r="G15" s="230" t="s">
        <v>110</v>
      </c>
      <c r="H15" s="230">
        <f t="shared" si="0"/>
        <v>114708334</v>
      </c>
    </row>
    <row r="16" spans="2:8" ht="18" customHeight="1">
      <c r="B16" s="229" t="s">
        <v>660</v>
      </c>
      <c r="C16" s="230"/>
      <c r="D16" s="230">
        <f>SUMIF(개별BS!B:B,B16,개별BS!D:D)</f>
        <v>3181520099</v>
      </c>
      <c r="E16" s="230">
        <f>SUMIF(개별BS!$B:$B,$B16,개별BS!E:E)</f>
        <v>35183000</v>
      </c>
      <c r="F16" s="231">
        <f>D16+E16</f>
        <v>3216703099</v>
      </c>
      <c r="G16" s="230"/>
      <c r="H16" s="230">
        <f t="shared" si="0"/>
        <v>0</v>
      </c>
    </row>
    <row r="17" spans="2:9" ht="18" customHeight="1">
      <c r="B17" s="229" t="s">
        <v>661</v>
      </c>
      <c r="C17" s="230" t="s">
        <v>110</v>
      </c>
      <c r="D17" s="230">
        <f>SUMIF(개별BS!B:B,B17,개별BS!D:D)</f>
        <v>0</v>
      </c>
      <c r="E17" s="230"/>
      <c r="F17" s="230"/>
      <c r="G17" s="230" t="s">
        <v>110</v>
      </c>
      <c r="H17" s="230">
        <f t="shared" si="0"/>
        <v>0</v>
      </c>
    </row>
    <row r="18" spans="2:9" ht="18" customHeight="1">
      <c r="B18" s="229" t="s">
        <v>662</v>
      </c>
      <c r="C18" s="230" t="s">
        <v>110</v>
      </c>
      <c r="D18" s="230">
        <f>SUM(D19,D20,D29,D31)</f>
        <v>6213286666</v>
      </c>
      <c r="E18" s="230"/>
      <c r="F18" s="230"/>
      <c r="G18" s="230" t="s">
        <v>110</v>
      </c>
      <c r="H18" s="230">
        <f>SUM(H19,H20,H29,H31)</f>
        <v>8680914542</v>
      </c>
      <c r="I18" s="240">
        <f>H18-H20-H29</f>
        <v>671052818</v>
      </c>
    </row>
    <row r="19" spans="2:9" ht="18" customHeight="1">
      <c r="B19" s="229" t="s">
        <v>663</v>
      </c>
      <c r="C19" s="230" t="s">
        <v>110</v>
      </c>
      <c r="D19" s="230">
        <f>SUMIF(개별BS!B:B,B19,개별BS!D:D)</f>
        <v>0</v>
      </c>
      <c r="E19" s="230"/>
      <c r="F19" s="230"/>
      <c r="G19" s="230" t="s">
        <v>110</v>
      </c>
      <c r="H19" s="230">
        <f t="shared" si="0"/>
        <v>0</v>
      </c>
    </row>
    <row r="20" spans="2:9" ht="18" customHeight="1">
      <c r="B20" s="229" t="s">
        <v>664</v>
      </c>
      <c r="C20" s="230" t="s">
        <v>110</v>
      </c>
      <c r="D20" s="230">
        <f>SUM(D21:D26)</f>
        <v>4252439960</v>
      </c>
      <c r="E20" s="230"/>
      <c r="F20" s="230"/>
      <c r="G20" s="230" t="s">
        <v>110</v>
      </c>
      <c r="H20" s="230">
        <f>SUM(H21:H28)</f>
        <v>5731615015</v>
      </c>
    </row>
    <row r="21" spans="2:9" ht="18" customHeight="1">
      <c r="B21" s="229" t="s">
        <v>665</v>
      </c>
      <c r="C21" s="230">
        <f>SUMIF(개별BS!B:B,B21,개별BS!C:C)</f>
        <v>5154039364</v>
      </c>
      <c r="D21" s="230" t="s">
        <v>110</v>
      </c>
      <c r="E21" s="230">
        <f>SUMIF(개별BS!$B:$B,$B21,개별BS!E:E)</f>
        <v>22033000</v>
      </c>
      <c r="F21" s="230">
        <f>SUMIF(개별BS!$B:$B,$B21,개별BS!F:F)</f>
        <v>22033000</v>
      </c>
      <c r="G21" s="230">
        <f>C21+E21-F21</f>
        <v>5154039364</v>
      </c>
      <c r="H21" s="230" t="s">
        <v>110</v>
      </c>
    </row>
    <row r="22" spans="2:9" ht="18" customHeight="1">
      <c r="B22" s="229" t="s">
        <v>666</v>
      </c>
      <c r="C22" s="230">
        <f>-SUMIF(개별BS!B:B,B22,개별BS!C:C)</f>
        <v>-1730244784</v>
      </c>
      <c r="D22" s="230">
        <f>SUM(C21:C22)</f>
        <v>3423794580</v>
      </c>
      <c r="E22" s="230">
        <f>SUMIF(개별BS!$B:$B,$B22,개별BS!E:E)</f>
        <v>1730244784</v>
      </c>
      <c r="F22" s="230">
        <f>SUMIF(개별BS!$B:$B,$B22,개별BS!F:F)</f>
        <v>961060900</v>
      </c>
      <c r="G22" s="230">
        <f>C22+E22-F22</f>
        <v>-961060900</v>
      </c>
      <c r="H22" s="230">
        <f>SUM(G21:G22)</f>
        <v>4192978464</v>
      </c>
    </row>
    <row r="23" spans="2:9" ht="18" customHeight="1">
      <c r="B23" s="229" t="s">
        <v>667</v>
      </c>
      <c r="C23" s="230">
        <f>SUMIF(개별BS!B:B,B23,개별BS!C:C)</f>
        <v>1046019371</v>
      </c>
      <c r="D23" s="230"/>
      <c r="E23" s="230">
        <f>SUMIF(개별BS!$B:$B,$B23,개별BS!E:E)</f>
        <v>13150000</v>
      </c>
      <c r="F23" s="230">
        <f>SUMIF(개별BS!$B:$B,$B23,개별BS!F:F)</f>
        <v>0</v>
      </c>
      <c r="G23" s="230">
        <f>C23+E23-F23</f>
        <v>1059169371</v>
      </c>
      <c r="H23" s="230"/>
    </row>
    <row r="24" spans="2:9" ht="18" customHeight="1">
      <c r="B24" s="229" t="s">
        <v>668</v>
      </c>
      <c r="C24" s="230">
        <f>-SUMIF(개별BS!B:B,B24,개별BS!C:C)</f>
        <v>-294794441</v>
      </c>
      <c r="D24" s="230">
        <f>SUM(C23:C24)</f>
        <v>751224930</v>
      </c>
      <c r="E24" s="230">
        <f>SUMIF(개별BS!$B:$B,$B24,개별BS!E:E)</f>
        <v>294794441</v>
      </c>
      <c r="F24" s="230">
        <f>SUMIF(개별BS!$B:$B,$B24,개별BS!F:F)</f>
        <v>162679419</v>
      </c>
      <c r="G24" s="230">
        <f t="shared" ref="G24:G28" si="1">C24+E24-F24</f>
        <v>-162679419</v>
      </c>
      <c r="H24" s="230">
        <f>SUM(G23:G24)</f>
        <v>896489952</v>
      </c>
    </row>
    <row r="25" spans="2:9" ht="18" customHeight="1">
      <c r="B25" s="229" t="s">
        <v>669</v>
      </c>
      <c r="C25" s="230">
        <f>SUMIF(개별BS!B:B,B25,개별BS!C:C)</f>
        <v>103172544</v>
      </c>
      <c r="D25" s="230" t="s">
        <v>110</v>
      </c>
      <c r="E25" s="230">
        <f>SUMIF(개별BS!$B:$B,$B25,개별BS!E:E)</f>
        <v>0</v>
      </c>
      <c r="F25" s="230">
        <f>SUMIF(개별BS!$B:$B,$B25,개별BS!F:F)</f>
        <v>13150000</v>
      </c>
      <c r="G25" s="230">
        <f t="shared" si="1"/>
        <v>90022544</v>
      </c>
      <c r="H25" s="230" t="s">
        <v>110</v>
      </c>
    </row>
    <row r="26" spans="2:9" ht="18" customHeight="1">
      <c r="B26" s="229" t="s">
        <v>670</v>
      </c>
      <c r="C26" s="230">
        <f>-SUMIF(개별BS!B:B,B26,개별BS!C:C)</f>
        <v>-25752094</v>
      </c>
      <c r="D26" s="230">
        <f>SUM(C25:C26)</f>
        <v>77420450</v>
      </c>
      <c r="E26" s="230">
        <f>SUMIF(개별BS!$B:$B,$B26,개별BS!E:E)</f>
        <v>25752094</v>
      </c>
      <c r="F26" s="230">
        <f>SUMIF(개별BS!$B:$B,$B26,개별BS!F:F)</f>
        <v>16983543</v>
      </c>
      <c r="G26" s="230">
        <f t="shared" si="1"/>
        <v>-16983543</v>
      </c>
      <c r="H26" s="230">
        <f>SUM(G25:G26)</f>
        <v>73039001</v>
      </c>
    </row>
    <row r="27" spans="2:9" ht="18" customHeight="1">
      <c r="B27" s="232" t="s">
        <v>671</v>
      </c>
      <c r="C27" s="231">
        <f>SUMIF(개별BS!B:B,B27,개별BS!C:C)</f>
        <v>0</v>
      </c>
      <c r="D27" s="231"/>
      <c r="E27" s="231">
        <f>SUMIF(개별BS!$B:$B,$B27,개별BS!E:E)</f>
        <v>658724763</v>
      </c>
      <c r="F27" s="231">
        <f>SUMIF(개별BS!$B:$B,$B27,개별BS!F:F)</f>
        <v>0</v>
      </c>
      <c r="G27" s="231">
        <f t="shared" si="1"/>
        <v>658724763</v>
      </c>
      <c r="H27" s="231" t="s">
        <v>110</v>
      </c>
    </row>
    <row r="28" spans="2:9" ht="18" customHeight="1">
      <c r="B28" s="232" t="s">
        <v>672</v>
      </c>
      <c r="C28" s="231">
        <f>-SUMIF(개별BS!B:B,B28,개별BS!C:C)</f>
        <v>0</v>
      </c>
      <c r="D28" s="231">
        <f>SUM(C27:C28)</f>
        <v>0</v>
      </c>
      <c r="E28" s="231">
        <f>SUMIF(개별BS!$B:$B,$B28,개별BS!E:E)</f>
        <v>0</v>
      </c>
      <c r="F28" s="231">
        <f>SUMIF(개별BS!$B:$B,$B28,개별BS!F:F)</f>
        <v>89617165</v>
      </c>
      <c r="G28" s="231">
        <f t="shared" si="1"/>
        <v>-89617165</v>
      </c>
      <c r="H28" s="231">
        <f>SUM(G27:G28)</f>
        <v>569107598</v>
      </c>
    </row>
    <row r="29" spans="2:9" ht="18" customHeight="1">
      <c r="B29" s="229" t="s">
        <v>673</v>
      </c>
      <c r="C29" s="230" t="s">
        <v>110</v>
      </c>
      <c r="D29" s="230">
        <f>SUM(D30:D30)</f>
        <v>917691198</v>
      </c>
      <c r="E29" s="230"/>
      <c r="F29" s="230"/>
      <c r="G29" s="230" t="s">
        <v>110</v>
      </c>
      <c r="H29" s="230">
        <f>SUM(H30:H30)</f>
        <v>2278246709</v>
      </c>
    </row>
    <row r="30" spans="2:9" ht="18" customHeight="1">
      <c r="B30" s="229" t="s">
        <v>674</v>
      </c>
      <c r="C30" s="230"/>
      <c r="D30" s="230">
        <f>SUMIF(개별BS!B:B,B30,개별BS!D:D)</f>
        <v>917691198</v>
      </c>
      <c r="E30" s="230">
        <f>SUMIF(개별BS!$B:$B,$B30,개별BS!E:E)</f>
        <v>2306923792</v>
      </c>
      <c r="F30" s="230">
        <f>SUMIF(개별BS!$B:$B,$B30,개별BS!F:F)</f>
        <v>946368281</v>
      </c>
      <c r="G30" s="230"/>
      <c r="H30" s="230">
        <f t="shared" ref="H30" si="2">D30+E30-F30</f>
        <v>2278246709</v>
      </c>
    </row>
    <row r="31" spans="2:9" ht="18" customHeight="1">
      <c r="B31" s="229" t="s">
        <v>675</v>
      </c>
      <c r="C31" s="230" t="s">
        <v>110</v>
      </c>
      <c r="D31" s="233">
        <f>SUM(D32:D34)</f>
        <v>1043155508</v>
      </c>
      <c r="E31" s="230"/>
      <c r="F31" s="233"/>
      <c r="G31" s="230" t="s">
        <v>110</v>
      </c>
      <c r="H31" s="233">
        <f>SUM(H32:H34)</f>
        <v>671052818</v>
      </c>
    </row>
    <row r="32" spans="2:9" ht="18" customHeight="1">
      <c r="B32" s="229" t="s">
        <v>676</v>
      </c>
      <c r="C32" s="230" t="s">
        <v>110</v>
      </c>
      <c r="D32" s="230">
        <f>SUMIF(개별BS!B:B,B32,개별BS!D:D)</f>
        <v>859035060</v>
      </c>
      <c r="E32" s="230">
        <f>SUMIF(개별BS!$B:$B,$B32,개별BS!E:E)</f>
        <v>0</v>
      </c>
      <c r="F32" s="230">
        <f>SUMIF(개별BS!$B:$B,$B32,개별BS!F:F)</f>
        <v>227035060</v>
      </c>
      <c r="G32" s="230" t="s">
        <v>110</v>
      </c>
      <c r="H32" s="230">
        <f t="shared" ref="H32:H34" si="3">D32+E32-F32</f>
        <v>632000000</v>
      </c>
    </row>
    <row r="33" spans="2:8" ht="18" customHeight="1">
      <c r="B33" s="232" t="s">
        <v>677</v>
      </c>
      <c r="C33" s="231"/>
      <c r="D33" s="231">
        <f>SUMIF(개별BS!B:B,B33,개별BS!D:D)</f>
        <v>0</v>
      </c>
      <c r="E33" s="231">
        <f>SUMIF(개별BS!$B:$B,$B33,개별BS!E:E)</f>
        <v>22567612</v>
      </c>
      <c r="F33" s="231">
        <f>SUMIF(개별BS!$B:$B,$B33,개별BS!F:F)</f>
        <v>167635242</v>
      </c>
      <c r="G33" s="231" t="s">
        <v>110</v>
      </c>
      <c r="H33" s="231">
        <f t="shared" si="3"/>
        <v>-145067630</v>
      </c>
    </row>
    <row r="34" spans="2:8" ht="18" customHeight="1">
      <c r="B34" s="229" t="s">
        <v>678</v>
      </c>
      <c r="C34" s="230" t="s">
        <v>110</v>
      </c>
      <c r="D34" s="230">
        <f>SUMIF(개별BS!B:B,B34,개별BS!D:D)</f>
        <v>184120448</v>
      </c>
      <c r="E34" s="230">
        <f>SUMIF(개별BS!$B:$B,$B34,개별BS!E:E)</f>
        <v>0</v>
      </c>
      <c r="F34" s="230">
        <f>SUMIF(개별BS!$B:$B,$B34,개별BS!F:F)</f>
        <v>0</v>
      </c>
      <c r="G34" s="230" t="s">
        <v>110</v>
      </c>
      <c r="H34" s="230">
        <f t="shared" si="3"/>
        <v>184120448</v>
      </c>
    </row>
    <row r="35" spans="2:8" ht="18" customHeight="1">
      <c r="B35" s="229" t="s">
        <v>679</v>
      </c>
      <c r="C35" s="230" t="s">
        <v>110</v>
      </c>
      <c r="D35" s="230">
        <f>SUM(D8,D18)</f>
        <v>10678569862</v>
      </c>
      <c r="E35" s="230"/>
      <c r="F35" s="230"/>
      <c r="G35" s="230" t="s">
        <v>110</v>
      </c>
      <c r="H35" s="230">
        <f>SUM(H8,H18)</f>
        <v>10183165455</v>
      </c>
    </row>
    <row r="36" spans="2:8" ht="18" customHeight="1">
      <c r="B36" s="229" t="s">
        <v>680</v>
      </c>
      <c r="C36" s="230" t="s">
        <v>110</v>
      </c>
      <c r="D36" s="230" t="s">
        <v>110</v>
      </c>
      <c r="E36" s="230"/>
      <c r="F36" s="230"/>
      <c r="G36" s="230" t="s">
        <v>110</v>
      </c>
      <c r="H36" s="230" t="s">
        <v>110</v>
      </c>
    </row>
    <row r="37" spans="2:8" ht="18" customHeight="1">
      <c r="B37" s="229" t="s">
        <v>681</v>
      </c>
      <c r="C37" s="230" t="s">
        <v>110</v>
      </c>
      <c r="D37" s="230">
        <f>SUM(D38:D47)</f>
        <v>4978242645</v>
      </c>
      <c r="E37" s="230"/>
      <c r="F37" s="230"/>
      <c r="G37" s="230" t="s">
        <v>110</v>
      </c>
      <c r="H37" s="230">
        <f>SUM(H38:H47)</f>
        <v>3457703110</v>
      </c>
    </row>
    <row r="38" spans="2:8" ht="18" customHeight="1">
      <c r="B38" s="229" t="s">
        <v>682</v>
      </c>
      <c r="C38" s="230"/>
      <c r="D38" s="230">
        <f>SUMIF(개별BS!B:B,B38,개별BS!D:D)</f>
        <v>339396932</v>
      </c>
      <c r="E38" s="230">
        <f>SUMIF(개별BS!$B:$B,$B38,개별BS!E:E)</f>
        <v>0</v>
      </c>
      <c r="F38" s="230">
        <f>SUMIF(개별BS!$B:$B,$B38,개별BS!F:F)</f>
        <v>0</v>
      </c>
      <c r="G38" s="230"/>
      <c r="H38" s="230">
        <f>D38-E38+F38</f>
        <v>339396932</v>
      </c>
    </row>
    <row r="39" spans="2:8" ht="18" customHeight="1">
      <c r="B39" s="229" t="s">
        <v>683</v>
      </c>
      <c r="C39" s="230" t="s">
        <v>110</v>
      </c>
      <c r="D39" s="230">
        <f>SUMIF(개별BS!B:B,B39,개별BS!D:D)</f>
        <v>278777231</v>
      </c>
      <c r="E39" s="230">
        <f>SUMIF(개별BS!$B:$B,$B39,개별BS!E:E)</f>
        <v>32139343</v>
      </c>
      <c r="F39" s="230">
        <f>SUMIF(개별BS!$B:$B,$B39,개별BS!F:F)</f>
        <v>2034012924</v>
      </c>
      <c r="G39" s="230" t="s">
        <v>110</v>
      </c>
      <c r="H39" s="230">
        <f t="shared" ref="H39:H47" si="4">D39-E39+F39</f>
        <v>2280650812</v>
      </c>
    </row>
    <row r="40" spans="2:8" ht="18" customHeight="1">
      <c r="B40" s="229" t="s">
        <v>684</v>
      </c>
      <c r="C40" s="230" t="s">
        <v>110</v>
      </c>
      <c r="D40" s="230">
        <f>SUMIF(개별BS!B:B,B40,개별BS!D:D)</f>
        <v>49394526</v>
      </c>
      <c r="E40" s="230">
        <f>SUMIF(개별BS!$B:$B,$B40,개별BS!E:E)</f>
        <v>27883900</v>
      </c>
      <c r="F40" s="230">
        <f>SUMIF(개별BS!$B:$B,$B40,개별BS!F:F)</f>
        <v>0</v>
      </c>
      <c r="G40" s="230" t="s">
        <v>110</v>
      </c>
      <c r="H40" s="230">
        <f t="shared" si="4"/>
        <v>21510626</v>
      </c>
    </row>
    <row r="41" spans="2:8" ht="18" customHeight="1">
      <c r="B41" s="229" t="s">
        <v>685</v>
      </c>
      <c r="C41" s="230"/>
      <c r="D41" s="230">
        <f>SUMIF(개별BS!B:B,B41,개별BS!D:D)</f>
        <v>240000000</v>
      </c>
      <c r="E41" s="230">
        <f>SUMIF(개별BS!$B:$B,$B41,개별BS!E:E)</f>
        <v>0</v>
      </c>
      <c r="F41" s="230">
        <f>SUMIF(개별BS!$B:$B,$B41,개별BS!F:F)</f>
        <v>0</v>
      </c>
      <c r="G41" s="230"/>
      <c r="H41" s="230">
        <f t="shared" si="4"/>
        <v>240000000</v>
      </c>
    </row>
    <row r="42" spans="2:8" ht="18" customHeight="1">
      <c r="B42" s="229" t="s">
        <v>686</v>
      </c>
      <c r="C42" s="230" t="s">
        <v>110</v>
      </c>
      <c r="D42" s="230">
        <f>SUMIF(개별BS!B:B,B42,개별BS!D:D)</f>
        <v>10459200</v>
      </c>
      <c r="E42" s="230">
        <f>SUMIF(개별BS!$B:$B,$B42,개별BS!E:E)</f>
        <v>0</v>
      </c>
      <c r="F42" s="230">
        <f>SUMIF(개별BS!$B:$B,$B42,개별BS!F:F)</f>
        <v>0</v>
      </c>
      <c r="G42" s="230" t="s">
        <v>110</v>
      </c>
      <c r="H42" s="230">
        <f t="shared" si="4"/>
        <v>10459200</v>
      </c>
    </row>
    <row r="43" spans="2:8" ht="18" customHeight="1">
      <c r="B43" s="229" t="s">
        <v>687</v>
      </c>
      <c r="C43" s="230"/>
      <c r="D43" s="230">
        <f>SUMIF(개별BS!B:B,B43,개별BS!D:D)</f>
        <v>159672020</v>
      </c>
      <c r="E43" s="230">
        <f>SUMIF(개별BS!$B:$B,$B43,개별BS!E:E)</f>
        <v>0</v>
      </c>
      <c r="F43" s="230">
        <f>SUMIF(개별BS!$B:$B,$B43,개별BS!F:F)</f>
        <v>0</v>
      </c>
      <c r="G43" s="230"/>
      <c r="H43" s="230">
        <f t="shared" si="4"/>
        <v>159672020</v>
      </c>
    </row>
    <row r="44" spans="2:8" ht="18" customHeight="1">
      <c r="B44" s="229" t="s">
        <v>688</v>
      </c>
      <c r="C44" s="230" t="s">
        <v>110</v>
      </c>
      <c r="D44" s="230">
        <f>SUMIF(개별BS!B:B,B44,개별BS!D:D)</f>
        <v>322355969</v>
      </c>
      <c r="E44" s="230">
        <f>SUMIF(개별BS!$B:$B,$B44,개별BS!E:E)</f>
        <v>322355969</v>
      </c>
      <c r="F44" s="230">
        <f>SUMIF(개별BS!$B:$B,$B44,개별BS!F:F)</f>
        <v>0</v>
      </c>
      <c r="G44" s="230" t="s">
        <v>110</v>
      </c>
      <c r="H44" s="230">
        <f t="shared" si="4"/>
        <v>0</v>
      </c>
    </row>
    <row r="45" spans="2:8" ht="18" customHeight="1">
      <c r="B45" s="229" t="s">
        <v>689</v>
      </c>
      <c r="C45" s="230"/>
      <c r="D45" s="230">
        <f>SUMIF(개별BS!B:B,B45,개별BS!D:D)</f>
        <v>396666668</v>
      </c>
      <c r="E45" s="230">
        <f>SUMIF(개별BS!$B:$B,$B45,개별BS!E:E)</f>
        <v>0</v>
      </c>
      <c r="F45" s="230">
        <f>SUMIF(개별BS!$B:$B,$B45,개별BS!F:F)</f>
        <v>0</v>
      </c>
      <c r="G45" s="230"/>
      <c r="H45" s="230">
        <f t="shared" si="4"/>
        <v>396666668</v>
      </c>
    </row>
    <row r="46" spans="2:8" ht="18" customHeight="1">
      <c r="B46" s="232" t="s">
        <v>690</v>
      </c>
      <c r="C46" s="231"/>
      <c r="D46" s="231">
        <f>SUMIF(개별BS!B:B,B46,개별BS!D:D)</f>
        <v>0</v>
      </c>
      <c r="E46" s="231">
        <f>SUMIF(개별BS!$B:$B,$B46,개별BS!E:E)</f>
        <v>818290</v>
      </c>
      <c r="F46" s="231">
        <f>SUMIF(개별BS!$B:$B,$B46,개별BS!F:F)</f>
        <v>10165142</v>
      </c>
      <c r="G46" s="231"/>
      <c r="H46" s="231">
        <f t="shared" si="4"/>
        <v>9346852</v>
      </c>
    </row>
    <row r="47" spans="2:8" ht="18" customHeight="1">
      <c r="B47" s="229" t="s">
        <v>691</v>
      </c>
      <c r="C47" s="230"/>
      <c r="D47" s="230">
        <f>SUMIF(개별BS!B:B,B47,개별BS!D:D)</f>
        <v>3181520099</v>
      </c>
      <c r="E47" s="231">
        <f>F16</f>
        <v>3216703099</v>
      </c>
      <c r="F47" s="230">
        <f>SUMIF(개별BS!$B:$B,$B47,개별BS!F:F)</f>
        <v>35183000</v>
      </c>
      <c r="G47" s="230"/>
      <c r="H47" s="230">
        <f t="shared" si="4"/>
        <v>0</v>
      </c>
    </row>
    <row r="48" spans="2:8" ht="18" customHeight="1">
      <c r="B48" s="229" t="s">
        <v>692</v>
      </c>
      <c r="C48" s="230" t="s">
        <v>110</v>
      </c>
      <c r="D48" s="230">
        <f>SUMIF(개별BS!B:B,B48,개별BS!D:D)</f>
        <v>0</v>
      </c>
      <c r="E48" s="230"/>
      <c r="F48" s="230"/>
      <c r="G48" s="230" t="s">
        <v>110</v>
      </c>
      <c r="H48" s="230">
        <f>H49</f>
        <v>506369076</v>
      </c>
    </row>
    <row r="49" spans="2:8" ht="18" customHeight="1">
      <c r="B49" s="232" t="s">
        <v>693</v>
      </c>
      <c r="C49" s="231"/>
      <c r="D49" s="231">
        <f>SUMIF(개별BS!B:B,B49,개별BS!D:D)</f>
        <v>0</v>
      </c>
      <c r="E49" s="231">
        <f>SUMIF(개별BS!$B:$B,$B49,개별BS!E:E)</f>
        <v>0</v>
      </c>
      <c r="F49" s="231">
        <f>SUMIF(개별BS!$B:$B,$B49,개별BS!F:F)</f>
        <v>506369076</v>
      </c>
      <c r="G49" s="231"/>
      <c r="H49" s="231">
        <f t="shared" ref="H49" si="5">D49-E49+F49</f>
        <v>506369076</v>
      </c>
    </row>
    <row r="50" spans="2:8" ht="18" customHeight="1">
      <c r="B50" s="229" t="s">
        <v>694</v>
      </c>
      <c r="C50" s="230" t="s">
        <v>110</v>
      </c>
      <c r="D50" s="230">
        <f>SUM(D37,D48)</f>
        <v>4978242645</v>
      </c>
      <c r="E50" s="230"/>
      <c r="F50" s="230"/>
      <c r="G50" s="230" t="s">
        <v>110</v>
      </c>
      <c r="H50" s="230">
        <f>SUM(H37,H48)</f>
        <v>3964072186</v>
      </c>
    </row>
    <row r="51" spans="2:8" ht="18" customHeight="1">
      <c r="B51" s="229" t="s">
        <v>695</v>
      </c>
      <c r="C51" s="230" t="s">
        <v>110</v>
      </c>
      <c r="D51" s="230" t="s">
        <v>110</v>
      </c>
      <c r="E51" s="230"/>
      <c r="F51" s="230"/>
      <c r="G51" s="230" t="s">
        <v>110</v>
      </c>
      <c r="H51" s="230" t="s">
        <v>110</v>
      </c>
    </row>
    <row r="52" spans="2:8" ht="18" customHeight="1">
      <c r="B52" s="229" t="s">
        <v>696</v>
      </c>
      <c r="C52" s="230" t="s">
        <v>110</v>
      </c>
      <c r="D52" s="230">
        <f>D53</f>
        <v>120000000</v>
      </c>
      <c r="E52" s="230"/>
      <c r="F52" s="230"/>
      <c r="G52" s="230" t="s">
        <v>110</v>
      </c>
      <c r="H52" s="230">
        <f>H53</f>
        <v>120000000</v>
      </c>
    </row>
    <row r="53" spans="2:8" ht="18" customHeight="1">
      <c r="B53" s="229" t="s">
        <v>697</v>
      </c>
      <c r="C53" s="230" t="s">
        <v>110</v>
      </c>
      <c r="D53" s="230">
        <f>SUMIF(개별BS!B:B,B53,개별BS!D:D)</f>
        <v>120000000</v>
      </c>
      <c r="E53" s="230"/>
      <c r="F53" s="230"/>
      <c r="G53" s="230" t="s">
        <v>110</v>
      </c>
      <c r="H53" s="230">
        <f>D53-E53+F53</f>
        <v>120000000</v>
      </c>
    </row>
    <row r="54" spans="2:8" ht="18" customHeight="1">
      <c r="B54" s="229" t="s">
        <v>698</v>
      </c>
      <c r="C54" s="230" t="s">
        <v>110</v>
      </c>
      <c r="D54" s="230">
        <f>D55</f>
        <v>7657160541</v>
      </c>
      <c r="E54" s="230"/>
      <c r="F54" s="230"/>
      <c r="G54" s="230" t="s">
        <v>110</v>
      </c>
      <c r="H54" s="230">
        <f>H55</f>
        <v>8567439945</v>
      </c>
    </row>
    <row r="55" spans="2:8" ht="18" customHeight="1">
      <c r="B55" s="229" t="s">
        <v>699</v>
      </c>
      <c r="C55" s="230" t="s">
        <v>110</v>
      </c>
      <c r="D55" s="230">
        <f>SUMIF(개별BS!B:B,B55,개별BS!D:D)</f>
        <v>7657160541</v>
      </c>
      <c r="E55" s="230">
        <f>SUMIF(개별BS!$B:$B,$B55,개별BS!E:E)</f>
        <v>0</v>
      </c>
      <c r="F55" s="230">
        <f>SUMIF(개별BS!$B:$B,$B55,개별BS!F:F)</f>
        <v>910279404</v>
      </c>
      <c r="G55" s="230" t="s">
        <v>110</v>
      </c>
      <c r="H55" s="230">
        <f>D55-E55+F55</f>
        <v>8567439945</v>
      </c>
    </row>
    <row r="56" spans="2:8" ht="18" customHeight="1">
      <c r="B56" s="229" t="s">
        <v>700</v>
      </c>
      <c r="C56" s="230" t="s">
        <v>110</v>
      </c>
      <c r="D56" s="230">
        <v>0</v>
      </c>
      <c r="E56" s="230"/>
      <c r="F56" s="230"/>
      <c r="G56" s="230" t="s">
        <v>110</v>
      </c>
      <c r="H56" s="230">
        <f>D56-E56+F56</f>
        <v>0</v>
      </c>
    </row>
    <row r="57" spans="2:8" ht="18" customHeight="1">
      <c r="B57" s="229" t="s">
        <v>701</v>
      </c>
      <c r="C57" s="230" t="s">
        <v>110</v>
      </c>
      <c r="D57" s="230">
        <v>0</v>
      </c>
      <c r="E57" s="230"/>
      <c r="F57" s="230"/>
      <c r="G57" s="230" t="s">
        <v>110</v>
      </c>
      <c r="H57" s="230">
        <f>D57-E57+F57</f>
        <v>0</v>
      </c>
    </row>
    <row r="58" spans="2:8" ht="18" customHeight="1">
      <c r="B58" s="229" t="s">
        <v>702</v>
      </c>
      <c r="C58" s="230" t="s">
        <v>110</v>
      </c>
      <c r="D58" s="230">
        <f>SUM(D59:D60)</f>
        <v>-2076833324</v>
      </c>
      <c r="E58" s="230"/>
      <c r="F58" s="230"/>
      <c r="G58" s="230" t="s">
        <v>110</v>
      </c>
      <c r="H58" s="230">
        <f>SUM(H59:H60)</f>
        <v>-2468346676</v>
      </c>
    </row>
    <row r="59" spans="2:8" ht="18" customHeight="1">
      <c r="B59" s="229" t="s">
        <v>703</v>
      </c>
      <c r="C59" s="230" t="s">
        <v>110</v>
      </c>
      <c r="D59" s="230">
        <f>SUMIF(개별BS!B:B,B59,개별BS!D:D)</f>
        <v>471970844</v>
      </c>
      <c r="E59" s="230">
        <f>SUMIF(개별BS!$B:$B,$B59,개별BS!E:E)</f>
        <v>142963252</v>
      </c>
      <c r="F59" s="230">
        <f>SUMIF(개별BS!$B:$B,$B59,개별BS!F:F)</f>
        <v>0</v>
      </c>
      <c r="G59" s="230" t="s">
        <v>110</v>
      </c>
      <c r="H59" s="230">
        <f>D59-E59+F59</f>
        <v>329007592</v>
      </c>
    </row>
    <row r="60" spans="2:8" ht="18" customHeight="1">
      <c r="B60" s="229" t="s">
        <v>704</v>
      </c>
      <c r="C60" s="230" t="s">
        <v>110</v>
      </c>
      <c r="D60" s="230">
        <f>-SUMIF(개별BS!B:B,B60,개별BS!D:D)</f>
        <v>-2548804168</v>
      </c>
      <c r="E60" s="230">
        <f>SUMIF(개별BS!$B:$B,$B60,개별BS!E:E)</f>
        <v>0</v>
      </c>
      <c r="F60" s="230">
        <f>-SUMIF(개별BS!$B:$B,$B60,개별BS!F:F)</f>
        <v>-248550100</v>
      </c>
      <c r="G60" s="230" t="s">
        <v>110</v>
      </c>
      <c r="H60" s="230">
        <f>D60-E60+F60</f>
        <v>-2797354268</v>
      </c>
    </row>
    <row r="61" spans="2:8" ht="18" customHeight="1">
      <c r="B61" s="229" t="s">
        <v>705</v>
      </c>
      <c r="C61" s="230" t="s">
        <v>110</v>
      </c>
      <c r="D61" s="230">
        <f>SUM(D52,D54,D56,D57,D58)</f>
        <v>5700327217</v>
      </c>
      <c r="E61" s="230"/>
      <c r="F61" s="230"/>
      <c r="G61" s="230" t="s">
        <v>110</v>
      </c>
      <c r="H61" s="230">
        <f>SUM(H52,H54,H56,H57,H58)</f>
        <v>6219093269</v>
      </c>
    </row>
    <row r="62" spans="2:8" ht="18" customHeight="1">
      <c r="B62" s="229" t="s">
        <v>706</v>
      </c>
      <c r="C62" s="230" t="s">
        <v>110</v>
      </c>
      <c r="D62" s="230">
        <f>SUM(D50,D61)</f>
        <v>10678569862</v>
      </c>
      <c r="E62" s="230"/>
      <c r="F62" s="230"/>
      <c r="G62" s="230" t="s">
        <v>110</v>
      </c>
      <c r="H62" s="230">
        <f>SUM(H50,H61)</f>
        <v>10183165455</v>
      </c>
    </row>
    <row r="63" spans="2:8" ht="18" customHeight="1">
      <c r="C63" s="210" t="s">
        <v>110</v>
      </c>
      <c r="D63" s="234" t="b">
        <f>D35=D62</f>
        <v>1</v>
      </c>
      <c r="H63" s="234" t="b">
        <f>H35=H62</f>
        <v>1</v>
      </c>
    </row>
    <row r="64" spans="2:8" ht="18" customHeight="1">
      <c r="C64" s="210" t="s">
        <v>110</v>
      </c>
    </row>
    <row r="65" spans="3:3" ht="18" customHeight="1">
      <c r="C65" s="210" t="s">
        <v>110</v>
      </c>
    </row>
  </sheetData>
  <mergeCells count="6">
    <mergeCell ref="B1:H1"/>
    <mergeCell ref="B2:H2"/>
    <mergeCell ref="B5:B6"/>
    <mergeCell ref="C5:D6"/>
    <mergeCell ref="E5:F5"/>
    <mergeCell ref="G5:H6"/>
  </mergeCells>
  <phoneticPr fontId="9" type="noConversion"/>
  <printOptions horizontalCentered="1"/>
  <pageMargins left="0.70866141732283472" right="0.70866141732283472" top="0.55118110236220474" bottom="0.35433070866141736" header="0.31496062992125984" footer="0.31496062992125984"/>
  <pageSetup paperSize="9" scale="6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6"/>
  <sheetViews>
    <sheetView zoomScaleNormal="100" workbookViewId="0">
      <pane xSplit="2" ySplit="6" topLeftCell="C31" activePane="bottomRight" state="frozen"/>
      <selection activeCell="O43" sqref="O43"/>
      <selection pane="topRight" activeCell="O43" sqref="O43"/>
      <selection pane="bottomLeft" activeCell="O43" sqref="O43"/>
      <selection pane="bottomRight" activeCell="H19" sqref="H19"/>
    </sheetView>
  </sheetViews>
  <sheetFormatPr defaultColWidth="9.140625" defaultRowHeight="18" customHeight="1"/>
  <cols>
    <col min="1" max="1" width="1.7109375" style="210" customWidth="1"/>
    <col min="2" max="2" width="28.28515625" style="210" bestFit="1" customWidth="1"/>
    <col min="3" max="8" width="15.7109375" style="210" customWidth="1"/>
    <col min="9" max="9" width="13" style="210" bestFit="1" customWidth="1"/>
    <col min="10" max="16384" width="9.140625" style="210"/>
  </cols>
  <sheetData>
    <row r="1" spans="2:9" ht="30" customHeight="1">
      <c r="B1" s="360" t="s">
        <v>707</v>
      </c>
      <c r="C1" s="360"/>
      <c r="D1" s="360"/>
      <c r="E1" s="360"/>
      <c r="F1" s="360"/>
      <c r="G1" s="360"/>
      <c r="H1" s="360"/>
    </row>
    <row r="2" spans="2:9" ht="18" customHeight="1">
      <c r="B2" s="361" t="s">
        <v>643</v>
      </c>
      <c r="C2" s="361"/>
      <c r="D2" s="361"/>
      <c r="E2" s="361"/>
      <c r="F2" s="361"/>
      <c r="G2" s="361"/>
      <c r="H2" s="361"/>
    </row>
    <row r="3" spans="2:9" ht="18" customHeight="1">
      <c r="B3" s="222"/>
      <c r="C3" s="223"/>
      <c r="D3" s="224"/>
      <c r="E3" s="225"/>
      <c r="F3" s="226"/>
      <c r="G3" s="225"/>
      <c r="H3" s="226"/>
    </row>
    <row r="4" spans="2:9" ht="18" customHeight="1">
      <c r="B4" s="225" t="s">
        <v>644</v>
      </c>
      <c r="F4" s="227"/>
      <c r="H4" s="227" t="s">
        <v>201</v>
      </c>
    </row>
    <row r="5" spans="2:9" ht="18" customHeight="1">
      <c r="B5" s="368" t="s">
        <v>645</v>
      </c>
      <c r="C5" s="370" t="s">
        <v>646</v>
      </c>
      <c r="D5" s="371"/>
      <c r="E5" s="368" t="s">
        <v>647</v>
      </c>
      <c r="F5" s="368"/>
      <c r="G5" s="370" t="s">
        <v>648</v>
      </c>
      <c r="H5" s="371"/>
    </row>
    <row r="6" spans="2:9" ht="18" customHeight="1">
      <c r="B6" s="369"/>
      <c r="C6" s="372"/>
      <c r="D6" s="373"/>
      <c r="E6" s="228" t="s">
        <v>649</v>
      </c>
      <c r="F6" s="228" t="s">
        <v>650</v>
      </c>
      <c r="G6" s="372"/>
      <c r="H6" s="373"/>
    </row>
    <row r="7" spans="2:9" ht="18" customHeight="1">
      <c r="B7" s="235" t="s">
        <v>708</v>
      </c>
      <c r="C7" s="236" t="s">
        <v>110</v>
      </c>
      <c r="D7" s="236">
        <f>SUM(C8:C9)</f>
        <v>6645104622</v>
      </c>
      <c r="E7" s="236"/>
      <c r="F7" s="236"/>
      <c r="G7" s="236"/>
      <c r="H7" s="236">
        <f>SUM(G8:G9)</f>
        <v>6645104622</v>
      </c>
    </row>
    <row r="8" spans="2:9" ht="18" customHeight="1">
      <c r="B8" s="237" t="s">
        <v>709</v>
      </c>
      <c r="C8" s="230">
        <f>SUMIF(개별IS!B:B,B8,개별IS!C:C)</f>
        <v>6624358736</v>
      </c>
      <c r="D8" s="230"/>
      <c r="E8" s="230">
        <f>SUMIF(개별IS!$B:$B,$B8,개별IS!E:E)</f>
        <v>0</v>
      </c>
      <c r="F8" s="230">
        <f>SUMIF(개별IS!$B:$B,$B8,개별IS!F:F)</f>
        <v>20745886</v>
      </c>
      <c r="G8" s="230">
        <f>C8-E8+F8</f>
        <v>6645104622</v>
      </c>
      <c r="H8" s="230"/>
    </row>
    <row r="9" spans="2:9" ht="18" customHeight="1">
      <c r="B9" s="237" t="s">
        <v>710</v>
      </c>
      <c r="C9" s="230">
        <f>SUMIF(개별IS!B:B,B9,개별IS!C:C)</f>
        <v>20745886</v>
      </c>
      <c r="D9" s="230"/>
      <c r="E9" s="230">
        <f>SUMIF(개별IS!$B:$B,$B9,개별IS!E:E)</f>
        <v>20745886</v>
      </c>
      <c r="F9" s="230">
        <f>SUMIF(개별IS!$B:$B,$B9,개별IS!F:F)</f>
        <v>0</v>
      </c>
      <c r="G9" s="230">
        <f>C9-E9+F9</f>
        <v>0</v>
      </c>
      <c r="H9" s="230"/>
      <c r="I9" s="210" t="s">
        <v>711</v>
      </c>
    </row>
    <row r="10" spans="2:9" ht="18" customHeight="1">
      <c r="B10" s="235" t="s">
        <v>712</v>
      </c>
      <c r="C10" s="236"/>
      <c r="D10" s="236">
        <f>D11</f>
        <v>2234806510</v>
      </c>
      <c r="E10" s="236"/>
      <c r="F10" s="236"/>
      <c r="G10" s="236"/>
      <c r="H10" s="236">
        <f>H11</f>
        <v>2234806510</v>
      </c>
    </row>
    <row r="11" spans="2:9" ht="18" customHeight="1">
      <c r="B11" s="238" t="s">
        <v>713</v>
      </c>
      <c r="C11" s="230"/>
      <c r="D11" s="230">
        <f>C12+C13-C14</f>
        <v>2234806510</v>
      </c>
      <c r="E11" s="230"/>
      <c r="F11" s="230"/>
      <c r="G11" s="230"/>
      <c r="H11" s="230">
        <f>G12+G13-G14</f>
        <v>2234806510</v>
      </c>
    </row>
    <row r="12" spans="2:9" ht="18" customHeight="1">
      <c r="B12" s="237" t="s">
        <v>714</v>
      </c>
      <c r="C12" s="230">
        <f>SUMIF(개별IS!B:B,B12,개별IS!C:C)</f>
        <v>0</v>
      </c>
      <c r="D12" s="230"/>
      <c r="E12" s="230"/>
      <c r="F12" s="230"/>
      <c r="G12" s="230">
        <f t="shared" ref="G12:G14" si="0">C12+E12-F12</f>
        <v>0</v>
      </c>
      <c r="H12" s="230"/>
    </row>
    <row r="13" spans="2:9" ht="18" customHeight="1">
      <c r="B13" s="237" t="s">
        <v>715</v>
      </c>
      <c r="C13" s="230">
        <f>SUMIF(개별IS!B:B,B13,개별IS!C:C)</f>
        <v>2234806510</v>
      </c>
      <c r="D13" s="230"/>
      <c r="E13" s="230"/>
      <c r="F13" s="230"/>
      <c r="G13" s="230">
        <f t="shared" si="0"/>
        <v>2234806510</v>
      </c>
      <c r="H13" s="230"/>
    </row>
    <row r="14" spans="2:9" ht="18" customHeight="1">
      <c r="B14" s="237" t="s">
        <v>716</v>
      </c>
      <c r="C14" s="230">
        <f>SUMIF(개별IS!B:B,B14,개별IS!C:C)</f>
        <v>0</v>
      </c>
      <c r="D14" s="230"/>
      <c r="E14" s="230"/>
      <c r="F14" s="230"/>
      <c r="G14" s="230">
        <f t="shared" si="0"/>
        <v>0</v>
      </c>
      <c r="H14" s="230"/>
    </row>
    <row r="15" spans="2:9" ht="18" customHeight="1">
      <c r="B15" s="235" t="s">
        <v>717</v>
      </c>
      <c r="C15" s="236"/>
      <c r="D15" s="236">
        <f>D7-D10</f>
        <v>4410298112</v>
      </c>
      <c r="E15" s="236"/>
      <c r="F15" s="236"/>
      <c r="G15" s="236"/>
      <c r="H15" s="236">
        <f>H7-H10</f>
        <v>4410298112</v>
      </c>
    </row>
    <row r="16" spans="2:9" ht="18" customHeight="1">
      <c r="B16" s="235" t="s">
        <v>718</v>
      </c>
      <c r="C16" s="236"/>
      <c r="D16" s="236">
        <f>SUM(C17:C42)</f>
        <v>5799960447</v>
      </c>
      <c r="E16" s="236"/>
      <c r="F16" s="236"/>
      <c r="G16" s="236"/>
      <c r="H16" s="236">
        <f>SUM(G17:G42)</f>
        <v>6097323269</v>
      </c>
    </row>
    <row r="17" spans="2:9" ht="18" customHeight="1">
      <c r="B17" s="239" t="s">
        <v>719</v>
      </c>
      <c r="C17" s="230">
        <f>SUMIF(개별IS!B:B,B17,개별IS!C:C)</f>
        <v>2139053168</v>
      </c>
      <c r="D17" s="230"/>
      <c r="E17" s="230">
        <f>SUMIF(개별IS!$B:$B,$B17,개별IS!E:E)</f>
        <v>0</v>
      </c>
      <c r="F17" s="230">
        <f>SUMIF(개별IS!$B:$B,$B17,개별IS!F:F)</f>
        <v>0</v>
      </c>
      <c r="G17" s="230">
        <f t="shared" ref="G17:G42" si="1">C17+E17-F17</f>
        <v>2139053168</v>
      </c>
      <c r="H17" s="230"/>
      <c r="I17" s="240"/>
    </row>
    <row r="18" spans="2:9" ht="18" customHeight="1">
      <c r="B18" s="237" t="s">
        <v>720</v>
      </c>
      <c r="C18" s="230">
        <f>SUMIF(개별IS!B:B,B18,개별IS!C:C)</f>
        <v>3790100</v>
      </c>
      <c r="D18" s="230"/>
      <c r="E18" s="230">
        <f>SUMIF(개별IS!$B:$B,$B18,개별IS!E:E)</f>
        <v>0</v>
      </c>
      <c r="F18" s="230">
        <f>SUMIF(개별IS!$B:$B,$B18,개별IS!F:F)</f>
        <v>0</v>
      </c>
      <c r="G18" s="230">
        <f t="shared" si="1"/>
        <v>3790100</v>
      </c>
      <c r="H18" s="230"/>
      <c r="I18" s="240"/>
    </row>
    <row r="19" spans="2:9" ht="18" customHeight="1">
      <c r="B19" s="239" t="s">
        <v>721</v>
      </c>
      <c r="C19" s="230">
        <f>SUMIF(개별IS!B:B,B19,개별IS!C:C)</f>
        <v>216911438</v>
      </c>
      <c r="D19" s="230"/>
      <c r="E19" s="230">
        <f>SUMIF(개별IS!$B:$B,$B19,개별IS!E:E)</f>
        <v>0</v>
      </c>
      <c r="F19" s="230">
        <f>SUMIF(개별IS!$B:$B,$B19,개별IS!F:F)</f>
        <v>0</v>
      </c>
      <c r="G19" s="230">
        <f t="shared" si="1"/>
        <v>216911438</v>
      </c>
      <c r="H19" s="230"/>
      <c r="I19" s="240"/>
    </row>
    <row r="20" spans="2:9" ht="18" customHeight="1">
      <c r="B20" s="239" t="s">
        <v>722</v>
      </c>
      <c r="C20" s="230">
        <f>SUMIF(개별IS!B:B,B20,개별IS!C:C)</f>
        <v>130846705</v>
      </c>
      <c r="D20" s="230"/>
      <c r="E20" s="230">
        <f>SUMIF(개별IS!$B:$B,$B20,개별IS!E:E)</f>
        <v>58492231</v>
      </c>
      <c r="F20" s="230">
        <f>SUMIF(개별IS!$B:$B,$B20,개별IS!F:F)</f>
        <v>0</v>
      </c>
      <c r="G20" s="230">
        <f t="shared" si="1"/>
        <v>189338936</v>
      </c>
      <c r="H20" s="230"/>
      <c r="I20" s="240"/>
    </row>
    <row r="21" spans="2:9" ht="18" customHeight="1">
      <c r="B21" s="239" t="s">
        <v>723</v>
      </c>
      <c r="C21" s="230">
        <f>SUMIF(개별IS!B:B,B21,개별IS!C:C)</f>
        <v>10173478</v>
      </c>
      <c r="D21" s="230"/>
      <c r="E21" s="230">
        <f>SUMIF(개별IS!$B:$B,$B21,개별IS!E:E)</f>
        <v>187067120</v>
      </c>
      <c r="F21" s="230">
        <f>SUMIF(개별IS!$B:$B,$B21,개별IS!F:F)</f>
        <v>0</v>
      </c>
      <c r="G21" s="230">
        <f t="shared" si="1"/>
        <v>197240598</v>
      </c>
      <c r="H21" s="230"/>
      <c r="I21" s="240"/>
    </row>
    <row r="22" spans="2:9" ht="18" customHeight="1">
      <c r="B22" s="239" t="s">
        <v>724</v>
      </c>
      <c r="C22" s="230">
        <f>SUMIF(개별IS!B:B,B22,개별IS!C:C)</f>
        <v>6533390</v>
      </c>
      <c r="D22" s="230"/>
      <c r="E22" s="230">
        <f>SUMIF(개별IS!$B:$B,$B22,개별IS!E:E)</f>
        <v>0</v>
      </c>
      <c r="F22" s="230">
        <f>SUMIF(개별IS!$B:$B,$B22,개별IS!F:F)</f>
        <v>0</v>
      </c>
      <c r="G22" s="230">
        <f t="shared" si="1"/>
        <v>6533390</v>
      </c>
      <c r="H22" s="230"/>
      <c r="I22" s="240"/>
    </row>
    <row r="23" spans="2:9" ht="18" customHeight="1">
      <c r="B23" s="239" t="s">
        <v>725</v>
      </c>
      <c r="C23" s="230">
        <f>SUMIF(개별IS!B:B,B23,개별IS!C:C)</f>
        <v>369000</v>
      </c>
      <c r="D23" s="230"/>
      <c r="E23" s="230">
        <f>SUMIF(개별IS!$B:$B,$B23,개별IS!E:E)</f>
        <v>0</v>
      </c>
      <c r="F23" s="230">
        <f>SUMIF(개별IS!$B:$B,$B23,개별IS!F:F)</f>
        <v>0</v>
      </c>
      <c r="G23" s="230">
        <f t="shared" si="1"/>
        <v>369000</v>
      </c>
      <c r="H23" s="230"/>
      <c r="I23" s="240"/>
    </row>
    <row r="24" spans="2:9" ht="18" customHeight="1">
      <c r="B24" s="239" t="s">
        <v>726</v>
      </c>
      <c r="C24" s="230">
        <f>SUMIF(개별IS!B:B,B24,개별IS!C:C)</f>
        <v>2110812</v>
      </c>
      <c r="D24" s="230"/>
      <c r="E24" s="230">
        <f>SUMIF(개별IS!$B:$B,$B24,개별IS!E:E)</f>
        <v>0</v>
      </c>
      <c r="F24" s="230">
        <f>SUMIF(개별IS!$B:$B,$B24,개별IS!F:F)</f>
        <v>0</v>
      </c>
      <c r="G24" s="230">
        <f t="shared" si="1"/>
        <v>2110812</v>
      </c>
      <c r="H24" s="230"/>
      <c r="I24" s="240"/>
    </row>
    <row r="25" spans="2:9" ht="18" customHeight="1">
      <c r="B25" s="239" t="s">
        <v>727</v>
      </c>
      <c r="C25" s="230">
        <f>SUMIF(개별IS!B:B,B25,개별IS!C:C)</f>
        <v>11250518</v>
      </c>
      <c r="D25" s="230"/>
      <c r="E25" s="230">
        <f>SUMIF(개별IS!$B:$B,$B25,개별IS!E:E)</f>
        <v>0</v>
      </c>
      <c r="F25" s="230">
        <f>SUMIF(개별IS!$B:$B,$B25,개별IS!F:F)</f>
        <v>0</v>
      </c>
      <c r="G25" s="230">
        <f t="shared" si="1"/>
        <v>11250518</v>
      </c>
      <c r="H25" s="230"/>
      <c r="I25" s="240"/>
    </row>
    <row r="26" spans="2:9" ht="18" customHeight="1">
      <c r="B26" s="239" t="s">
        <v>728</v>
      </c>
      <c r="C26" s="230">
        <f>SUMIF(개별IS!B:B,B26,개별IS!C:C)</f>
        <v>27188604</v>
      </c>
      <c r="D26" s="230"/>
      <c r="E26" s="230">
        <f>SUMIF(개별IS!$B:$B,$B26,개별IS!E:E)</f>
        <v>0</v>
      </c>
      <c r="F26" s="230">
        <f>SUMIF(개별IS!$B:$B,$B26,개별IS!F:F)</f>
        <v>0</v>
      </c>
      <c r="G26" s="230">
        <f t="shared" si="1"/>
        <v>27188604</v>
      </c>
      <c r="H26" s="230"/>
      <c r="I26" s="240"/>
    </row>
    <row r="27" spans="2:9" ht="18" customHeight="1">
      <c r="B27" s="239" t="s">
        <v>729</v>
      </c>
      <c r="C27" s="230">
        <f>SUMIF(개별IS!B:B,B27,개별IS!C:C)</f>
        <v>69789610</v>
      </c>
      <c r="D27" s="230"/>
      <c r="E27" s="230">
        <f>SUMIF(개별IS!$B:$B,$B27,개별IS!E:E)</f>
        <v>0</v>
      </c>
      <c r="F27" s="230">
        <f>SUMIF(개별IS!$B:$B,$B27,개별IS!F:F)</f>
        <v>69386600</v>
      </c>
      <c r="G27" s="230">
        <f t="shared" si="1"/>
        <v>403010</v>
      </c>
      <c r="H27" s="230"/>
      <c r="I27" s="240"/>
    </row>
    <row r="28" spans="2:9" ht="18" customHeight="1">
      <c r="B28" s="239" t="s">
        <v>730</v>
      </c>
      <c r="C28" s="230">
        <f>SUMIF(개별IS!B:B,B28,개별IS!C:C)</f>
        <v>439582972</v>
      </c>
      <c r="D28" s="230"/>
      <c r="E28" s="230">
        <f>SUMIF(개별IS!$B:$B,$B28,개별IS!E:E)</f>
        <v>485471543</v>
      </c>
      <c r="F28" s="230">
        <f>SUMIF(개별IS!$B:$B,$B28,개별IS!F:F)</f>
        <v>395642431</v>
      </c>
      <c r="G28" s="230">
        <f t="shared" si="1"/>
        <v>529412084</v>
      </c>
      <c r="H28" s="230"/>
      <c r="I28" s="240"/>
    </row>
    <row r="29" spans="2:9" ht="18" customHeight="1">
      <c r="B29" s="239" t="s">
        <v>731</v>
      </c>
      <c r="C29" s="230">
        <f>SUMIF(개별IS!B:B,B29,개별IS!C:C)</f>
        <v>735801257</v>
      </c>
      <c r="D29" s="230"/>
      <c r="E29" s="230">
        <f>SUMIF(개별IS!$B:$B,$B29,개별IS!E:E)</f>
        <v>-882000</v>
      </c>
      <c r="F29" s="230">
        <f>SUMIF(개별IS!$B:$B,$B29,개별IS!F:F)</f>
        <v>0</v>
      </c>
      <c r="G29" s="230">
        <f t="shared" si="1"/>
        <v>734919257</v>
      </c>
      <c r="H29" s="230"/>
      <c r="I29" s="240"/>
    </row>
    <row r="30" spans="2:9" ht="18" customHeight="1">
      <c r="B30" s="239" t="s">
        <v>732</v>
      </c>
      <c r="C30" s="230">
        <f>SUMIF(개별IS!B:B,B30,개별IS!C:C)</f>
        <v>4831728</v>
      </c>
      <c r="D30" s="230"/>
      <c r="E30" s="230">
        <f>SUMIF(개별IS!$B:$B,$B30,개별IS!E:E)</f>
        <v>0</v>
      </c>
      <c r="F30" s="230">
        <f>SUMIF(개별IS!$B:$B,$B30,개별IS!F:F)</f>
        <v>0</v>
      </c>
      <c r="G30" s="230">
        <f t="shared" si="1"/>
        <v>4831728</v>
      </c>
      <c r="H30" s="230"/>
      <c r="I30" s="240"/>
    </row>
    <row r="31" spans="2:9" ht="18" customHeight="1">
      <c r="B31" s="239" t="s">
        <v>733</v>
      </c>
      <c r="C31" s="230">
        <f>SUMIF(개별IS!B:B,B31,개별IS!C:C)</f>
        <v>91007628</v>
      </c>
      <c r="D31" s="230"/>
      <c r="E31" s="230">
        <f>SUMIF(개별IS!$B:$B,$B31,개별IS!E:E)</f>
        <v>0</v>
      </c>
      <c r="F31" s="230">
        <f>SUMIF(개별IS!$B:$B,$B31,개별IS!F:F)</f>
        <v>82572780</v>
      </c>
      <c r="G31" s="230">
        <f t="shared" si="1"/>
        <v>8434848</v>
      </c>
      <c r="H31" s="230"/>
      <c r="I31" s="240"/>
    </row>
    <row r="32" spans="2:9" ht="18" customHeight="1">
      <c r="B32" s="239" t="s">
        <v>734</v>
      </c>
      <c r="C32" s="230">
        <f>SUMIF(개별IS!B:B,B32,개별IS!C:C)</f>
        <v>88920</v>
      </c>
      <c r="D32" s="230"/>
      <c r="E32" s="230">
        <f>SUMIF(개별IS!$B:$B,$B32,개별IS!E:E)</f>
        <v>0</v>
      </c>
      <c r="F32" s="230">
        <f>SUMIF(개별IS!$B:$B,$B32,개별IS!F:F)</f>
        <v>0</v>
      </c>
      <c r="G32" s="230">
        <f t="shared" si="1"/>
        <v>88920</v>
      </c>
      <c r="H32" s="230"/>
      <c r="I32" s="240"/>
    </row>
    <row r="33" spans="2:9" ht="18" customHeight="1">
      <c r="B33" s="239" t="s">
        <v>735</v>
      </c>
      <c r="C33" s="230">
        <f>SUMIF(개별IS!B:B,B33,개별IS!C:C)</f>
        <v>17337648</v>
      </c>
      <c r="D33" s="230"/>
      <c r="E33" s="230">
        <f>SUMIF(개별IS!$B:$B,$B33,개별IS!E:E)</f>
        <v>0</v>
      </c>
      <c r="F33" s="230">
        <f>SUMIF(개별IS!$B:$B,$B33,개별IS!F:F)</f>
        <v>0</v>
      </c>
      <c r="G33" s="230">
        <f t="shared" si="1"/>
        <v>17337648</v>
      </c>
      <c r="H33" s="230"/>
      <c r="I33" s="240"/>
    </row>
    <row r="34" spans="2:9" ht="18" customHeight="1">
      <c r="B34" s="239" t="s">
        <v>736</v>
      </c>
      <c r="C34" s="230">
        <f>SUMIF(개별IS!B:B,B34,개별IS!C:C)</f>
        <v>74961018</v>
      </c>
      <c r="D34" s="230"/>
      <c r="E34" s="230">
        <f>SUMIF(개별IS!$B:$B,$B34,개별IS!E:E)</f>
        <v>0</v>
      </c>
      <c r="F34" s="230">
        <f>SUMIF(개별IS!$B:$B,$B34,개별IS!F:F)</f>
        <v>0</v>
      </c>
      <c r="G34" s="230">
        <f t="shared" si="1"/>
        <v>74961018</v>
      </c>
      <c r="H34" s="230"/>
      <c r="I34" s="240"/>
    </row>
    <row r="35" spans="2:9" ht="18" customHeight="1">
      <c r="B35" s="239" t="s">
        <v>737</v>
      </c>
      <c r="C35" s="230">
        <f>SUMIF(개별IS!B:B,B35,개별IS!C:C)</f>
        <v>111369</v>
      </c>
      <c r="D35" s="230"/>
      <c r="E35" s="230">
        <f>SUMIF(개별IS!$B:$B,$B35,개별IS!E:E)</f>
        <v>0</v>
      </c>
      <c r="F35" s="230">
        <f>SUMIF(개별IS!$B:$B,$B35,개별IS!F:F)</f>
        <v>0</v>
      </c>
      <c r="G35" s="230">
        <f t="shared" si="1"/>
        <v>111369</v>
      </c>
      <c r="H35" s="230"/>
      <c r="I35" s="240"/>
    </row>
    <row r="36" spans="2:9" ht="18" customHeight="1">
      <c r="B36" s="239" t="s">
        <v>738</v>
      </c>
      <c r="C36" s="230">
        <f>SUMIF(개별IS!B:B,B36,개별IS!C:C)</f>
        <v>118744168</v>
      </c>
      <c r="D36" s="230"/>
      <c r="E36" s="230">
        <f>SUMIF(개별IS!$B:$B,$B36,개별IS!E:E)</f>
        <v>1693117</v>
      </c>
      <c r="F36" s="230">
        <f>SUMIF(개별IS!$B:$B,$B36,개별IS!F:F)</f>
        <v>93500</v>
      </c>
      <c r="G36" s="230">
        <f t="shared" si="1"/>
        <v>120343785</v>
      </c>
      <c r="H36" s="230"/>
      <c r="I36" s="240"/>
    </row>
    <row r="37" spans="2:9" ht="18" customHeight="1">
      <c r="B37" s="239" t="s">
        <v>739</v>
      </c>
      <c r="C37" s="230">
        <f>SUMIF(개별IS!B:B,B37,개별IS!C:C)</f>
        <v>463254899</v>
      </c>
      <c r="D37" s="230"/>
      <c r="E37" s="230">
        <f>SUMIF(개별IS!$B:$B,$B37,개별IS!E:E)</f>
        <v>10000</v>
      </c>
      <c r="F37" s="230">
        <f>SUMIF(개별IS!$B:$B,$B37,개별IS!F:F)</f>
        <v>0</v>
      </c>
      <c r="G37" s="230">
        <f t="shared" si="1"/>
        <v>463264899</v>
      </c>
      <c r="H37" s="230"/>
      <c r="I37" s="240"/>
    </row>
    <row r="38" spans="2:9" ht="18" customHeight="1">
      <c r="B38" s="239" t="s">
        <v>740</v>
      </c>
      <c r="C38" s="230">
        <f>SUMIF(개별IS!B:B,B38,개별IS!C:C)</f>
        <v>164333093</v>
      </c>
      <c r="D38" s="230"/>
      <c r="E38" s="230">
        <f>SUMIF(개별IS!$B:$B,$B38,개별IS!E:E)</f>
        <v>0</v>
      </c>
      <c r="F38" s="230">
        <f>SUMIF(개별IS!$B:$B,$B38,개별IS!F:F)</f>
        <v>0</v>
      </c>
      <c r="G38" s="230">
        <f t="shared" si="1"/>
        <v>164333093</v>
      </c>
      <c r="H38" s="230"/>
      <c r="I38" s="240"/>
    </row>
    <row r="39" spans="2:9" ht="18" customHeight="1">
      <c r="B39" s="239" t="s">
        <v>741</v>
      </c>
      <c r="C39" s="230">
        <f>SUMIF(개별IS!B:B,B39,개별IS!C:C)</f>
        <v>130260344</v>
      </c>
      <c r="D39" s="230"/>
      <c r="E39" s="230">
        <f>SUMIF(개별IS!$B:$B,$B39,개별IS!E:E)</f>
        <v>146204833</v>
      </c>
      <c r="F39" s="230">
        <f>SUMIF(개별IS!$B:$B,$B39,개별IS!F:F)</f>
        <v>130260344</v>
      </c>
      <c r="G39" s="230">
        <f t="shared" si="1"/>
        <v>146204833</v>
      </c>
      <c r="H39" s="230"/>
      <c r="I39" s="240"/>
    </row>
    <row r="40" spans="2:9" ht="18" customHeight="1">
      <c r="B40" s="239" t="s">
        <v>742</v>
      </c>
      <c r="C40" s="230">
        <f>SUMIF(개별IS!B:B,B40,개별IS!C:C)</f>
        <v>25982700</v>
      </c>
      <c r="D40" s="230"/>
      <c r="E40" s="230">
        <f>SUMIF(개별IS!$B:$B,$B40,개별IS!E:E)</f>
        <v>0</v>
      </c>
      <c r="F40" s="230">
        <f>SUMIF(개별IS!$B:$B,$B40,개별IS!F:F)</f>
        <v>0</v>
      </c>
      <c r="G40" s="230">
        <f t="shared" si="1"/>
        <v>25982700</v>
      </c>
      <c r="H40" s="230"/>
      <c r="I40" s="240"/>
    </row>
    <row r="41" spans="2:9" ht="18" customHeight="1">
      <c r="B41" s="239" t="s">
        <v>743</v>
      </c>
      <c r="C41" s="230">
        <f>SUMIF(개별IS!B:B,B41,개별IS!C:C)</f>
        <v>740782738</v>
      </c>
      <c r="D41" s="230"/>
      <c r="E41" s="230">
        <f>SUMIF(개별IS!$B:$B,$B41,개별IS!E:E)</f>
        <v>97261633</v>
      </c>
      <c r="F41" s="230">
        <f>SUMIF(개별IS!$B:$B,$B41,개별IS!F:F)</f>
        <v>0</v>
      </c>
      <c r="G41" s="230">
        <f t="shared" si="1"/>
        <v>838044371</v>
      </c>
      <c r="H41" s="230"/>
      <c r="I41" s="240"/>
    </row>
    <row r="42" spans="2:9" ht="18" customHeight="1">
      <c r="B42" s="239" t="s">
        <v>744</v>
      </c>
      <c r="C42" s="230">
        <f>SUMIF(개별IS!B:B,B42,개별IS!C:C)</f>
        <v>174863142</v>
      </c>
      <c r="D42" s="230"/>
      <c r="E42" s="230">
        <f>SUMIF(개별IS!$B:$B,$B42,개별IS!E:E)</f>
        <v>0</v>
      </c>
      <c r="F42" s="230">
        <f>SUMIF(개별IS!$B:$B,$B42,개별IS!F:F)</f>
        <v>0</v>
      </c>
      <c r="G42" s="230">
        <f t="shared" si="1"/>
        <v>174863142</v>
      </c>
      <c r="H42" s="230"/>
      <c r="I42" s="240"/>
    </row>
    <row r="43" spans="2:9" ht="18" customHeight="1">
      <c r="B43" s="241" t="s">
        <v>745</v>
      </c>
      <c r="C43" s="236"/>
      <c r="D43" s="236">
        <f>D15-D16</f>
        <v>-1389662335</v>
      </c>
      <c r="E43" s="236"/>
      <c r="F43" s="236"/>
      <c r="G43" s="236"/>
      <c r="H43" s="236">
        <f>H15-H16</f>
        <v>-1687025157</v>
      </c>
      <c r="I43" s="240"/>
    </row>
    <row r="44" spans="2:9" ht="18" customHeight="1">
      <c r="B44" s="241" t="s">
        <v>746</v>
      </c>
      <c r="C44" s="236"/>
      <c r="D44" s="236">
        <f>SUM(C45:C46)</f>
        <v>172394092</v>
      </c>
      <c r="E44" s="236"/>
      <c r="F44" s="236"/>
      <c r="G44" s="236"/>
      <c r="H44" s="236">
        <f>SUM(G45:G46)</f>
        <v>194961704</v>
      </c>
    </row>
    <row r="45" spans="2:9" ht="18" customHeight="1">
      <c r="B45" s="239" t="s">
        <v>747</v>
      </c>
      <c r="C45" s="230">
        <f>SUMIF(개별IS!B:B,B45,개별IS!C:C)</f>
        <v>121327</v>
      </c>
      <c r="D45" s="230"/>
      <c r="E45" s="230">
        <f>SUMIF(개별IS!$B:$B,$B45,개별IS!E:E)</f>
        <v>0</v>
      </c>
      <c r="F45" s="230">
        <f>SUMIF(개별IS!$B:$B,$B45,개별IS!F:F)</f>
        <v>22567612</v>
      </c>
      <c r="G45" s="230">
        <f t="shared" ref="G45:G46" si="2">C45-E45+F45</f>
        <v>22688939</v>
      </c>
      <c r="H45" s="230"/>
    </row>
    <row r="46" spans="2:9" ht="18" customHeight="1">
      <c r="B46" s="239" t="s">
        <v>748</v>
      </c>
      <c r="C46" s="230">
        <f>SUMIF(개별IS!B:B,B46,개별IS!C:C)</f>
        <v>172272765</v>
      </c>
      <c r="D46" s="230"/>
      <c r="E46" s="230">
        <f>SUMIF(개별IS!$B:$B,$B46,개별IS!E:E)</f>
        <v>0</v>
      </c>
      <c r="F46" s="230">
        <f>SUMIF(개별IS!$B:$B,$B46,개별IS!F:F)</f>
        <v>0</v>
      </c>
      <c r="G46" s="230">
        <f t="shared" si="2"/>
        <v>172272765</v>
      </c>
      <c r="H46" s="230"/>
    </row>
    <row r="47" spans="2:9" ht="18" customHeight="1">
      <c r="B47" s="241" t="s">
        <v>749</v>
      </c>
      <c r="C47" s="236"/>
      <c r="D47" s="236">
        <f>SUM(C48:C52)</f>
        <v>859565081</v>
      </c>
      <c r="E47" s="236"/>
      <c r="F47" s="236"/>
      <c r="G47" s="236"/>
      <c r="H47" s="236">
        <f>SUM(G48:G52)</f>
        <v>976283223</v>
      </c>
    </row>
    <row r="48" spans="2:9" ht="18" customHeight="1">
      <c r="B48" s="239" t="s">
        <v>750</v>
      </c>
      <c r="C48" s="230">
        <f>SUMIF(개별IS!B:B,B48,개별IS!C:C)</f>
        <v>0</v>
      </c>
      <c r="D48" s="230"/>
      <c r="E48" s="230">
        <f>SUMIF(개별IS!$B:$B,$B48,개별IS!E:E)</f>
        <v>63710</v>
      </c>
      <c r="F48" s="230">
        <f>SUMIF(개별IS!$B:$B,$B48,개별IS!F:F)</f>
        <v>0</v>
      </c>
      <c r="G48" s="230">
        <f t="shared" ref="G48:G52" si="3">C48+E48-F48</f>
        <v>63710</v>
      </c>
      <c r="H48" s="230"/>
    </row>
    <row r="49" spans="2:8" ht="18" customHeight="1">
      <c r="B49" s="239" t="s">
        <v>751</v>
      </c>
      <c r="C49" s="230">
        <f>SUMIF(개별IS!B:B,B49,개별IS!C:C)</f>
        <v>859120251</v>
      </c>
      <c r="D49" s="230"/>
      <c r="E49" s="230">
        <f>SUMIF(개별IS!$B:$B,$B49,개별IS!E:E)</f>
        <v>-859120251</v>
      </c>
      <c r="F49" s="230">
        <f>SUMIF(개별IS!$B:$B,$B49,개별IS!F:F)</f>
        <v>0</v>
      </c>
      <c r="G49" s="230">
        <f t="shared" si="3"/>
        <v>0</v>
      </c>
      <c r="H49" s="230"/>
    </row>
    <row r="50" spans="2:8" ht="18" customHeight="1">
      <c r="B50" s="239" t="s">
        <v>752</v>
      </c>
      <c r="C50" s="230">
        <f>SUMIF(개별IS!B:B,B50,개별IS!C:C)</f>
        <v>0</v>
      </c>
      <c r="D50" s="230"/>
      <c r="E50" s="230">
        <f>SUMIF(개별IS!$B:$B,$B50,개별IS!E:E)</f>
        <v>859120251</v>
      </c>
      <c r="F50" s="230">
        <f>SUMIF(개별IS!$B:$B,$B50,개별IS!F:F)</f>
        <v>0</v>
      </c>
      <c r="G50" s="230">
        <f t="shared" si="3"/>
        <v>859120251</v>
      </c>
      <c r="H50" s="230"/>
    </row>
    <row r="51" spans="2:8" ht="18" customHeight="1">
      <c r="B51" s="242" t="s">
        <v>753</v>
      </c>
      <c r="C51" s="231"/>
      <c r="D51" s="231"/>
      <c r="E51" s="231">
        <f>SUMIF(개별IS!$B:$B,$B51,개별IS!E:E)</f>
        <v>25444697</v>
      </c>
      <c r="F51" s="231">
        <f>SUMIF(개별IS!$B:$B,$B51,개별IS!F:F)</f>
        <v>0</v>
      </c>
      <c r="G51" s="231">
        <f t="shared" si="3"/>
        <v>25444697</v>
      </c>
      <c r="H51" s="231"/>
    </row>
    <row r="52" spans="2:8" ht="18" customHeight="1">
      <c r="B52" s="239" t="s">
        <v>754</v>
      </c>
      <c r="C52" s="230">
        <f>SUMIF(개별IS!B:B,B52,개별IS!C:C)</f>
        <v>444830</v>
      </c>
      <c r="D52" s="230"/>
      <c r="E52" s="230">
        <f>SUMIF(개별IS!$B:$B,$B52,개별IS!E:E)</f>
        <v>91209735</v>
      </c>
      <c r="F52" s="230">
        <f>SUMIF(개별IS!$B:$B,$B52,개별IS!F:F)</f>
        <v>0</v>
      </c>
      <c r="G52" s="230">
        <f t="shared" si="3"/>
        <v>91654565</v>
      </c>
      <c r="H52" s="230"/>
    </row>
    <row r="53" spans="2:8" ht="18" customHeight="1">
      <c r="B53" s="241" t="s">
        <v>755</v>
      </c>
      <c r="C53" s="236"/>
      <c r="D53" s="236">
        <f>D43+D44-D47</f>
        <v>-2076833324</v>
      </c>
      <c r="E53" s="236"/>
      <c r="F53" s="236"/>
      <c r="G53" s="236"/>
      <c r="H53" s="236">
        <f>H43+H44-H47</f>
        <v>-2468346676</v>
      </c>
    </row>
    <row r="54" spans="2:8" ht="18" customHeight="1">
      <c r="B54" s="241" t="s">
        <v>756</v>
      </c>
      <c r="C54" s="236"/>
      <c r="D54" s="236">
        <v>0</v>
      </c>
      <c r="E54" s="236"/>
      <c r="F54" s="236"/>
      <c r="G54" s="236"/>
      <c r="H54" s="236">
        <v>0</v>
      </c>
    </row>
    <row r="55" spans="2:8" ht="18" customHeight="1">
      <c r="B55" s="241" t="s">
        <v>757</v>
      </c>
      <c r="C55" s="236"/>
      <c r="D55" s="236">
        <f>D53-D54</f>
        <v>-2076833324</v>
      </c>
      <c r="E55" s="236"/>
      <c r="F55" s="236"/>
      <c r="G55" s="236"/>
      <c r="H55" s="236">
        <f>H53-H54</f>
        <v>-2468346676</v>
      </c>
    </row>
    <row r="56" spans="2:8" ht="18" customHeight="1">
      <c r="D56" s="240" t="b">
        <f>D55=연결BS!D58</f>
        <v>1</v>
      </c>
      <c r="H56" s="210" t="b">
        <f>H55=연결BS!H58</f>
        <v>1</v>
      </c>
    </row>
  </sheetData>
  <mergeCells count="6">
    <mergeCell ref="B1:H1"/>
    <mergeCell ref="B2:H2"/>
    <mergeCell ref="B5:B6"/>
    <mergeCell ref="C5:D6"/>
    <mergeCell ref="E5:F5"/>
    <mergeCell ref="G5:H6"/>
  </mergeCells>
  <phoneticPr fontId="9" type="noConversion"/>
  <conditionalFormatting sqref="B25">
    <cfRule type="duplicateValues" dxfId="11" priority="2"/>
  </conditionalFormatting>
  <conditionalFormatting sqref="B35">
    <cfRule type="duplicateValues" dxfId="10" priority="3"/>
  </conditionalFormatting>
  <conditionalFormatting sqref="B39">
    <cfRule type="duplicateValues" dxfId="9" priority="1"/>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68"/>
  <sheetViews>
    <sheetView zoomScaleNormal="100" workbookViewId="0">
      <selection activeCell="K15" sqref="K15"/>
    </sheetView>
  </sheetViews>
  <sheetFormatPr defaultRowHeight="13.5"/>
  <cols>
    <col min="1" max="1" width="1.7109375" customWidth="1"/>
    <col min="2" max="2" width="32.85546875" bestFit="1" customWidth="1"/>
    <col min="3" max="4" width="19.28515625" customWidth="1"/>
    <col min="5" max="8" width="13.28515625" bestFit="1" customWidth="1"/>
    <col min="9" max="9" width="14.140625" bestFit="1" customWidth="1"/>
  </cols>
  <sheetData>
    <row r="1" spans="2:10">
      <c r="B1" t="s">
        <v>758</v>
      </c>
    </row>
    <row r="2" spans="2:10">
      <c r="B2" s="374" t="s">
        <v>645</v>
      </c>
      <c r="C2" s="374" t="s">
        <v>759</v>
      </c>
      <c r="D2" s="374"/>
      <c r="E2" s="368" t="s">
        <v>647</v>
      </c>
      <c r="F2" s="368"/>
      <c r="G2" s="370" t="s">
        <v>648</v>
      </c>
      <c r="H2" s="371"/>
    </row>
    <row r="3" spans="2:10">
      <c r="B3" s="374"/>
      <c r="C3" s="374" t="s">
        <v>760</v>
      </c>
      <c r="D3" s="374"/>
      <c r="E3" s="228" t="s">
        <v>649</v>
      </c>
      <c r="F3" s="228" t="s">
        <v>650</v>
      </c>
      <c r="G3" s="372"/>
      <c r="H3" s="373"/>
    </row>
    <row r="4" spans="2:10">
      <c r="B4" s="243" t="s">
        <v>651</v>
      </c>
      <c r="C4" s="244" t="s">
        <v>110</v>
      </c>
      <c r="D4" s="244" t="s">
        <v>110</v>
      </c>
      <c r="E4" s="244"/>
      <c r="F4" s="244"/>
      <c r="G4" s="244"/>
      <c r="H4" s="244"/>
    </row>
    <row r="5" spans="2:10">
      <c r="B5" s="239" t="s">
        <v>652</v>
      </c>
      <c r="C5" s="245" t="s">
        <v>110</v>
      </c>
      <c r="D5" s="245">
        <f>SUM(D6,D12)</f>
        <v>861868649</v>
      </c>
      <c r="E5" s="245"/>
      <c r="F5" s="245"/>
      <c r="G5" s="245"/>
      <c r="H5" s="245">
        <f>SUM(H6,H12)</f>
        <v>897051649</v>
      </c>
    </row>
    <row r="6" spans="2:10">
      <c r="B6" s="239" t="s">
        <v>653</v>
      </c>
      <c r="C6" s="245" t="s">
        <v>110</v>
      </c>
      <c r="D6" s="245">
        <f>SUM(D7:D11)</f>
        <v>861868649</v>
      </c>
      <c r="E6" s="245"/>
      <c r="F6" s="245"/>
      <c r="G6" s="245"/>
      <c r="H6" s="245">
        <f>SUM(H7:H11)</f>
        <v>897051649</v>
      </c>
    </row>
    <row r="7" spans="2:10">
      <c r="B7" s="239" t="s">
        <v>655</v>
      </c>
      <c r="C7" s="245" t="s">
        <v>110</v>
      </c>
      <c r="D7" s="245">
        <v>97366383</v>
      </c>
      <c r="E7" s="245">
        <f>SUMIF('수정사항 집계'!$C:$C,RIGHT($B7,LEN($B7)-12),'수정사항 집계'!D:D)</f>
        <v>0</v>
      </c>
      <c r="F7" s="245">
        <f>SUMIF('수정사항 집계'!$C:$C,RIGHT($B7,LEN($B7)-12),'수정사항 집계'!E:E)</f>
        <v>0</v>
      </c>
      <c r="G7" s="245"/>
      <c r="H7" s="245">
        <f>D7+E7-F7</f>
        <v>97366383</v>
      </c>
    </row>
    <row r="8" spans="2:10">
      <c r="B8" s="239" t="s">
        <v>656</v>
      </c>
      <c r="C8" s="245" t="s">
        <v>110</v>
      </c>
      <c r="D8" s="245">
        <v>11379643</v>
      </c>
      <c r="E8" s="245">
        <f>SUMIF('수정사항 집계'!$C:$C,RIGHT($B8,LEN($B8)-12),'수정사항 집계'!D:D)</f>
        <v>0</v>
      </c>
      <c r="F8" s="245">
        <f>SUMIF('수정사항 집계'!$C:$C,RIGHT($B8,LEN($B8)-12),'수정사항 집계'!E:E)</f>
        <v>0</v>
      </c>
      <c r="G8" s="245"/>
      <c r="H8" s="245">
        <f t="shared" ref="H8:H27" si="0">D8+E8-F8</f>
        <v>11379643</v>
      </c>
    </row>
    <row r="9" spans="2:10">
      <c r="B9" s="239" t="s">
        <v>657</v>
      </c>
      <c r="C9" s="245" t="s">
        <v>110</v>
      </c>
      <c r="D9" s="245">
        <v>24609890</v>
      </c>
      <c r="E9" s="245">
        <f>SUMIF('수정사항 집계'!$C:$C,RIGHT($B9,LEN($B9)-12),'수정사항 집계'!D:D)</f>
        <v>0</v>
      </c>
      <c r="F9" s="245">
        <f>SUMIF('수정사항 집계'!$C:$C,RIGHT($B9,LEN($B9)-12),'수정사항 집계'!E:E)</f>
        <v>0</v>
      </c>
      <c r="G9" s="245"/>
      <c r="H9" s="245">
        <f t="shared" si="0"/>
        <v>24609890</v>
      </c>
    </row>
    <row r="10" spans="2:10">
      <c r="B10" s="239" t="s">
        <v>658</v>
      </c>
      <c r="C10" s="245" t="s">
        <v>110</v>
      </c>
      <c r="D10" s="245">
        <v>43742679</v>
      </c>
      <c r="E10" s="245">
        <f>SUMIF('수정사항 집계'!$C:$C,RIGHT($B10,LEN($B10)-12),'수정사항 집계'!D:D)</f>
        <v>0</v>
      </c>
      <c r="F10" s="245">
        <f>SUMIF('수정사항 집계'!$C:$C,RIGHT($B10,LEN($B10)-12),'수정사항 집계'!E:E)</f>
        <v>0</v>
      </c>
      <c r="G10" s="245"/>
      <c r="H10" s="245">
        <f t="shared" si="0"/>
        <v>43742679</v>
      </c>
    </row>
    <row r="11" spans="2:10">
      <c r="B11" s="239" t="s">
        <v>660</v>
      </c>
      <c r="C11" s="245" t="s">
        <v>110</v>
      </c>
      <c r="D11" s="245">
        <v>684770054</v>
      </c>
      <c r="E11" s="245">
        <f>SUMIF('수정사항 집계'!$C:$C,RIGHT($B11,LEN($B11)-12),'수정사항 집계'!D:D)</f>
        <v>35183000</v>
      </c>
      <c r="F11" s="245">
        <f>SUMIF('수정사항 집계'!$C:$C,RIGHT($B11,LEN($B11)-12),'수정사항 집계'!E:E)</f>
        <v>0</v>
      </c>
      <c r="G11" s="245"/>
      <c r="H11" s="245">
        <f t="shared" si="0"/>
        <v>719953054</v>
      </c>
    </row>
    <row r="12" spans="2:10">
      <c r="B12" s="239" t="s">
        <v>661</v>
      </c>
      <c r="C12" s="245" t="s">
        <v>110</v>
      </c>
      <c r="D12" s="246">
        <v>0</v>
      </c>
      <c r="E12" s="245"/>
      <c r="F12" s="246"/>
      <c r="G12" s="245"/>
      <c r="H12" s="245">
        <f t="shared" si="0"/>
        <v>0</v>
      </c>
    </row>
    <row r="13" spans="2:10">
      <c r="B13" s="239" t="s">
        <v>662</v>
      </c>
      <c r="C13" s="245" t="s">
        <v>110</v>
      </c>
      <c r="D13" s="245">
        <f>SUM(D14,D15,D22,D24)</f>
        <v>247321496</v>
      </c>
      <c r="E13" s="245"/>
      <c r="F13" s="245"/>
      <c r="G13" s="245"/>
      <c r="H13" s="245">
        <f>SUM(H14,H15,H22,H24)</f>
        <v>1571255271</v>
      </c>
    </row>
    <row r="14" spans="2:10">
      <c r="B14" s="239" t="s">
        <v>663</v>
      </c>
      <c r="C14" s="245" t="s">
        <v>110</v>
      </c>
      <c r="D14" s="246">
        <v>0</v>
      </c>
      <c r="E14" s="245"/>
      <c r="F14" s="246"/>
      <c r="G14" s="245"/>
      <c r="H14" s="245">
        <f t="shared" si="0"/>
        <v>0</v>
      </c>
    </row>
    <row r="15" spans="2:10">
      <c r="B15" s="239" t="s">
        <v>664</v>
      </c>
      <c r="C15" s="245" t="s">
        <v>110</v>
      </c>
      <c r="D15" s="245">
        <f>SUM(D16:D21)</f>
        <v>33201048</v>
      </c>
      <c r="E15" s="245"/>
      <c r="F15" s="245"/>
      <c r="G15" s="245"/>
      <c r="H15" s="245">
        <f>SUM(H16:H21)</f>
        <v>11304471</v>
      </c>
    </row>
    <row r="16" spans="2:10">
      <c r="B16" s="247" t="s">
        <v>669</v>
      </c>
      <c r="C16" s="248">
        <v>13150000</v>
      </c>
      <c r="D16" s="248" t="s">
        <v>110</v>
      </c>
      <c r="E16" s="248">
        <f>SUMIF('수정사항 집계'!$C:$C,RIGHT($B16,LEN($B16)-12),'수정사항 집계'!D:D)</f>
        <v>0</v>
      </c>
      <c r="F16" s="248">
        <f>SUMIF('수정사항 집계'!$C:$C,RIGHT($B16,LEN($B16)-12),'수정사항 집계'!E:E)</f>
        <v>13150000</v>
      </c>
      <c r="G16" s="248">
        <f>C16+E16-F16</f>
        <v>0</v>
      </c>
      <c r="H16" s="248"/>
      <c r="I16" s="249" t="s">
        <v>570</v>
      </c>
      <c r="J16" s="250"/>
    </row>
    <row r="17" spans="2:9">
      <c r="B17" s="239" t="s">
        <v>761</v>
      </c>
      <c r="C17" s="245">
        <v>1035833</v>
      </c>
      <c r="D17" s="245">
        <v>12114167</v>
      </c>
      <c r="E17" s="245">
        <f>SUMIF('수정사항 집계'!$C:$C,RIGHT($B17,LEN($B17)-12),'수정사항 집계'!D:D)</f>
        <v>1035833</v>
      </c>
      <c r="F17" s="245">
        <f>SUMIF('수정사항 집계'!$C:$C,RIGHT($B17,LEN($B17)-12),'수정사항 집계'!E:E)</f>
        <v>0</v>
      </c>
      <c r="G17" s="245">
        <f>C17-E17+F17</f>
        <v>0</v>
      </c>
      <c r="H17" s="245">
        <f>G16-G17</f>
        <v>0</v>
      </c>
    </row>
    <row r="18" spans="2:9">
      <c r="B18" s="247" t="s">
        <v>665</v>
      </c>
      <c r="C18" s="248">
        <v>22033000</v>
      </c>
      <c r="D18" s="248" t="s">
        <v>110</v>
      </c>
      <c r="E18" s="248">
        <f>SUMIF('수정사항 집계'!$C:$C,RIGHT($B18,LEN($B18)-12),'수정사항 집계'!D:D)</f>
        <v>0</v>
      </c>
      <c r="F18" s="248">
        <f>SUMIF('수정사항 집계'!$C:$C,RIGHT($B18,LEN($B18)-12),'수정사항 집계'!E:E)</f>
        <v>22033000</v>
      </c>
      <c r="G18" s="248">
        <f>C18+E18-F18</f>
        <v>0</v>
      </c>
      <c r="H18" s="248"/>
      <c r="I18" s="249" t="s">
        <v>570</v>
      </c>
    </row>
    <row r="19" spans="2:9">
      <c r="B19" s="239" t="s">
        <v>762</v>
      </c>
      <c r="C19" s="245">
        <v>946119</v>
      </c>
      <c r="D19" s="245">
        <v>21086881</v>
      </c>
      <c r="E19" s="245">
        <f>SUMIF('수정사항 집계'!$C:$C,RIGHT($B19,LEN($B19)-12),'수정사항 집계'!D:D)</f>
        <v>946119</v>
      </c>
      <c r="F19" s="245">
        <f>SUMIF('수정사항 집계'!$C:$C,RIGHT($B19,LEN($B19)-12),'수정사항 집계'!E:E)</f>
        <v>0</v>
      </c>
      <c r="G19" s="245">
        <f>C19-E19+F19</f>
        <v>0</v>
      </c>
      <c r="H19" s="245">
        <f>G18-G19</f>
        <v>0</v>
      </c>
    </row>
    <row r="20" spans="2:9">
      <c r="B20" s="242" t="s">
        <v>671</v>
      </c>
      <c r="C20" s="251"/>
      <c r="D20" s="251"/>
      <c r="E20" s="251">
        <f>SUMIF('수정사항 집계'!$C:$C,RIGHT($B20,LEN($B20)-12),'수정사항 집계'!D:D)</f>
        <v>12332150</v>
      </c>
      <c r="F20" s="251">
        <f>SUMIF('수정사항 집계'!$C:$C,RIGHT($B20,LEN($B20)-12),'수정사항 집계'!E:E)</f>
        <v>0</v>
      </c>
      <c r="G20" s="251">
        <f>C20+E20-F20</f>
        <v>12332150</v>
      </c>
      <c r="H20" s="251"/>
      <c r="I20" s="252" t="s">
        <v>763</v>
      </c>
    </row>
    <row r="21" spans="2:9">
      <c r="B21" s="242" t="s">
        <v>672</v>
      </c>
      <c r="C21" s="251"/>
      <c r="D21" s="251"/>
      <c r="E21" s="251">
        <f>SUMIF('수정사항 집계'!$C:$C,RIGHT($B21,LEN($B21)-12),'수정사항 집계'!D:D)</f>
        <v>0</v>
      </c>
      <c r="F21" s="251">
        <f>SUMIF('수정사항 집계'!$C:$C,RIGHT($B21,LEN($B21)-12),'수정사항 집계'!E:E)</f>
        <v>1027679</v>
      </c>
      <c r="G21" s="251">
        <f>C21-E21+F21</f>
        <v>1027679</v>
      </c>
      <c r="H21" s="251">
        <f>G20-G21</f>
        <v>11304471</v>
      </c>
      <c r="I21" s="252" t="s">
        <v>763</v>
      </c>
    </row>
    <row r="22" spans="2:9">
      <c r="B22" s="239" t="s">
        <v>673</v>
      </c>
      <c r="C22" s="245" t="s">
        <v>110</v>
      </c>
      <c r="D22" s="246">
        <v>0</v>
      </c>
      <c r="E22" s="245"/>
      <c r="F22" s="246"/>
      <c r="G22" s="245"/>
      <c r="H22" s="245">
        <f>H23</f>
        <v>1347822917</v>
      </c>
    </row>
    <row r="23" spans="2:9">
      <c r="B23" s="242" t="s">
        <v>674</v>
      </c>
      <c r="C23" s="251"/>
      <c r="D23" s="253"/>
      <c r="E23" s="251">
        <f>SUMIF('수정사항 집계'!$C:$C,RIGHT($B23,LEN($B23)-12),'수정사항 집계'!D:D)</f>
        <v>1376500000</v>
      </c>
      <c r="F23" s="251">
        <f>SUMIF('수정사항 집계'!$C:$C,RIGHT($B23,LEN($B23)-12),'수정사항 집계'!E:E)</f>
        <v>28677083</v>
      </c>
      <c r="G23" s="251"/>
      <c r="H23" s="251">
        <f t="shared" si="0"/>
        <v>1347822917</v>
      </c>
      <c r="I23" s="252" t="s">
        <v>763</v>
      </c>
    </row>
    <row r="24" spans="2:9">
      <c r="B24" s="239" t="s">
        <v>675</v>
      </c>
      <c r="C24" s="245" t="s">
        <v>110</v>
      </c>
      <c r="D24" s="245">
        <f>SUM(D25:D27)</f>
        <v>214120448</v>
      </c>
      <c r="E24" s="245"/>
      <c r="F24" s="245"/>
      <c r="G24" s="245"/>
      <c r="H24" s="245">
        <f>SUM(H25:H27)</f>
        <v>212127883</v>
      </c>
    </row>
    <row r="25" spans="2:9">
      <c r="B25" s="239" t="s">
        <v>676</v>
      </c>
      <c r="C25" s="245" t="s">
        <v>110</v>
      </c>
      <c r="D25" s="245">
        <v>30000000</v>
      </c>
      <c r="E25" s="245">
        <f>SUMIF('수정사항 집계'!$C:$C,RIGHT($B25,LEN($B25)-12),'수정사항 집계'!D:D)</f>
        <v>0</v>
      </c>
      <c r="F25" s="245">
        <f>SUMIF('수정사항 집계'!$C:$C,RIGHT($B25,LEN($B25)-12),'수정사항 집계'!E:E)</f>
        <v>0</v>
      </c>
      <c r="G25" s="245"/>
      <c r="H25" s="245">
        <f t="shared" si="0"/>
        <v>30000000</v>
      </c>
    </row>
    <row r="26" spans="2:9">
      <c r="B26" s="242" t="s">
        <v>677</v>
      </c>
      <c r="C26" s="251"/>
      <c r="D26" s="251"/>
      <c r="E26" s="251">
        <f>SUMIF('수정사항 집계'!$C:$C,RIGHT($B26,LEN($B26)-12),'수정사항 집계'!D:D)</f>
        <v>174443</v>
      </c>
      <c r="F26" s="251">
        <f>SUMIF('수정사항 집계'!$C:$C,RIGHT($B26,LEN($B26)-12),'수정사항 집계'!E:E)</f>
        <v>2167008</v>
      </c>
      <c r="G26" s="251"/>
      <c r="H26" s="251">
        <f>E26-F26</f>
        <v>-1992565</v>
      </c>
      <c r="I26" s="252" t="s">
        <v>763</v>
      </c>
    </row>
    <row r="27" spans="2:9">
      <c r="B27" s="239" t="s">
        <v>678</v>
      </c>
      <c r="C27" s="245" t="s">
        <v>110</v>
      </c>
      <c r="D27" s="245">
        <v>184120448</v>
      </c>
      <c r="E27" s="245">
        <f>SUMIF('수정사항 집계'!$C:$C,RIGHT($B27,LEN($B27)-12),'수정사항 집계'!D:D)</f>
        <v>0</v>
      </c>
      <c r="F27" s="245">
        <f>SUMIF('수정사항 집계'!$C:$C,RIGHT($B27,LEN($B27)-12),'수정사항 집계'!E:E)</f>
        <v>0</v>
      </c>
      <c r="G27" s="245"/>
      <c r="H27" s="245">
        <f t="shared" si="0"/>
        <v>184120448</v>
      </c>
    </row>
    <row r="28" spans="2:9">
      <c r="B28" s="239" t="s">
        <v>679</v>
      </c>
      <c r="C28" s="245" t="s">
        <v>110</v>
      </c>
      <c r="D28" s="245">
        <f>SUM(D5,D13)</f>
        <v>1109190145</v>
      </c>
      <c r="E28" s="245"/>
      <c r="F28" s="245"/>
      <c r="G28" s="245"/>
      <c r="H28" s="245">
        <f>SUM(H5,H13)</f>
        <v>2468306920</v>
      </c>
    </row>
    <row r="29" spans="2:9">
      <c r="B29" s="239" t="s">
        <v>680</v>
      </c>
      <c r="C29" s="245" t="s">
        <v>110</v>
      </c>
      <c r="D29" s="245" t="s">
        <v>110</v>
      </c>
      <c r="E29" s="245"/>
      <c r="F29" s="245"/>
      <c r="G29" s="245"/>
      <c r="H29" s="245"/>
    </row>
    <row r="30" spans="2:9">
      <c r="B30" s="239" t="s">
        <v>681</v>
      </c>
      <c r="C30" s="245" t="s">
        <v>110</v>
      </c>
      <c r="D30" s="245">
        <f>SUM(D31:D36)</f>
        <v>1343384977</v>
      </c>
      <c r="E30" s="245"/>
      <c r="F30" s="245"/>
      <c r="G30" s="245"/>
      <c r="H30" s="245">
        <f>SUM(H31:H36)</f>
        <v>2740714072</v>
      </c>
    </row>
    <row r="31" spans="2:9">
      <c r="B31" s="239" t="s">
        <v>683</v>
      </c>
      <c r="C31" s="245" t="s">
        <v>110</v>
      </c>
      <c r="D31" s="245">
        <v>8375816</v>
      </c>
      <c r="E31" s="245">
        <f>SUMIF('수정사항 집계'!$C:$C,RIGHT($B31,LEN($B31)-12),'수정사항 집계'!D:D)</f>
        <v>93500</v>
      </c>
      <c r="F31" s="245">
        <f>SUMIF('수정사항 집계'!$C:$C,RIGHT($B31,LEN($B31)-12),'수정사항 집계'!E:E)</f>
        <v>1454650429</v>
      </c>
      <c r="G31" s="245"/>
      <c r="H31" s="245">
        <f>D31-E31+F31</f>
        <v>1462932745</v>
      </c>
    </row>
    <row r="32" spans="2:9">
      <c r="B32" s="239" t="s">
        <v>684</v>
      </c>
      <c r="C32" s="245" t="s">
        <v>110</v>
      </c>
      <c r="D32" s="245">
        <v>17285760</v>
      </c>
      <c r="E32" s="245">
        <f>SUMIF('수정사항 집계'!$C:$C,RIGHT($B32,LEN($B32)-12),'수정사항 집계'!D:D)</f>
        <v>5215620</v>
      </c>
      <c r="F32" s="245">
        <f>SUMIF('수정사항 집계'!$C:$C,RIGHT($B32,LEN($B32)-12),'수정사항 집계'!E:E)</f>
        <v>0</v>
      </c>
      <c r="G32" s="245"/>
      <c r="H32" s="245">
        <f t="shared" ref="H32:H36" si="1">D32-E32+F32</f>
        <v>12070140</v>
      </c>
    </row>
    <row r="33" spans="2:9">
      <c r="B33" s="239" t="s">
        <v>686</v>
      </c>
      <c r="C33" s="245" t="s">
        <v>110</v>
      </c>
      <c r="D33" s="245">
        <v>1000000</v>
      </c>
      <c r="E33" s="245">
        <f>SUMIF('수정사항 집계'!$C:$C,RIGHT($B33,LEN($B33)-12),'수정사항 집계'!D:D)</f>
        <v>0</v>
      </c>
      <c r="F33" s="245">
        <f>SUMIF('수정사항 집계'!$C:$C,RIGHT($B33,LEN($B33)-12),'수정사항 집계'!E:E)</f>
        <v>0</v>
      </c>
      <c r="G33" s="245"/>
      <c r="H33" s="245">
        <f t="shared" si="1"/>
        <v>1000000</v>
      </c>
    </row>
    <row r="34" spans="2:9">
      <c r="B34" s="239" t="s">
        <v>764</v>
      </c>
      <c r="C34" s="245" t="s">
        <v>110</v>
      </c>
      <c r="D34" s="245">
        <v>61359066</v>
      </c>
      <c r="E34" s="245">
        <f>SUMIF('수정사항 집계'!$C:$C,RIGHT($B34,LEN($B34)-12),'수정사항 집계'!D:D)</f>
        <v>61359066</v>
      </c>
      <c r="F34" s="245">
        <f>SUMIF('수정사항 집계'!$C:$C,RIGHT($B34,LEN($B34)-12),'수정사항 집계'!E:E)</f>
        <v>0</v>
      </c>
      <c r="G34" s="245"/>
      <c r="H34" s="245">
        <f t="shared" si="1"/>
        <v>0</v>
      </c>
    </row>
    <row r="35" spans="2:9">
      <c r="B35" s="242" t="s">
        <v>690</v>
      </c>
      <c r="C35" s="251" t="s">
        <v>110</v>
      </c>
      <c r="D35" s="251">
        <v>0</v>
      </c>
      <c r="E35" s="251">
        <f>SUMIF('수정사항 집계'!$C:$C,RIGHT($B35,LEN($B35)-12),'수정사항 집계'!D:D)</f>
        <v>818290</v>
      </c>
      <c r="F35" s="251">
        <f>SUMIF('수정사항 집계'!$C:$C,RIGHT($B35,LEN($B35)-12),'수정사항 집계'!E:E)</f>
        <v>10165142</v>
      </c>
      <c r="G35" s="251"/>
      <c r="H35" s="251">
        <f t="shared" si="1"/>
        <v>9346852</v>
      </c>
      <c r="I35" s="252" t="s">
        <v>763</v>
      </c>
    </row>
    <row r="36" spans="2:9">
      <c r="B36" s="239" t="s">
        <v>765</v>
      </c>
      <c r="C36" s="245" t="s">
        <v>110</v>
      </c>
      <c r="D36" s="245">
        <v>1255364335</v>
      </c>
      <c r="E36" s="245">
        <f>SUMIF('수정사항 집계'!$C:$C,RIGHT($B36,LEN($B36)-12),'수정사항 집계'!D:D)</f>
        <v>0</v>
      </c>
      <c r="F36" s="245">
        <f>SUMIF('수정사항 집계'!$C:$C,RIGHT($B36,LEN($B36)-12),'수정사항 집계'!E:E)</f>
        <v>0</v>
      </c>
      <c r="G36" s="245"/>
      <c r="H36" s="245">
        <f t="shared" si="1"/>
        <v>1255364335</v>
      </c>
    </row>
    <row r="37" spans="2:9">
      <c r="B37" s="239" t="s">
        <v>692</v>
      </c>
      <c r="C37" s="245" t="s">
        <v>110</v>
      </c>
      <c r="D37" s="246">
        <v>0</v>
      </c>
      <c r="E37" s="245"/>
      <c r="F37" s="246"/>
      <c r="G37" s="245"/>
      <c r="H37" s="245">
        <f>H38</f>
        <v>0</v>
      </c>
    </row>
    <row r="38" spans="2:9">
      <c r="B38" s="242" t="s">
        <v>693</v>
      </c>
      <c r="C38" s="251"/>
      <c r="D38" s="253"/>
      <c r="E38" s="251">
        <f>SUMIF('수정사항 집계'!$C:$C,RIGHT($B38,LEN($B38)-12),'수정사항 집계'!D:D)</f>
        <v>0</v>
      </c>
      <c r="F38" s="251">
        <f>SUMIF('수정사항 집계'!$C:$C,RIGHT($B38,LEN($B38)-12),'수정사항 집계'!E:E)</f>
        <v>0</v>
      </c>
      <c r="G38" s="251"/>
      <c r="H38" s="251">
        <f>F38-E38</f>
        <v>0</v>
      </c>
      <c r="I38" s="252" t="s">
        <v>763</v>
      </c>
    </row>
    <row r="39" spans="2:9">
      <c r="B39" s="239" t="s">
        <v>694</v>
      </c>
      <c r="C39" s="245" t="s">
        <v>110</v>
      </c>
      <c r="D39" s="245">
        <f>SUM(D30,D37)</f>
        <v>1343384977</v>
      </c>
      <c r="E39" s="245"/>
      <c r="F39" s="245"/>
      <c r="G39" s="245"/>
      <c r="H39" s="245">
        <f>SUM(H30,H37)</f>
        <v>2740714072</v>
      </c>
    </row>
    <row r="40" spans="2:9">
      <c r="B40" s="239" t="s">
        <v>695</v>
      </c>
      <c r="C40" s="245" t="s">
        <v>110</v>
      </c>
      <c r="D40" s="245" t="s">
        <v>110</v>
      </c>
      <c r="E40" s="245"/>
      <c r="F40" s="245"/>
      <c r="G40" s="245"/>
      <c r="H40" s="245"/>
    </row>
    <row r="41" spans="2:9">
      <c r="B41" s="239" t="s">
        <v>696</v>
      </c>
      <c r="C41" s="245" t="s">
        <v>110</v>
      </c>
      <c r="D41" s="245">
        <v>120000000</v>
      </c>
      <c r="E41" s="245"/>
      <c r="F41" s="245"/>
      <c r="G41" s="245"/>
      <c r="H41" s="245">
        <f>H42</f>
        <v>120000000</v>
      </c>
    </row>
    <row r="42" spans="2:9">
      <c r="B42" s="239" t="s">
        <v>697</v>
      </c>
      <c r="C42" s="245" t="s">
        <v>110</v>
      </c>
      <c r="D42" s="245">
        <v>120000000</v>
      </c>
      <c r="E42" s="245"/>
      <c r="F42" s="245"/>
      <c r="G42" s="245"/>
      <c r="H42" s="245">
        <f>D42-E42+F42</f>
        <v>120000000</v>
      </c>
    </row>
    <row r="43" spans="2:9">
      <c r="B43" s="239" t="s">
        <v>698</v>
      </c>
      <c r="C43" s="245" t="s">
        <v>110</v>
      </c>
      <c r="D43" s="245">
        <v>331290000</v>
      </c>
      <c r="E43" s="245"/>
      <c r="F43" s="245"/>
      <c r="G43" s="245"/>
      <c r="H43" s="245">
        <f>H44</f>
        <v>331290000</v>
      </c>
    </row>
    <row r="44" spans="2:9">
      <c r="B44" s="239" t="s">
        <v>699</v>
      </c>
      <c r="C44" s="245" t="s">
        <v>110</v>
      </c>
      <c r="D44" s="245">
        <v>331290000</v>
      </c>
      <c r="E44" s="245">
        <f>SUMIF('수정사항 집계'!$C:$C,RIGHT($B44,LEN($B44)-12),'수정사항 집계'!D:D)</f>
        <v>0</v>
      </c>
      <c r="F44" s="245">
        <f>SUMIF('수정사항 집계'!$C:$C,RIGHT($B44,LEN($B44)-12),'수정사항 집계'!E:E)</f>
        <v>0</v>
      </c>
      <c r="G44" s="245"/>
      <c r="H44" s="245">
        <f>D44-E44+F44</f>
        <v>331290000</v>
      </c>
    </row>
    <row r="45" spans="2:9">
      <c r="B45" s="239" t="s">
        <v>700</v>
      </c>
      <c r="C45" s="245" t="s">
        <v>110</v>
      </c>
      <c r="D45" s="246">
        <v>0</v>
      </c>
      <c r="E45" s="245"/>
      <c r="F45" s="246"/>
      <c r="G45" s="245"/>
      <c r="H45" s="245">
        <f>D45-E45+F45</f>
        <v>0</v>
      </c>
    </row>
    <row r="46" spans="2:9">
      <c r="B46" s="239" t="s">
        <v>701</v>
      </c>
      <c r="C46" s="245" t="s">
        <v>110</v>
      </c>
      <c r="D46" s="246">
        <v>0</v>
      </c>
      <c r="E46" s="245"/>
      <c r="F46" s="246"/>
      <c r="G46" s="245"/>
      <c r="H46" s="245">
        <f>D46-E46+F46</f>
        <v>0</v>
      </c>
    </row>
    <row r="47" spans="2:9">
      <c r="B47" s="239" t="s">
        <v>702</v>
      </c>
      <c r="C47" s="245" t="s">
        <v>110</v>
      </c>
      <c r="D47" s="245">
        <f>D48</f>
        <v>685484832</v>
      </c>
      <c r="E47" s="245"/>
      <c r="F47" s="245"/>
      <c r="G47" s="245"/>
      <c r="H47" s="245">
        <f>H48</f>
        <v>723697152</v>
      </c>
    </row>
    <row r="48" spans="2:9">
      <c r="B48" s="239" t="s">
        <v>704</v>
      </c>
      <c r="C48" s="245" t="s">
        <v>110</v>
      </c>
      <c r="D48" s="245">
        <v>685484832</v>
      </c>
      <c r="E48" s="245"/>
      <c r="F48" s="245">
        <f>개별IS!I45</f>
        <v>38212320</v>
      </c>
      <c r="G48" s="245"/>
      <c r="H48" s="245">
        <f>D48-E48+F48</f>
        <v>723697152</v>
      </c>
    </row>
    <row r="49" spans="2:9">
      <c r="B49" s="239" t="s">
        <v>766</v>
      </c>
      <c r="C49" s="245" t="s">
        <v>110</v>
      </c>
      <c r="D49" s="245" t="s">
        <v>110</v>
      </c>
      <c r="E49" s="245"/>
      <c r="F49" s="245"/>
      <c r="G49" s="245"/>
      <c r="H49" s="245"/>
    </row>
    <row r="50" spans="2:9">
      <c r="B50" s="239" t="s">
        <v>767</v>
      </c>
      <c r="C50" s="245" t="s">
        <v>110</v>
      </c>
      <c r="D50" s="245" t="s">
        <v>110</v>
      </c>
      <c r="E50" s="245"/>
      <c r="F50" s="245"/>
      <c r="G50" s="245"/>
      <c r="H50" s="245"/>
    </row>
    <row r="51" spans="2:9">
      <c r="B51" s="239" t="s">
        <v>768</v>
      </c>
      <c r="C51" s="245" t="s">
        <v>110</v>
      </c>
      <c r="D51" s="245" t="s">
        <v>110</v>
      </c>
      <c r="E51" s="245"/>
      <c r="F51" s="245"/>
      <c r="G51" s="245"/>
      <c r="H51" s="245"/>
    </row>
    <row r="52" spans="2:9">
      <c r="B52" s="239" t="s">
        <v>705</v>
      </c>
      <c r="C52" s="245" t="s">
        <v>110</v>
      </c>
      <c r="D52" s="245">
        <f>SUM(D41,D43,D45,D46,-D47)</f>
        <v>-234194832</v>
      </c>
      <c r="E52" s="245"/>
      <c r="F52" s="245"/>
      <c r="G52" s="245"/>
      <c r="H52" s="245">
        <f>SUM(H41,H43,H45,H46,-H47)</f>
        <v>-272407152</v>
      </c>
    </row>
    <row r="53" spans="2:9">
      <c r="B53" s="239" t="s">
        <v>706</v>
      </c>
      <c r="C53" s="245" t="s">
        <v>110</v>
      </c>
      <c r="D53" s="245">
        <f>SUM(D39,D52)</f>
        <v>1109190145</v>
      </c>
      <c r="E53" s="245"/>
      <c r="F53" s="245"/>
      <c r="G53" s="245"/>
      <c r="H53" s="245">
        <f>SUM(H39,H52)</f>
        <v>2468306920</v>
      </c>
      <c r="I53" s="202"/>
    </row>
    <row r="54" spans="2:9">
      <c r="D54" s="56" t="b">
        <f>D28=D53</f>
        <v>1</v>
      </c>
      <c r="H54" s="56" t="b">
        <f>H28=H53</f>
        <v>1</v>
      </c>
    </row>
    <row r="55" spans="2:9">
      <c r="I55" s="56"/>
    </row>
    <row r="56" spans="2:9">
      <c r="B56" t="s">
        <v>264</v>
      </c>
    </row>
    <row r="57" spans="2:9">
      <c r="B57" s="375" t="s">
        <v>645</v>
      </c>
      <c r="C57" s="377" t="s">
        <v>759</v>
      </c>
      <c r="D57" s="378"/>
      <c r="E57" s="368" t="s">
        <v>647</v>
      </c>
      <c r="F57" s="368"/>
      <c r="G57" s="370" t="s">
        <v>648</v>
      </c>
      <c r="H57" s="371"/>
    </row>
    <row r="58" spans="2:9">
      <c r="B58" s="376"/>
      <c r="C58" s="377" t="s">
        <v>760</v>
      </c>
      <c r="D58" s="378"/>
      <c r="E58" s="228" t="s">
        <v>649</v>
      </c>
      <c r="F58" s="228" t="s">
        <v>650</v>
      </c>
      <c r="G58" s="372"/>
      <c r="H58" s="373"/>
    </row>
    <row r="59" spans="2:9">
      <c r="B59" s="243" t="s">
        <v>651</v>
      </c>
      <c r="C59" s="244" t="s">
        <v>110</v>
      </c>
      <c r="D59" s="244" t="s">
        <v>110</v>
      </c>
      <c r="E59" s="244"/>
      <c r="F59" s="244"/>
      <c r="G59" s="244"/>
      <c r="H59" s="244"/>
    </row>
    <row r="60" spans="2:9">
      <c r="B60" s="239" t="s">
        <v>652</v>
      </c>
      <c r="C60" s="245" t="s">
        <v>110</v>
      </c>
      <c r="D60" s="244">
        <f>SUM(D61,D68)</f>
        <v>1622704129</v>
      </c>
      <c r="E60" s="244"/>
      <c r="F60" s="244"/>
      <c r="G60" s="244"/>
      <c r="H60" s="244">
        <f>SUM(H61,H68)</f>
        <v>1668587462</v>
      </c>
    </row>
    <row r="61" spans="2:9">
      <c r="B61" s="239" t="s">
        <v>653</v>
      </c>
      <c r="C61" s="245" t="s">
        <v>110</v>
      </c>
      <c r="D61" s="244">
        <f>SUM(D62:D67)</f>
        <v>1622704129</v>
      </c>
      <c r="E61" s="244"/>
      <c r="F61" s="244"/>
      <c r="G61" s="244"/>
      <c r="H61" s="244">
        <f>SUM(H62:H67)</f>
        <v>1668587462</v>
      </c>
    </row>
    <row r="62" spans="2:9">
      <c r="B62" s="239" t="s">
        <v>654</v>
      </c>
      <c r="C62" s="245" t="s">
        <v>110</v>
      </c>
      <c r="D62" s="245">
        <v>300000</v>
      </c>
      <c r="E62" s="245">
        <f>SUMIF('수정사항 집계'!$C:$C,RIGHT($B62,LEN($B62)-12),'수정사항 집계'!F:F)</f>
        <v>0</v>
      </c>
      <c r="F62" s="245">
        <f>SUMIF('수정사항 집계'!$C:$C,RIGHT($B62,LEN($B62)-12),'수정사항 집계'!G:G)</f>
        <v>0</v>
      </c>
      <c r="G62" s="244"/>
      <c r="H62" s="245">
        <f t="shared" ref="H62:H68" si="2">D62+E62-F62</f>
        <v>300000</v>
      </c>
    </row>
    <row r="63" spans="2:9">
      <c r="B63" s="239" t="s">
        <v>655</v>
      </c>
      <c r="C63" s="245" t="s">
        <v>110</v>
      </c>
      <c r="D63" s="245">
        <v>65388854</v>
      </c>
      <c r="E63" s="245">
        <f>SUMIF('수정사항 집계'!$C:$C,RIGHT($B63,LEN($B63)-12),'수정사항 집계'!F:F)</f>
        <v>0</v>
      </c>
      <c r="F63" s="245">
        <f>SUMIF('수정사항 집계'!$C:$C,RIGHT($B63,LEN($B63)-12),'수정사항 집계'!G:G)</f>
        <v>0</v>
      </c>
      <c r="G63" s="244"/>
      <c r="H63" s="245">
        <f t="shared" si="2"/>
        <v>65388854</v>
      </c>
    </row>
    <row r="64" spans="2:9">
      <c r="B64" s="239" t="s">
        <v>656</v>
      </c>
      <c r="C64" s="245" t="s">
        <v>110</v>
      </c>
      <c r="D64" s="245">
        <v>379332819</v>
      </c>
      <c r="E64" s="245">
        <f>SUMIF('수정사항 집계'!$C:$C,RIGHT($B64,LEN($B64)-12),'수정사항 집계'!F:F)</f>
        <v>0</v>
      </c>
      <c r="F64" s="245">
        <f>SUMIF('수정사항 집계'!$C:$C,RIGHT($B64,LEN($B64)-12),'수정사항 집계'!G:G)</f>
        <v>0</v>
      </c>
      <c r="G64" s="244"/>
      <c r="H64" s="245">
        <f t="shared" si="2"/>
        <v>379332819</v>
      </c>
    </row>
    <row r="65" spans="2:9">
      <c r="B65" s="239" t="s">
        <v>658</v>
      </c>
      <c r="C65" s="245" t="s">
        <v>110</v>
      </c>
      <c r="D65" s="245">
        <v>1999356</v>
      </c>
      <c r="E65" s="245">
        <f>SUMIF('수정사항 집계'!$C:$C,RIGHT($B65,LEN($B65)-12),'수정사항 집계'!F:F)</f>
        <v>0</v>
      </c>
      <c r="F65" s="245">
        <f>SUMIF('수정사항 집계'!$C:$C,RIGHT($B65,LEN($B65)-12),'수정사항 집계'!G:G)</f>
        <v>0</v>
      </c>
      <c r="G65" s="244"/>
      <c r="H65" s="245">
        <f t="shared" si="2"/>
        <v>1999356</v>
      </c>
    </row>
    <row r="66" spans="2:9">
      <c r="B66" s="242" t="s">
        <v>769</v>
      </c>
      <c r="C66" s="251"/>
      <c r="D66" s="251">
        <v>0</v>
      </c>
      <c r="E66" s="251">
        <f>SUMIF('수정사항 집계'!$C:$C,RIGHT($B66,LEN($B66)-12),'수정사항 집계'!F:F)</f>
        <v>45883333</v>
      </c>
      <c r="F66" s="251">
        <f>SUMIF('수정사항 집계'!$C:$C,RIGHT($B66,LEN($B66)-12),'수정사항 집계'!G:G)</f>
        <v>0</v>
      </c>
      <c r="G66" s="254"/>
      <c r="H66" s="251">
        <f t="shared" si="2"/>
        <v>45883333</v>
      </c>
      <c r="I66" s="252" t="s">
        <v>763</v>
      </c>
    </row>
    <row r="67" spans="2:9">
      <c r="B67" s="239" t="s">
        <v>660</v>
      </c>
      <c r="C67" s="245" t="s">
        <v>110</v>
      </c>
      <c r="D67" s="245">
        <v>1175683100</v>
      </c>
      <c r="E67" s="245">
        <f>SUMIF('수정사항 집계'!$C:$C,RIGHT($B67,LEN($B67)-12),'수정사항 집계'!F:F)</f>
        <v>0</v>
      </c>
      <c r="F67" s="245">
        <f>SUMIF('수정사항 집계'!$C:$C,RIGHT($B67,LEN($B67)-12),'수정사항 집계'!G:G)</f>
        <v>0</v>
      </c>
      <c r="G67" s="244"/>
      <c r="H67" s="245">
        <f t="shared" si="2"/>
        <v>1175683100</v>
      </c>
    </row>
    <row r="68" spans="2:9">
      <c r="B68" s="239" t="s">
        <v>661</v>
      </c>
      <c r="C68" s="245" t="s">
        <v>110</v>
      </c>
      <c r="D68" s="246">
        <v>0</v>
      </c>
      <c r="E68" s="244"/>
      <c r="F68" s="244"/>
      <c r="G68" s="244"/>
      <c r="H68" s="245">
        <f t="shared" si="2"/>
        <v>0</v>
      </c>
    </row>
    <row r="69" spans="2:9">
      <c r="B69" s="239" t="s">
        <v>662</v>
      </c>
      <c r="C69" s="245" t="s">
        <v>110</v>
      </c>
      <c r="D69" s="244">
        <f>SUM(D70,D71,D80,D81)</f>
        <v>1256405128</v>
      </c>
      <c r="E69" s="244"/>
      <c r="F69" s="244"/>
      <c r="G69" s="244"/>
      <c r="H69" s="244">
        <f>SUM(H70,H71,H80,H81)</f>
        <v>1900883501</v>
      </c>
    </row>
    <row r="70" spans="2:9">
      <c r="B70" s="239" t="s">
        <v>663</v>
      </c>
      <c r="C70" s="245" t="s">
        <v>110</v>
      </c>
      <c r="D70" s="246">
        <v>0</v>
      </c>
      <c r="E70" s="244"/>
      <c r="F70" s="244"/>
      <c r="G70" s="244"/>
      <c r="H70" s="245">
        <f>D70+E70-F70</f>
        <v>0</v>
      </c>
    </row>
    <row r="71" spans="2:9">
      <c r="B71" s="239" t="s">
        <v>664</v>
      </c>
      <c r="C71" s="245" t="s">
        <v>110</v>
      </c>
      <c r="D71" s="244">
        <f>C72-C73+C74-C75+C76-C77</f>
        <v>806405128</v>
      </c>
      <c r="E71" s="244"/>
      <c r="F71" s="244"/>
      <c r="G71" s="244"/>
      <c r="H71" s="244">
        <f>SUM(H72:H79)</f>
        <v>1547703189</v>
      </c>
    </row>
    <row r="72" spans="2:9">
      <c r="B72" s="239" t="s">
        <v>667</v>
      </c>
      <c r="C72" s="245">
        <v>162281229</v>
      </c>
      <c r="D72" s="245" t="s">
        <v>110</v>
      </c>
      <c r="E72" s="245">
        <f>SUMIF('수정사항 집계'!$C:$C,RIGHT($B72,LEN($B72)-12),'수정사항 집계'!F:F)</f>
        <v>0</v>
      </c>
      <c r="F72" s="245">
        <f>SUMIF('수정사항 집계'!$C:$C,RIGHT($B72,LEN($B72)-12),'수정사항 집계'!G:G)</f>
        <v>0</v>
      </c>
      <c r="G72" s="245">
        <f>C72+E72-F72</f>
        <v>162281229</v>
      </c>
      <c r="H72" s="244"/>
    </row>
    <row r="73" spans="2:9">
      <c r="B73" s="239" t="s">
        <v>770</v>
      </c>
      <c r="C73" s="245">
        <v>87110968</v>
      </c>
      <c r="D73" s="245">
        <v>75170261</v>
      </c>
      <c r="E73" s="245">
        <f>SUMIF('수정사항 집계'!$C:$C,RIGHT($B73,LEN($B73)-12),'수정사항 집계'!F:F)</f>
        <v>87110968</v>
      </c>
      <c r="F73" s="245">
        <f>SUMIF('수정사항 집계'!$C:$C,RIGHT($B73,LEN($B73)-12),'수정사항 집계'!G:G)</f>
        <v>45915853</v>
      </c>
      <c r="G73" s="245">
        <f>C73-E73+F73</f>
        <v>45915853</v>
      </c>
      <c r="H73" s="244">
        <f>G72-G73</f>
        <v>116365376</v>
      </c>
    </row>
    <row r="74" spans="2:9">
      <c r="B74" s="239" t="s">
        <v>669</v>
      </c>
      <c r="C74" s="245">
        <v>11259090</v>
      </c>
      <c r="D74" s="245" t="s">
        <v>110</v>
      </c>
      <c r="E74" s="245">
        <f>SUMIF('수정사항 집계'!$C:$C,RIGHT($B74,LEN($B74)-12),'수정사항 집계'!F:F)</f>
        <v>0</v>
      </c>
      <c r="F74" s="245">
        <f>SUMIF('수정사항 집계'!$C:$C,RIGHT($B74,LEN($B74)-12),'수정사항 집계'!G:G)</f>
        <v>0</v>
      </c>
      <c r="G74" s="245">
        <f>C74+E74-F74</f>
        <v>11259090</v>
      </c>
      <c r="H74" s="244"/>
    </row>
    <row r="75" spans="2:9">
      <c r="B75" s="239" t="s">
        <v>761</v>
      </c>
      <c r="C75" s="245">
        <v>8095733</v>
      </c>
      <c r="D75" s="245">
        <v>3163357</v>
      </c>
      <c r="E75" s="245">
        <f>SUMIF('수정사항 집계'!$C:$C,RIGHT($B75,LEN($B75)-12),'수정사항 집계'!F:F)</f>
        <v>8095733</v>
      </c>
      <c r="F75" s="245">
        <f>SUMIF('수정사항 집계'!$C:$C,RIGHT($B75,LEN($B75)-12),'수정사항 집계'!G:G)</f>
        <v>4905985</v>
      </c>
      <c r="G75" s="245">
        <f>C75-E75+F75</f>
        <v>4905985</v>
      </c>
      <c r="H75" s="244">
        <f>G74-G75</f>
        <v>6353105</v>
      </c>
    </row>
    <row r="76" spans="2:9">
      <c r="B76" s="239" t="s">
        <v>665</v>
      </c>
      <c r="C76" s="245">
        <v>1781536364</v>
      </c>
      <c r="D76" s="245" t="s">
        <v>110</v>
      </c>
      <c r="E76" s="245">
        <f>SUMIF('수정사항 집계'!$C:$C,RIGHT($B76,LEN($B76)-12),'수정사항 집계'!F:F)</f>
        <v>0</v>
      </c>
      <c r="F76" s="245">
        <f>SUMIF('수정사항 집계'!$C:$C,RIGHT($B76,LEN($B76)-12),'수정사항 집계'!G:G)</f>
        <v>0</v>
      </c>
      <c r="G76" s="245">
        <f>C76+E76-F76</f>
        <v>1781536364</v>
      </c>
      <c r="H76" s="244"/>
    </row>
    <row r="77" spans="2:9">
      <c r="B77" s="239" t="s">
        <v>762</v>
      </c>
      <c r="C77" s="245">
        <v>1053464854</v>
      </c>
      <c r="D77" s="245">
        <v>728071510</v>
      </c>
      <c r="E77" s="245">
        <f>SUMIF('수정사항 집계'!$C:$C,RIGHT($B77,LEN($B77)-12),'수정사항 집계'!F:F)</f>
        <v>1053464854</v>
      </c>
      <c r="F77" s="245">
        <f>SUMIF('수정사항 집계'!$C:$C,RIGHT($B77,LEN($B77)-12),'수정사항 집계'!G:G)</f>
        <v>565001326</v>
      </c>
      <c r="G77" s="245">
        <f>C77-E77+F77</f>
        <v>565001326</v>
      </c>
      <c r="H77" s="244">
        <f>G76-G77</f>
        <v>1216535038</v>
      </c>
      <c r="I77" s="56"/>
    </row>
    <row r="78" spans="2:9">
      <c r="B78" s="242" t="s">
        <v>671</v>
      </c>
      <c r="C78" s="251"/>
      <c r="D78" s="251"/>
      <c r="E78" s="251">
        <f>SUMIF('수정사항 집계'!$C:$C,RIGHT($B78,LEN($B78)-12),'수정사항 집계'!F:F)</f>
        <v>253117456</v>
      </c>
      <c r="F78" s="251">
        <f>SUMIF('수정사항 집계'!$C:$C,RIGHT($B78,LEN($B78)-12),'수정사항 집계'!G:G)</f>
        <v>0</v>
      </c>
      <c r="G78" s="251">
        <f>C78+E78-F78</f>
        <v>253117456</v>
      </c>
      <c r="H78" s="251"/>
      <c r="I78" s="252" t="s">
        <v>763</v>
      </c>
    </row>
    <row r="79" spans="2:9">
      <c r="B79" s="242" t="s">
        <v>672</v>
      </c>
      <c r="C79" s="251"/>
      <c r="D79" s="251"/>
      <c r="E79" s="251">
        <f>SUMIF('수정사항 집계'!$C:$C,RIGHT($B79,LEN($B79)-12),'수정사항 집계'!F:F)</f>
        <v>0</v>
      </c>
      <c r="F79" s="251">
        <f>SUMIF('수정사항 집계'!$C:$C,RIGHT($B79,LEN($B79)-12),'수정사항 집계'!G:G)</f>
        <v>44667786</v>
      </c>
      <c r="G79" s="251">
        <f>C79-E79+F79</f>
        <v>44667786</v>
      </c>
      <c r="H79" s="251">
        <f>G78-G79</f>
        <v>208449670</v>
      </c>
      <c r="I79" s="252" t="s">
        <v>763</v>
      </c>
    </row>
    <row r="80" spans="2:9">
      <c r="B80" s="239" t="s">
        <v>673</v>
      </c>
      <c r="C80" s="245" t="s">
        <v>110</v>
      </c>
      <c r="D80" s="246">
        <v>0</v>
      </c>
      <c r="E80" s="244"/>
      <c r="F80" s="244"/>
      <c r="G80" s="244"/>
      <c r="H80" s="245">
        <f t="shared" ref="H80" si="3">D80+E80-F80</f>
        <v>0</v>
      </c>
      <c r="I80" s="56"/>
    </row>
    <row r="81" spans="2:9">
      <c r="B81" s="239" t="s">
        <v>675</v>
      </c>
      <c r="C81" s="245" t="s">
        <v>110</v>
      </c>
      <c r="D81" s="245">
        <v>450000000</v>
      </c>
      <c r="E81" s="244"/>
      <c r="F81" s="244"/>
      <c r="G81" s="244"/>
      <c r="H81" s="244">
        <f>SUM(H82:H83)</f>
        <v>353180312</v>
      </c>
      <c r="I81" s="56"/>
    </row>
    <row r="82" spans="2:9">
      <c r="B82" s="239" t="s">
        <v>676</v>
      </c>
      <c r="C82" s="245" t="s">
        <v>110</v>
      </c>
      <c r="D82" s="245">
        <v>450000000</v>
      </c>
      <c r="E82" s="245">
        <f>SUMIF('수정사항 집계'!$C:$C,RIGHT($B82,LEN($B82)-12),'수정사항 집계'!F:F)</f>
        <v>0</v>
      </c>
      <c r="F82" s="245">
        <f>SUMIF('수정사항 집계'!$C:$C,RIGHT($B82,LEN($B82)-12),'수정사항 집계'!G:G)</f>
        <v>0</v>
      </c>
      <c r="G82" s="244"/>
      <c r="H82" s="245">
        <f t="shared" ref="H82" si="4">D82+E82-F82</f>
        <v>450000000</v>
      </c>
    </row>
    <row r="83" spans="2:9">
      <c r="B83" s="242" t="s">
        <v>677</v>
      </c>
      <c r="C83" s="251"/>
      <c r="D83" s="251"/>
      <c r="E83" s="251">
        <f>SUMIF('수정사항 집계'!$C:$C,RIGHT($B83,LEN($B83)-12),'수정사항 집계'!F:F)</f>
        <v>17867465</v>
      </c>
      <c r="F83" s="251">
        <f>SUMIF('수정사항 집계'!$C:$C,RIGHT($B83,LEN($B83)-12),'수정사항 집계'!G:G)</f>
        <v>114687153</v>
      </c>
      <c r="G83" s="251"/>
      <c r="H83" s="251">
        <f>E83-F83</f>
        <v>-96819688</v>
      </c>
      <c r="I83" s="252" t="s">
        <v>763</v>
      </c>
    </row>
    <row r="84" spans="2:9">
      <c r="B84" s="239" t="s">
        <v>679</v>
      </c>
      <c r="C84" s="245" t="s">
        <v>110</v>
      </c>
      <c r="D84" s="244">
        <f>SUM(D60,D69)</f>
        <v>2879109257</v>
      </c>
      <c r="E84" s="244"/>
      <c r="F84" s="244"/>
      <c r="G84" s="244"/>
      <c r="H84" s="244">
        <f>SUM(H60,H69)</f>
        <v>3569470963</v>
      </c>
    </row>
    <row r="85" spans="2:9">
      <c r="B85" s="239" t="s">
        <v>680</v>
      </c>
      <c r="C85" s="245" t="s">
        <v>110</v>
      </c>
      <c r="D85" s="245" t="s">
        <v>110</v>
      </c>
      <c r="E85" s="244"/>
      <c r="F85" s="244"/>
      <c r="G85" s="244"/>
      <c r="H85" s="244"/>
    </row>
    <row r="86" spans="2:9">
      <c r="B86" s="239" t="s">
        <v>681</v>
      </c>
      <c r="C86" s="245" t="s">
        <v>110</v>
      </c>
      <c r="D86" s="244">
        <f>SUM(D87:D94)</f>
        <v>1261859465</v>
      </c>
      <c r="E86" s="244"/>
      <c r="F86" s="244"/>
      <c r="G86" s="244"/>
      <c r="H86" s="244">
        <f>SUM(H87:H94)</f>
        <v>1384782046</v>
      </c>
    </row>
    <row r="87" spans="2:9">
      <c r="B87" s="239" t="s">
        <v>682</v>
      </c>
      <c r="C87" s="245" t="s">
        <v>110</v>
      </c>
      <c r="D87" s="245">
        <v>143252408</v>
      </c>
      <c r="E87" s="245">
        <f>SUMIF('수정사항 집계'!$C:$C,RIGHT($B87,LEN($B87)-12),'수정사항 집계'!F:F)</f>
        <v>0</v>
      </c>
      <c r="F87" s="245">
        <f>SUMIF('수정사항 집계'!$C:$C,RIGHT($B87,LEN($B87)-12),'수정사항 집계'!G:G)</f>
        <v>0</v>
      </c>
      <c r="G87" s="244"/>
      <c r="H87" s="244">
        <f>D87-E87+F87</f>
        <v>143252408</v>
      </c>
    </row>
    <row r="88" spans="2:9">
      <c r="B88" s="239" t="s">
        <v>683</v>
      </c>
      <c r="C88" s="245" t="s">
        <v>110</v>
      </c>
      <c r="D88" s="245">
        <v>29971605</v>
      </c>
      <c r="E88" s="245">
        <f>SUMIF('수정사항 집계'!$C:$C,RIGHT($B88,LEN($B88)-12),'수정사항 집계'!F:F)</f>
        <v>0</v>
      </c>
      <c r="F88" s="245">
        <f>SUMIF('수정사항 집계'!$C:$C,RIGHT($B88,LEN($B88)-12),'수정사항 집계'!G:G)</f>
        <v>209354878</v>
      </c>
      <c r="G88" s="244"/>
      <c r="H88" s="244">
        <f t="shared" ref="H88:H94" si="5">D88-E88+F88</f>
        <v>239326483</v>
      </c>
    </row>
    <row r="89" spans="2:9">
      <c r="B89" s="239" t="s">
        <v>684</v>
      </c>
      <c r="C89" s="245" t="s">
        <v>110</v>
      </c>
      <c r="D89" s="245">
        <v>8984170</v>
      </c>
      <c r="E89" s="245">
        <f>SUMIF('수정사항 집계'!$C:$C,RIGHT($B89,LEN($B89)-12),'수정사항 집계'!F:F)</f>
        <v>7405680</v>
      </c>
      <c r="F89" s="245">
        <f>SUMIF('수정사항 집계'!$C:$C,RIGHT($B89,LEN($B89)-12),'수정사항 집계'!G:G)</f>
        <v>0</v>
      </c>
      <c r="G89" s="244"/>
      <c r="H89" s="244">
        <f t="shared" si="5"/>
        <v>1578490</v>
      </c>
    </row>
    <row r="90" spans="2:9">
      <c r="B90" s="239" t="s">
        <v>686</v>
      </c>
      <c r="C90" s="245" t="s">
        <v>110</v>
      </c>
      <c r="D90" s="245">
        <v>9300000</v>
      </c>
      <c r="E90" s="245">
        <f>SUMIF('수정사항 집계'!$C:$C,RIGHT($B90,LEN($B90)-12),'수정사항 집계'!F:F)</f>
        <v>0</v>
      </c>
      <c r="F90" s="245">
        <f>SUMIF('수정사항 집계'!$C:$C,RIGHT($B90,LEN($B90)-12),'수정사항 집계'!G:G)</f>
        <v>0</v>
      </c>
      <c r="G90" s="244"/>
      <c r="H90" s="244">
        <f t="shared" si="5"/>
        <v>9300000</v>
      </c>
    </row>
    <row r="91" spans="2:9">
      <c r="B91" s="255" t="s">
        <v>687</v>
      </c>
      <c r="C91" s="245" t="s">
        <v>110</v>
      </c>
      <c r="D91" s="245">
        <v>68335010</v>
      </c>
      <c r="E91" s="245">
        <f>SUMIF('수정사항 집계'!$C:$C,RIGHT($B91,LEN($B91)-12),'수정사항 집계'!F:F)</f>
        <v>0</v>
      </c>
      <c r="F91" s="245">
        <f>SUMIF('수정사항 집계'!$C:$C,RIGHT($B91,LEN($B91)-12),'수정사항 집계'!G:G)</f>
        <v>0</v>
      </c>
      <c r="G91" s="244"/>
      <c r="H91" s="244">
        <f t="shared" si="5"/>
        <v>68335010</v>
      </c>
    </row>
    <row r="92" spans="2:9">
      <c r="B92" s="239" t="s">
        <v>688</v>
      </c>
      <c r="C92" s="245" t="s">
        <v>110</v>
      </c>
      <c r="D92" s="245">
        <v>79026617</v>
      </c>
      <c r="E92" s="245">
        <f>SUMIF('수정사항 집계'!$C:$C,RIGHT($B92,LEN($B92)-12),'수정사항 집계'!F:F)</f>
        <v>79026617</v>
      </c>
      <c r="F92" s="245">
        <f>SUMIF('수정사항 집계'!$C:$C,RIGHT($B92,LEN($B92)-12),'수정사항 집계'!G:G)</f>
        <v>0</v>
      </c>
      <c r="G92" s="244"/>
      <c r="H92" s="244">
        <f t="shared" si="5"/>
        <v>0</v>
      </c>
    </row>
    <row r="93" spans="2:9">
      <c r="B93" s="255" t="s">
        <v>689</v>
      </c>
      <c r="C93" s="245" t="s">
        <v>110</v>
      </c>
      <c r="D93" s="245">
        <v>396666668</v>
      </c>
      <c r="E93" s="245">
        <f>SUMIF('수정사항 집계'!$C:$C,RIGHT($B93,LEN($B93)-12),'수정사항 집계'!F:F)</f>
        <v>0</v>
      </c>
      <c r="F93" s="245">
        <f>SUMIF('수정사항 집계'!$C:$C,RIGHT($B93,LEN($B93)-12),'수정사항 집계'!G:G)</f>
        <v>0</v>
      </c>
      <c r="G93" s="244"/>
      <c r="H93" s="244">
        <f t="shared" si="5"/>
        <v>396666668</v>
      </c>
    </row>
    <row r="94" spans="2:9">
      <c r="B94" s="239" t="s">
        <v>765</v>
      </c>
      <c r="C94" s="245" t="s">
        <v>110</v>
      </c>
      <c r="D94" s="245">
        <v>526322987</v>
      </c>
      <c r="E94" s="245">
        <f>SUMIF('수정사항 집계'!$C:$C,RIGHT($B94,LEN($B94)-12),'수정사항 집계'!F:F)</f>
        <v>0</v>
      </c>
      <c r="F94" s="245">
        <f>SUMIF('수정사항 집계'!$C:$C,RIGHT($B94,LEN($B94)-12),'수정사항 집계'!G:G)</f>
        <v>0</v>
      </c>
      <c r="G94" s="244"/>
      <c r="H94" s="244">
        <f t="shared" si="5"/>
        <v>526322987</v>
      </c>
    </row>
    <row r="95" spans="2:9">
      <c r="B95" s="239" t="s">
        <v>692</v>
      </c>
      <c r="C95" s="245" t="s">
        <v>110</v>
      </c>
      <c r="D95" s="246">
        <v>0</v>
      </c>
      <c r="E95" s="244"/>
      <c r="F95" s="244"/>
      <c r="G95" s="244"/>
      <c r="H95" s="244">
        <f>H96</f>
        <v>145806693</v>
      </c>
    </row>
    <row r="96" spans="2:9">
      <c r="B96" s="242" t="s">
        <v>693</v>
      </c>
      <c r="C96" s="251"/>
      <c r="D96" s="253"/>
      <c r="E96" s="251">
        <f>SUMIF('수정사항 집계'!$C:$C,RIGHT($B96,LEN($B96)-12),'수정사항 집계'!F:F)</f>
        <v>0</v>
      </c>
      <c r="F96" s="251">
        <f>SUMIF('수정사항 집계'!$C:$C,RIGHT($B96,LEN($B96)-12),'수정사항 집계'!G:G)</f>
        <v>145806693</v>
      </c>
      <c r="G96" s="251"/>
      <c r="H96" s="251">
        <f>F96-E96</f>
        <v>145806693</v>
      </c>
      <c r="I96" s="252" t="s">
        <v>763</v>
      </c>
    </row>
    <row r="97" spans="2:9">
      <c r="B97" s="239" t="s">
        <v>694</v>
      </c>
      <c r="C97" s="245" t="s">
        <v>110</v>
      </c>
      <c r="D97" s="244">
        <f>SUM(D86,D95)</f>
        <v>1261859465</v>
      </c>
      <c r="E97" s="244"/>
      <c r="F97" s="244"/>
      <c r="G97" s="244"/>
      <c r="H97" s="244">
        <f>SUM(H86,H95)</f>
        <v>1530588739</v>
      </c>
    </row>
    <row r="98" spans="2:9">
      <c r="B98" s="239" t="s">
        <v>695</v>
      </c>
      <c r="C98" s="245" t="s">
        <v>110</v>
      </c>
      <c r="D98" s="245" t="s">
        <v>110</v>
      </c>
      <c r="E98" s="244"/>
      <c r="F98" s="244"/>
      <c r="G98" s="244"/>
      <c r="H98" s="244"/>
    </row>
    <row r="99" spans="2:9">
      <c r="B99" s="239" t="s">
        <v>696</v>
      </c>
      <c r="C99" s="245" t="s">
        <v>110</v>
      </c>
      <c r="D99" s="246">
        <v>0</v>
      </c>
      <c r="E99" s="244"/>
      <c r="F99" s="244"/>
      <c r="G99" s="244"/>
      <c r="H99" s="244">
        <f t="shared" ref="H99" si="6">D99-E99+F99</f>
        <v>0</v>
      </c>
    </row>
    <row r="100" spans="2:9">
      <c r="B100" s="239" t="s">
        <v>698</v>
      </c>
      <c r="C100" s="245" t="s">
        <v>110</v>
      </c>
      <c r="D100" s="245">
        <v>1296557461</v>
      </c>
      <c r="E100" s="244"/>
      <c r="F100" s="244"/>
      <c r="G100" s="244"/>
      <c r="H100" s="244">
        <f>H101</f>
        <v>1829405855</v>
      </c>
    </row>
    <row r="101" spans="2:9">
      <c r="B101" s="239" t="s">
        <v>699</v>
      </c>
      <c r="C101" s="245" t="s">
        <v>110</v>
      </c>
      <c r="D101" s="245">
        <v>1296557461</v>
      </c>
      <c r="E101" s="245">
        <f>SUMIF('수정사항 집계'!$C:$C,RIGHT($B101,LEN($B101)-12),'수정사항 집계'!F:F)</f>
        <v>0</v>
      </c>
      <c r="F101" s="245">
        <f>SUMIF('수정사항 집계'!$C:$C,RIGHT($B101,LEN($B101)-12),'수정사항 집계'!G:G)</f>
        <v>532848394</v>
      </c>
      <c r="G101" s="244"/>
      <c r="H101" s="244">
        <f t="shared" ref="H101:H103" si="7">D101-E101+F101</f>
        <v>1829405855</v>
      </c>
    </row>
    <row r="102" spans="2:9">
      <c r="B102" s="239" t="s">
        <v>700</v>
      </c>
      <c r="C102" s="245" t="s">
        <v>110</v>
      </c>
      <c r="D102" s="246">
        <v>0</v>
      </c>
      <c r="E102" s="244"/>
      <c r="F102" s="244"/>
      <c r="G102" s="244"/>
      <c r="H102" s="244">
        <f t="shared" si="7"/>
        <v>0</v>
      </c>
    </row>
    <row r="103" spans="2:9">
      <c r="B103" s="239" t="s">
        <v>701</v>
      </c>
      <c r="C103" s="245" t="s">
        <v>110</v>
      </c>
      <c r="D103" s="246">
        <v>0</v>
      </c>
      <c r="E103" s="244"/>
      <c r="F103" s="244"/>
      <c r="G103" s="244"/>
      <c r="H103" s="244">
        <f t="shared" si="7"/>
        <v>0</v>
      </c>
    </row>
    <row r="104" spans="2:9">
      <c r="B104" s="239" t="s">
        <v>771</v>
      </c>
      <c r="C104" s="245" t="s">
        <v>110</v>
      </c>
      <c r="D104" s="245">
        <v>320692331</v>
      </c>
      <c r="E104" s="244"/>
      <c r="F104" s="244"/>
      <c r="G104" s="244"/>
      <c r="H104" s="244">
        <f>H105</f>
        <v>209476369</v>
      </c>
    </row>
    <row r="105" spans="2:9">
      <c r="B105" s="239" t="s">
        <v>703</v>
      </c>
      <c r="C105" s="245" t="s">
        <v>110</v>
      </c>
      <c r="D105" s="245">
        <v>320692331</v>
      </c>
      <c r="E105" s="245">
        <f>개별IS!I90</f>
        <v>111215962</v>
      </c>
      <c r="F105" s="245"/>
      <c r="G105" s="244"/>
      <c r="H105" s="244">
        <f t="shared" ref="H105" si="8">D105-E105+F105</f>
        <v>209476369</v>
      </c>
    </row>
    <row r="106" spans="2:9">
      <c r="B106" s="239" t="s">
        <v>772</v>
      </c>
      <c r="C106" s="245" t="s">
        <v>110</v>
      </c>
      <c r="D106" s="245" t="s">
        <v>110</v>
      </c>
      <c r="E106" s="244"/>
      <c r="F106" s="244"/>
      <c r="G106" s="244"/>
      <c r="H106" s="244"/>
    </row>
    <row r="107" spans="2:9">
      <c r="B107" s="239" t="s">
        <v>773</v>
      </c>
      <c r="C107" s="245" t="s">
        <v>110</v>
      </c>
      <c r="D107" s="245" t="s">
        <v>110</v>
      </c>
      <c r="E107" s="244"/>
      <c r="F107" s="244"/>
      <c r="G107" s="244"/>
      <c r="H107" s="244"/>
    </row>
    <row r="108" spans="2:9">
      <c r="B108" s="239" t="s">
        <v>768</v>
      </c>
      <c r="C108" s="245" t="s">
        <v>110</v>
      </c>
      <c r="D108" s="245" t="s">
        <v>110</v>
      </c>
      <c r="E108" s="244"/>
      <c r="F108" s="244"/>
      <c r="G108" s="244"/>
      <c r="H108" s="244"/>
    </row>
    <row r="109" spans="2:9">
      <c r="B109" s="239" t="s">
        <v>705</v>
      </c>
      <c r="C109" s="245" t="s">
        <v>110</v>
      </c>
      <c r="D109" s="244">
        <f>SUM(D99,D100,D102,D103,D104)</f>
        <v>1617249792</v>
      </c>
      <c r="E109" s="244"/>
      <c r="F109" s="244"/>
      <c r="G109" s="244"/>
      <c r="H109" s="244">
        <f>SUM(H99,H100,H102,H103,H104)</f>
        <v>2038882224</v>
      </c>
    </row>
    <row r="110" spans="2:9">
      <c r="B110" s="239" t="s">
        <v>706</v>
      </c>
      <c r="C110" s="245" t="s">
        <v>110</v>
      </c>
      <c r="D110" s="244">
        <f>SUM(D97,D109)</f>
        <v>2879109257</v>
      </c>
      <c r="E110" s="244"/>
      <c r="F110" s="244"/>
      <c r="G110" s="244"/>
      <c r="H110" s="244">
        <f>SUM(H97,H109)</f>
        <v>3569470963</v>
      </c>
      <c r="I110" s="56"/>
    </row>
    <row r="111" spans="2:9">
      <c r="D111" s="56" t="b">
        <f>D84=D110</f>
        <v>1</v>
      </c>
      <c r="H111" s="56" t="b">
        <f>H84=H110</f>
        <v>1</v>
      </c>
    </row>
    <row r="113" spans="2:8">
      <c r="B113" t="s">
        <v>417</v>
      </c>
    </row>
    <row r="114" spans="2:8">
      <c r="B114" s="374" t="s">
        <v>645</v>
      </c>
      <c r="C114" s="374" t="s">
        <v>759</v>
      </c>
      <c r="D114" s="374"/>
      <c r="E114" s="368" t="s">
        <v>647</v>
      </c>
      <c r="F114" s="368"/>
      <c r="G114" s="370" t="s">
        <v>648</v>
      </c>
      <c r="H114" s="371"/>
    </row>
    <row r="115" spans="2:8">
      <c r="B115" s="374"/>
      <c r="C115" s="374" t="s">
        <v>760</v>
      </c>
      <c r="D115" s="374"/>
      <c r="E115" s="228" t="s">
        <v>649</v>
      </c>
      <c r="F115" s="228" t="s">
        <v>650</v>
      </c>
      <c r="G115" s="372"/>
      <c r="H115" s="373"/>
    </row>
    <row r="116" spans="2:8">
      <c r="B116" s="243" t="s">
        <v>651</v>
      </c>
      <c r="C116" s="244" t="s">
        <v>110</v>
      </c>
      <c r="D116" s="244" t="s">
        <v>110</v>
      </c>
      <c r="E116" s="244"/>
      <c r="F116" s="244"/>
      <c r="G116" s="244"/>
      <c r="H116" s="244"/>
    </row>
    <row r="117" spans="2:8">
      <c r="B117" s="256" t="s">
        <v>652</v>
      </c>
      <c r="C117" s="257" t="s">
        <v>110</v>
      </c>
      <c r="D117" s="244">
        <f>D118+D122</f>
        <v>57801834</v>
      </c>
      <c r="E117" s="244"/>
      <c r="F117" s="244"/>
      <c r="G117" s="244"/>
      <c r="H117" s="244">
        <f>H118+H122</f>
        <v>161581316</v>
      </c>
    </row>
    <row r="118" spans="2:8">
      <c r="B118" s="239" t="s">
        <v>653</v>
      </c>
      <c r="C118" s="245" t="s">
        <v>110</v>
      </c>
      <c r="D118" s="244">
        <f>SUM(D119:D121)</f>
        <v>57801834</v>
      </c>
      <c r="E118" s="244"/>
      <c r="F118" s="244"/>
      <c r="G118" s="244"/>
      <c r="H118" s="244">
        <f>SUM(H119:H121)</f>
        <v>161581316</v>
      </c>
    </row>
    <row r="119" spans="2:8">
      <c r="B119" s="239" t="s">
        <v>655</v>
      </c>
      <c r="C119" s="245" t="s">
        <v>110</v>
      </c>
      <c r="D119" s="245">
        <v>85883</v>
      </c>
      <c r="E119" s="245">
        <f>SUMIF('수정사항 집계'!$C:$C,RIGHT($B119,LEN($B119)-12),'수정사항 집계'!H:H)</f>
        <v>0</v>
      </c>
      <c r="F119" s="245">
        <f>SUMIF('수정사항 집계'!$C:$C,RIGHT($B119,LEN($B119)-12),'수정사항 집계'!I:I)</f>
        <v>0</v>
      </c>
      <c r="G119" s="244"/>
      <c r="H119" s="245">
        <f t="shared" ref="H119:H128" si="9">D119+E119-F119</f>
        <v>85883</v>
      </c>
    </row>
    <row r="120" spans="2:8">
      <c r="B120" s="239" t="s">
        <v>657</v>
      </c>
      <c r="C120" s="245" t="s">
        <v>110</v>
      </c>
      <c r="D120" s="245">
        <v>22475950</v>
      </c>
      <c r="E120" s="245">
        <f>SUMIF('수정사항 집계'!$C:$C,RIGHT($B120,LEN($B120)-12),'수정사항 집계'!H:H)</f>
        <v>103779482</v>
      </c>
      <c r="F120" s="245">
        <f>SUMIF('수정사항 집계'!$C:$C,RIGHT($B120,LEN($B120)-12),'수정사항 집계'!I:I)</f>
        <v>0</v>
      </c>
      <c r="G120" s="244"/>
      <c r="H120" s="245">
        <f t="shared" si="9"/>
        <v>126255432</v>
      </c>
    </row>
    <row r="121" spans="2:8">
      <c r="B121" s="239" t="s">
        <v>660</v>
      </c>
      <c r="C121" s="245" t="s">
        <v>110</v>
      </c>
      <c r="D121" s="245">
        <v>35240001</v>
      </c>
      <c r="E121" s="245">
        <f>SUMIF('수정사항 집계'!$C:$C,RIGHT($B121,LEN($B121)-12),'수정사항 집계'!H:H)</f>
        <v>0</v>
      </c>
      <c r="F121" s="245">
        <f>SUMIF('수정사항 집계'!$C:$C,RIGHT($B121,LEN($B121)-12),'수정사항 집계'!I:I)</f>
        <v>0</v>
      </c>
      <c r="G121" s="244"/>
      <c r="H121" s="245">
        <f t="shared" si="9"/>
        <v>35240001</v>
      </c>
    </row>
    <row r="122" spans="2:8">
      <c r="B122" s="239" t="s">
        <v>661</v>
      </c>
      <c r="C122" s="245" t="s">
        <v>110</v>
      </c>
      <c r="D122" s="245">
        <v>0</v>
      </c>
      <c r="E122" s="244"/>
      <c r="F122" s="244"/>
      <c r="G122" s="244"/>
      <c r="H122" s="245">
        <f t="shared" si="9"/>
        <v>0</v>
      </c>
    </row>
    <row r="123" spans="2:8">
      <c r="B123" s="256" t="s">
        <v>662</v>
      </c>
      <c r="C123" s="257" t="s">
        <v>110</v>
      </c>
      <c r="D123" s="244">
        <f>SUM(D124:D127)</f>
        <v>227035060</v>
      </c>
      <c r="E123" s="244"/>
      <c r="F123" s="244"/>
      <c r="G123" s="244"/>
      <c r="H123" s="244">
        <f>SUM(H124:H127)</f>
        <v>0</v>
      </c>
    </row>
    <row r="124" spans="2:8">
      <c r="B124" s="239" t="s">
        <v>663</v>
      </c>
      <c r="C124" s="245" t="s">
        <v>110</v>
      </c>
      <c r="D124" s="245">
        <v>0</v>
      </c>
      <c r="E124" s="244"/>
      <c r="F124" s="244"/>
      <c r="G124" s="244"/>
      <c r="H124" s="245">
        <f t="shared" si="9"/>
        <v>0</v>
      </c>
    </row>
    <row r="125" spans="2:8">
      <c r="B125" s="239" t="s">
        <v>664</v>
      </c>
      <c r="C125" s="245" t="s">
        <v>110</v>
      </c>
      <c r="D125" s="245">
        <v>0</v>
      </c>
      <c r="E125" s="244"/>
      <c r="F125" s="244"/>
      <c r="G125" s="244"/>
      <c r="H125" s="245">
        <f t="shared" si="9"/>
        <v>0</v>
      </c>
    </row>
    <row r="126" spans="2:8">
      <c r="B126" s="239" t="s">
        <v>673</v>
      </c>
      <c r="C126" s="245" t="s">
        <v>110</v>
      </c>
      <c r="D126" s="245">
        <v>0</v>
      </c>
      <c r="E126" s="244"/>
      <c r="F126" s="244"/>
      <c r="G126" s="244"/>
      <c r="H126" s="245">
        <f t="shared" si="9"/>
        <v>0</v>
      </c>
    </row>
    <row r="127" spans="2:8">
      <c r="B127" s="239" t="s">
        <v>675</v>
      </c>
      <c r="C127" s="245" t="s">
        <v>110</v>
      </c>
      <c r="D127" s="245">
        <v>227035060</v>
      </c>
      <c r="E127" s="244"/>
      <c r="F127" s="244"/>
      <c r="G127" s="244"/>
      <c r="H127" s="245">
        <f>H128</f>
        <v>0</v>
      </c>
    </row>
    <row r="128" spans="2:8">
      <c r="B128" s="239" t="s">
        <v>676</v>
      </c>
      <c r="C128" s="245" t="s">
        <v>110</v>
      </c>
      <c r="D128" s="245">
        <v>227035060</v>
      </c>
      <c r="E128" s="245">
        <f>SUMIF('수정사항 집계'!$C:$C,RIGHT($B128,LEN($B128)-12),'수정사항 집계'!H:H)</f>
        <v>0</v>
      </c>
      <c r="F128" s="245">
        <f>SUMIF('수정사항 집계'!$C:$C,RIGHT($B128,LEN($B128)-12),'수정사항 집계'!I:I)</f>
        <v>227035060</v>
      </c>
      <c r="G128" s="244"/>
      <c r="H128" s="245">
        <f t="shared" si="9"/>
        <v>0</v>
      </c>
    </row>
    <row r="129" spans="2:8">
      <c r="B129" s="256" t="s">
        <v>679</v>
      </c>
      <c r="C129" s="257" t="s">
        <v>110</v>
      </c>
      <c r="D129" s="244">
        <f>SUM(D117,D123)</f>
        <v>284836894</v>
      </c>
      <c r="E129" s="244"/>
      <c r="F129" s="244"/>
      <c r="G129" s="244"/>
      <c r="H129" s="244">
        <f>SUM(H117,H123)</f>
        <v>161581316</v>
      </c>
    </row>
    <row r="130" spans="2:8">
      <c r="B130" s="256" t="s">
        <v>680</v>
      </c>
      <c r="C130" s="257" t="s">
        <v>110</v>
      </c>
      <c r="D130" s="244" t="s">
        <v>110</v>
      </c>
      <c r="E130" s="244"/>
      <c r="F130" s="244"/>
      <c r="G130" s="244"/>
      <c r="H130" s="244"/>
    </row>
    <row r="131" spans="2:8">
      <c r="B131" s="256" t="s">
        <v>681</v>
      </c>
      <c r="C131" s="257" t="s">
        <v>110</v>
      </c>
      <c r="D131" s="244">
        <f>SUM(D132:D135)</f>
        <v>532235627</v>
      </c>
      <c r="E131" s="244"/>
      <c r="F131" s="244"/>
      <c r="G131" s="244"/>
      <c r="H131" s="244">
        <f>SUM(H132:H135)</f>
        <v>500189784</v>
      </c>
    </row>
    <row r="132" spans="2:8">
      <c r="B132" s="239" t="s">
        <v>683</v>
      </c>
      <c r="C132" s="245" t="s">
        <v>110</v>
      </c>
      <c r="D132" s="244">
        <v>199412969</v>
      </c>
      <c r="E132" s="245">
        <f>SUMIF('수정사항 집계'!$C:$C,RIGHT($B132,LEN($B132)-12),'수정사항 집계'!H:H)</f>
        <v>32045843</v>
      </c>
      <c r="F132" s="245">
        <f>SUMIF('수정사항 집계'!$C:$C,RIGHT($B132,LEN($B132)-12),'수정사항 집계'!I:I)</f>
        <v>791210</v>
      </c>
      <c r="G132" s="244"/>
      <c r="H132" s="244">
        <f t="shared" ref="H132:H136" si="10">D132-E132+F132</f>
        <v>168158336</v>
      </c>
    </row>
    <row r="133" spans="2:8">
      <c r="B133" s="239" t="s">
        <v>684</v>
      </c>
      <c r="C133" s="245" t="s">
        <v>110</v>
      </c>
      <c r="D133" s="244">
        <v>-2323840</v>
      </c>
      <c r="E133" s="245">
        <f>SUMIF('수정사항 집계'!$C:$C,RIGHT($B133,LEN($B133)-12),'수정사항 집계'!H:H)</f>
        <v>0</v>
      </c>
      <c r="F133" s="245">
        <f>SUMIF('수정사항 집계'!$C:$C,RIGHT($B133,LEN($B133)-12),'수정사항 집계'!I:I)</f>
        <v>0</v>
      </c>
      <c r="G133" s="244"/>
      <c r="H133" s="244">
        <f t="shared" si="10"/>
        <v>-2323840</v>
      </c>
    </row>
    <row r="134" spans="2:8">
      <c r="B134" s="239" t="s">
        <v>688</v>
      </c>
      <c r="C134" s="245" t="s">
        <v>110</v>
      </c>
      <c r="D134" s="244">
        <v>791210</v>
      </c>
      <c r="E134" s="245">
        <f>SUMIF('수정사항 집계'!$C:$C,RIGHT($B134,LEN($B134)-12),'수정사항 집계'!H:H)</f>
        <v>791210</v>
      </c>
      <c r="F134" s="245">
        <f>SUMIF('수정사항 집계'!$C:$C,RIGHT($B134,LEN($B134)-12),'수정사항 집계'!I:I)</f>
        <v>0</v>
      </c>
      <c r="G134" s="244"/>
      <c r="H134" s="244">
        <f t="shared" si="10"/>
        <v>0</v>
      </c>
    </row>
    <row r="135" spans="2:8">
      <c r="B135" s="239" t="s">
        <v>765</v>
      </c>
      <c r="C135" s="245" t="s">
        <v>110</v>
      </c>
      <c r="D135" s="244">
        <v>334355288</v>
      </c>
      <c r="E135" s="245">
        <f>SUMIF('수정사항 집계'!$C:$C,RIGHT($B135,LEN($B135)-12),'수정사항 집계'!H:H)</f>
        <v>0</v>
      </c>
      <c r="F135" s="245">
        <f>SUMIF('수정사항 집계'!$C:$C,RIGHT($B135,LEN($B135)-12),'수정사항 집계'!I:I)</f>
        <v>0</v>
      </c>
      <c r="G135" s="244"/>
      <c r="H135" s="244">
        <f t="shared" si="10"/>
        <v>334355288</v>
      </c>
    </row>
    <row r="136" spans="2:8">
      <c r="B136" s="256" t="s">
        <v>692</v>
      </c>
      <c r="C136" s="257" t="s">
        <v>110</v>
      </c>
      <c r="D136" s="244">
        <v>0</v>
      </c>
      <c r="E136" s="244"/>
      <c r="F136" s="244"/>
      <c r="G136" s="244"/>
      <c r="H136" s="244">
        <f t="shared" si="10"/>
        <v>0</v>
      </c>
    </row>
    <row r="137" spans="2:8">
      <c r="B137" s="256" t="s">
        <v>694</v>
      </c>
      <c r="C137" s="257" t="s">
        <v>110</v>
      </c>
      <c r="D137" s="244">
        <f>SUM(D131,D136)</f>
        <v>532235627</v>
      </c>
      <c r="E137" s="244"/>
      <c r="F137" s="244"/>
      <c r="G137" s="244"/>
      <c r="H137" s="244">
        <f>SUM(H131,H136)</f>
        <v>500189784</v>
      </c>
    </row>
    <row r="138" spans="2:8">
      <c r="B138" s="256" t="s">
        <v>695</v>
      </c>
      <c r="C138" s="257" t="s">
        <v>110</v>
      </c>
      <c r="D138" s="244" t="s">
        <v>110</v>
      </c>
      <c r="E138" s="244"/>
      <c r="F138" s="244"/>
      <c r="G138" s="244"/>
      <c r="H138" s="244"/>
    </row>
    <row r="139" spans="2:8">
      <c r="B139" s="256" t="s">
        <v>696</v>
      </c>
      <c r="C139" s="257" t="s">
        <v>110</v>
      </c>
      <c r="D139" s="244">
        <v>0</v>
      </c>
      <c r="E139" s="244"/>
      <c r="F139" s="244"/>
      <c r="G139" s="244"/>
      <c r="H139" s="244">
        <f t="shared" ref="H139" si="11">D139-E139+F139</f>
        <v>0</v>
      </c>
    </row>
    <row r="140" spans="2:8">
      <c r="B140" s="256" t="s">
        <v>698</v>
      </c>
      <c r="C140" s="257" t="s">
        <v>110</v>
      </c>
      <c r="D140" s="244">
        <v>1139721126</v>
      </c>
      <c r="E140" s="244"/>
      <c r="F140" s="244"/>
      <c r="G140" s="244"/>
      <c r="H140" s="244">
        <f>H141</f>
        <v>1139721126</v>
      </c>
    </row>
    <row r="141" spans="2:8">
      <c r="B141" s="256" t="s">
        <v>699</v>
      </c>
      <c r="C141" s="257" t="s">
        <v>110</v>
      </c>
      <c r="D141" s="244">
        <v>1139721126</v>
      </c>
      <c r="E141" s="245">
        <f>SUMIF('수정사항 집계'!$C:$C,RIGHT($B141,LEN($B141)-12),'수정사항 집계'!H:H)</f>
        <v>0</v>
      </c>
      <c r="F141" s="245">
        <f>SUMIF('수정사항 집계'!$C:$C,RIGHT($B141,LEN($B141)-12),'수정사항 집계'!I:I)</f>
        <v>0</v>
      </c>
      <c r="G141" s="244"/>
      <c r="H141" s="244">
        <f t="shared" ref="H141:H145" si="12">D141-E141+F141</f>
        <v>1139721126</v>
      </c>
    </row>
    <row r="142" spans="2:8">
      <c r="B142" s="256" t="s">
        <v>700</v>
      </c>
      <c r="C142" s="257" t="s">
        <v>110</v>
      </c>
      <c r="D142" s="244">
        <v>0</v>
      </c>
      <c r="E142" s="244"/>
      <c r="F142" s="244"/>
      <c r="G142" s="244"/>
      <c r="H142" s="244">
        <f t="shared" si="12"/>
        <v>0</v>
      </c>
    </row>
    <row r="143" spans="2:8">
      <c r="B143" s="256" t="s">
        <v>701</v>
      </c>
      <c r="C143" s="257" t="s">
        <v>110</v>
      </c>
      <c r="D143" s="244">
        <v>0</v>
      </c>
      <c r="E143" s="244"/>
      <c r="F143" s="244"/>
      <c r="G143" s="244"/>
      <c r="H143" s="244">
        <f t="shared" si="12"/>
        <v>0</v>
      </c>
    </row>
    <row r="144" spans="2:8">
      <c r="B144" s="256" t="s">
        <v>702</v>
      </c>
      <c r="C144" s="257" t="s">
        <v>110</v>
      </c>
      <c r="D144" s="244">
        <v>1387119859</v>
      </c>
      <c r="E144" s="244"/>
      <c r="F144" s="244"/>
      <c r="G144" s="244"/>
      <c r="H144" s="244">
        <f>H145</f>
        <v>1478329594</v>
      </c>
    </row>
    <row r="145" spans="2:9">
      <c r="B145" s="256" t="s">
        <v>704</v>
      </c>
      <c r="C145" s="257" t="s">
        <v>110</v>
      </c>
      <c r="D145" s="244">
        <v>1387119859</v>
      </c>
      <c r="E145" s="245"/>
      <c r="F145" s="245">
        <f>개별IS!I131</f>
        <v>91209735</v>
      </c>
      <c r="G145" s="244"/>
      <c r="H145" s="244">
        <f t="shared" si="12"/>
        <v>1478329594</v>
      </c>
    </row>
    <row r="146" spans="2:9">
      <c r="B146" s="239" t="s">
        <v>766</v>
      </c>
      <c r="C146" s="245" t="s">
        <v>110</v>
      </c>
      <c r="D146" s="244" t="s">
        <v>110</v>
      </c>
      <c r="E146" s="244"/>
      <c r="F146" s="244"/>
      <c r="G146" s="244"/>
      <c r="H146" s="244"/>
    </row>
    <row r="147" spans="2:9">
      <c r="B147" s="239" t="s">
        <v>774</v>
      </c>
      <c r="C147" s="245" t="s">
        <v>110</v>
      </c>
      <c r="D147" s="244" t="s">
        <v>110</v>
      </c>
      <c r="E147" s="244"/>
      <c r="F147" s="244"/>
      <c r="G147" s="244"/>
      <c r="H147" s="244"/>
    </row>
    <row r="148" spans="2:9">
      <c r="B148" s="239" t="s">
        <v>768</v>
      </c>
      <c r="C148" s="245" t="s">
        <v>110</v>
      </c>
      <c r="D148" s="244" t="s">
        <v>110</v>
      </c>
      <c r="E148" s="244"/>
      <c r="F148" s="244"/>
      <c r="G148" s="244"/>
      <c r="H148" s="244"/>
    </row>
    <row r="149" spans="2:9">
      <c r="B149" s="256" t="s">
        <v>705</v>
      </c>
      <c r="C149" s="257" t="s">
        <v>110</v>
      </c>
      <c r="D149" s="244">
        <f>SUM(D139,D140,D142,D143,-D144)</f>
        <v>-247398733</v>
      </c>
      <c r="E149" s="244"/>
      <c r="F149" s="244"/>
      <c r="G149" s="244"/>
      <c r="H149" s="244">
        <f>SUM(H139,H140,H142,H143,-H144)</f>
        <v>-338608468</v>
      </c>
    </row>
    <row r="150" spans="2:9">
      <c r="B150" s="256" t="s">
        <v>706</v>
      </c>
      <c r="C150" s="257" t="s">
        <v>110</v>
      </c>
      <c r="D150" s="244">
        <f>SUM(D137,D149)</f>
        <v>284836894</v>
      </c>
      <c r="E150" s="244"/>
      <c r="F150" s="244"/>
      <c r="G150" s="244"/>
      <c r="H150" s="244">
        <f>SUM(H137,H149)</f>
        <v>161581316</v>
      </c>
      <c r="I150" s="202"/>
    </row>
    <row r="151" spans="2:9">
      <c r="D151" t="b">
        <f>D129=D150</f>
        <v>1</v>
      </c>
      <c r="H151" t="b">
        <f>H129=H150</f>
        <v>1</v>
      </c>
    </row>
    <row r="153" spans="2:9">
      <c r="B153" t="s">
        <v>510</v>
      </c>
    </row>
    <row r="154" spans="2:9">
      <c r="B154" s="374" t="s">
        <v>645</v>
      </c>
      <c r="C154" s="374" t="s">
        <v>759</v>
      </c>
      <c r="D154" s="374"/>
      <c r="E154" s="368" t="s">
        <v>647</v>
      </c>
      <c r="F154" s="368"/>
      <c r="G154" s="370" t="s">
        <v>648</v>
      </c>
      <c r="H154" s="371"/>
    </row>
    <row r="155" spans="2:9">
      <c r="B155" s="374"/>
      <c r="C155" s="374" t="s">
        <v>760</v>
      </c>
      <c r="D155" s="374"/>
      <c r="E155" s="228" t="s">
        <v>649</v>
      </c>
      <c r="F155" s="228" t="s">
        <v>650</v>
      </c>
      <c r="G155" s="372"/>
      <c r="H155" s="373"/>
    </row>
    <row r="156" spans="2:9">
      <c r="B156" s="239" t="s">
        <v>651</v>
      </c>
      <c r="C156" s="245" t="s">
        <v>110</v>
      </c>
      <c r="D156" s="245" t="s">
        <v>110</v>
      </c>
      <c r="E156" s="244"/>
      <c r="F156" s="244"/>
      <c r="G156" s="244"/>
      <c r="H156" s="244"/>
    </row>
    <row r="157" spans="2:9">
      <c r="B157" s="239" t="s">
        <v>652</v>
      </c>
      <c r="C157" s="245" t="s">
        <v>110</v>
      </c>
      <c r="D157" s="244">
        <f>D158+D165</f>
        <v>584463323</v>
      </c>
      <c r="E157" s="244"/>
      <c r="F157" s="244"/>
      <c r="G157" s="244"/>
      <c r="H157" s="244">
        <f>H158+H165</f>
        <v>607404990</v>
      </c>
    </row>
    <row r="158" spans="2:9">
      <c r="B158" s="239" t="s">
        <v>653</v>
      </c>
      <c r="C158" s="245" t="s">
        <v>110</v>
      </c>
      <c r="D158" s="244">
        <f>SUM(D159:D164)</f>
        <v>584463323</v>
      </c>
      <c r="E158" s="244"/>
      <c r="F158" s="244"/>
      <c r="G158" s="244"/>
      <c r="H158" s="244">
        <f>SUM(H159:H164)</f>
        <v>607404990</v>
      </c>
    </row>
    <row r="159" spans="2:9">
      <c r="B159" s="239" t="s">
        <v>654</v>
      </c>
      <c r="C159" s="245" t="s">
        <v>110</v>
      </c>
      <c r="D159" s="245">
        <v>400000</v>
      </c>
      <c r="E159" s="245">
        <f>SUMIF('수정사항 집계'!$C:$C,RIGHT($B159,LEN($B159)-12),'수정사항 집계'!J:J)</f>
        <v>0</v>
      </c>
      <c r="F159" s="245">
        <f>SUMIF('수정사항 집계'!$C:$C,RIGHT($B159,LEN($B159)-12),'수정사항 집계'!K:K)</f>
        <v>0</v>
      </c>
      <c r="G159" s="244"/>
      <c r="H159" s="245">
        <f t="shared" ref="H159:H165" si="13">D159+E159-F159</f>
        <v>400000</v>
      </c>
    </row>
    <row r="160" spans="2:9">
      <c r="B160" s="239" t="s">
        <v>655</v>
      </c>
      <c r="C160" s="245" t="s">
        <v>110</v>
      </c>
      <c r="D160" s="245">
        <v>14768911</v>
      </c>
      <c r="E160" s="245">
        <f>SUMIF('수정사항 집계'!$C:$C,RIGHT($B160,LEN($B160)-12),'수정사항 집계'!J:J)</f>
        <v>0</v>
      </c>
      <c r="F160" s="245">
        <f>SUMIF('수정사항 집계'!$C:$C,RIGHT($B160,LEN($B160)-12),'수정사항 집계'!K:K)</f>
        <v>0</v>
      </c>
      <c r="G160" s="244"/>
      <c r="H160" s="245">
        <f t="shared" si="13"/>
        <v>14768911</v>
      </c>
    </row>
    <row r="161" spans="2:9">
      <c r="B161" s="239" t="s">
        <v>656</v>
      </c>
      <c r="C161" s="245" t="s">
        <v>110</v>
      </c>
      <c r="D161" s="245">
        <v>156103996</v>
      </c>
      <c r="E161" s="245">
        <f>SUMIF('수정사항 집계'!$C:$C,RIGHT($B161,LEN($B161)-12),'수정사항 집계'!J:J)</f>
        <v>0</v>
      </c>
      <c r="F161" s="245">
        <f>SUMIF('수정사항 집계'!$C:$C,RIGHT($B161,LEN($B161)-12),'수정사항 집계'!K:K)</f>
        <v>0</v>
      </c>
      <c r="G161" s="244"/>
      <c r="H161" s="245">
        <f t="shared" si="13"/>
        <v>156103996</v>
      </c>
    </row>
    <row r="162" spans="2:9">
      <c r="B162" s="239" t="s">
        <v>658</v>
      </c>
      <c r="C162" s="245" t="s">
        <v>110</v>
      </c>
      <c r="D162" s="245">
        <v>3220000</v>
      </c>
      <c r="E162" s="245">
        <f>SUMIF('수정사항 집계'!$C:$C,RIGHT($B162,LEN($B162)-12),'수정사항 집계'!J:J)</f>
        <v>0</v>
      </c>
      <c r="F162" s="245">
        <f>SUMIF('수정사항 집계'!$C:$C,RIGHT($B162,LEN($B162)-12),'수정사항 집계'!K:K)</f>
        <v>0</v>
      </c>
      <c r="G162" s="244"/>
      <c r="H162" s="245">
        <f t="shared" si="13"/>
        <v>3220000</v>
      </c>
    </row>
    <row r="163" spans="2:9">
      <c r="B163" s="242" t="s">
        <v>769</v>
      </c>
      <c r="C163" s="251"/>
      <c r="D163" s="251">
        <v>0</v>
      </c>
      <c r="E163" s="251">
        <f>SUMIF('수정사항 집계'!$C:$C,RIGHT($B163,LEN($B163)-12),'수정사항 집계'!J:J)</f>
        <v>22941667</v>
      </c>
      <c r="F163" s="251">
        <f>SUMIF('수정사항 집계'!$C:$C,RIGHT($B163,LEN($B163)-12),'수정사항 집계'!K:K)</f>
        <v>0</v>
      </c>
      <c r="G163" s="254"/>
      <c r="H163" s="251">
        <f t="shared" si="13"/>
        <v>22941667</v>
      </c>
      <c r="I163" s="252" t="s">
        <v>763</v>
      </c>
    </row>
    <row r="164" spans="2:9">
      <c r="B164" s="239" t="s">
        <v>660</v>
      </c>
      <c r="C164" s="245" t="s">
        <v>110</v>
      </c>
      <c r="D164" s="245">
        <v>409970416</v>
      </c>
      <c r="E164" s="245">
        <f>SUMIF('수정사항 집계'!$C:$C,RIGHT($B164,LEN($B164)-12),'수정사항 집계'!J:J)</f>
        <v>0</v>
      </c>
      <c r="F164" s="245">
        <f>SUMIF('수정사항 집계'!$C:$C,RIGHT($B164,LEN($B164)-12),'수정사항 집계'!K:K)</f>
        <v>0</v>
      </c>
      <c r="G164" s="244"/>
      <c r="H164" s="245">
        <f t="shared" si="13"/>
        <v>409970416</v>
      </c>
    </row>
    <row r="165" spans="2:9">
      <c r="B165" s="239" t="s">
        <v>661</v>
      </c>
      <c r="C165" s="245" t="s">
        <v>110</v>
      </c>
      <c r="D165" s="246">
        <v>0</v>
      </c>
      <c r="E165" s="244"/>
      <c r="F165" s="244"/>
      <c r="G165" s="244"/>
      <c r="H165" s="245">
        <f t="shared" si="13"/>
        <v>0</v>
      </c>
    </row>
    <row r="166" spans="2:9">
      <c r="B166" s="239" t="s">
        <v>662</v>
      </c>
      <c r="C166" s="245" t="s">
        <v>110</v>
      </c>
      <c r="D166" s="244">
        <f>SUM(D167,D168,D177,D179)</f>
        <v>1239519652</v>
      </c>
      <c r="E166" s="244"/>
      <c r="F166" s="244"/>
      <c r="G166" s="244"/>
      <c r="H166" s="244">
        <f>SUM(H167,H168,H177,H179)</f>
        <v>1480562249</v>
      </c>
    </row>
    <row r="167" spans="2:9">
      <c r="B167" s="239" t="s">
        <v>663</v>
      </c>
      <c r="C167" s="245" t="s">
        <v>110</v>
      </c>
      <c r="D167" s="246">
        <v>0</v>
      </c>
      <c r="E167" s="244"/>
      <c r="F167" s="244"/>
      <c r="G167" s="244"/>
      <c r="H167" s="245">
        <f t="shared" ref="H167" si="14">D167+E167-F167</f>
        <v>0</v>
      </c>
    </row>
    <row r="168" spans="2:9">
      <c r="B168" s="239" t="s">
        <v>664</v>
      </c>
      <c r="C168" s="245" t="s">
        <v>110</v>
      </c>
      <c r="D168" s="244">
        <f>C169-C170+C171-C172+C173-C174</f>
        <v>1011423464</v>
      </c>
      <c r="E168" s="244"/>
      <c r="F168" s="244"/>
      <c r="G168" s="244"/>
      <c r="H168" s="244">
        <f>SUM(H169:H176)</f>
        <v>1247161499</v>
      </c>
    </row>
    <row r="169" spans="2:9">
      <c r="B169" s="239" t="s">
        <v>667</v>
      </c>
      <c r="C169" s="245">
        <v>297003327</v>
      </c>
      <c r="D169" s="245" t="s">
        <v>110</v>
      </c>
      <c r="E169" s="245">
        <f>SUMIF('수정사항 집계'!$C:$C,RIGHT($B169,LEN($B169)-12),'수정사항 집계'!J:J)</f>
        <v>0</v>
      </c>
      <c r="F169" s="245">
        <f>SUMIF('수정사항 집계'!$C:$C,RIGHT($B169,LEN($B169)-12),'수정사항 집계'!K:K)</f>
        <v>0</v>
      </c>
      <c r="G169" s="245">
        <f>C169+E169-F169</f>
        <v>297003327</v>
      </c>
      <c r="H169" s="244"/>
    </row>
    <row r="170" spans="2:9">
      <c r="B170" s="239" t="s">
        <v>770</v>
      </c>
      <c r="C170" s="245">
        <v>94555274</v>
      </c>
      <c r="D170" s="245">
        <v>202448053</v>
      </c>
      <c r="E170" s="245">
        <f>SUMIF('수정사항 집계'!$C:$C,RIGHT($B170,LEN($B170)-12),'수정사항 집계'!J:J)</f>
        <v>94555274</v>
      </c>
      <c r="F170" s="245">
        <f>SUMIF('수정사항 집계'!$C:$C,RIGHT($B170,LEN($B170)-12),'수정사항 집계'!K:K)</f>
        <v>48911182</v>
      </c>
      <c r="G170" s="245">
        <f>C170-E170+F170</f>
        <v>48911182</v>
      </c>
      <c r="H170" s="244">
        <f>G169-G170</f>
        <v>248092145</v>
      </c>
    </row>
    <row r="171" spans="2:9">
      <c r="B171" s="239" t="s">
        <v>669</v>
      </c>
      <c r="C171" s="245">
        <v>22243454</v>
      </c>
      <c r="D171" s="245" t="s">
        <v>110</v>
      </c>
      <c r="E171" s="245">
        <f>SUMIF('수정사항 집계'!$C:$C,RIGHT($B171,LEN($B171)-12),'수정사항 집계'!J:J)</f>
        <v>0</v>
      </c>
      <c r="F171" s="245">
        <f>SUMIF('수정사항 집계'!$C:$C,RIGHT($B171,LEN($B171)-12),'수정사항 집계'!K:K)</f>
        <v>0</v>
      </c>
      <c r="G171" s="245">
        <f>C171+E171-F171</f>
        <v>22243454</v>
      </c>
      <c r="H171" s="244"/>
    </row>
    <row r="172" spans="2:9">
      <c r="B172" s="239" t="s">
        <v>761</v>
      </c>
      <c r="C172" s="245">
        <v>8833695</v>
      </c>
      <c r="D172" s="245">
        <v>13409759</v>
      </c>
      <c r="E172" s="245">
        <f>SUMIF('수정사항 집계'!$C:$C,RIGHT($B172,LEN($B172)-12),'수정사항 집계'!J:J)</f>
        <v>8833695</v>
      </c>
      <c r="F172" s="245">
        <f>SUMIF('수정사항 집계'!$C:$C,RIGHT($B172,LEN($B172)-12),'수정사항 집계'!K:K)</f>
        <v>5525224</v>
      </c>
      <c r="G172" s="245">
        <f>C172-E172+F172</f>
        <v>5525224</v>
      </c>
      <c r="H172" s="244">
        <f>G171-G172</f>
        <v>16718230</v>
      </c>
    </row>
    <row r="173" spans="2:9">
      <c r="B173" s="239" t="s">
        <v>665</v>
      </c>
      <c r="C173" s="245">
        <v>1018650000</v>
      </c>
      <c r="D173" s="245" t="s">
        <v>110</v>
      </c>
      <c r="E173" s="245">
        <f>SUMIF('수정사항 집계'!$C:$C,RIGHT($B173,LEN($B173)-12),'수정사항 집계'!J:J)</f>
        <v>0</v>
      </c>
      <c r="F173" s="245">
        <f>SUMIF('수정사항 집계'!$C:$C,RIGHT($B173,LEN($B173)-12),'수정사항 집계'!K:K)</f>
        <v>0</v>
      </c>
      <c r="G173" s="245">
        <f>C173+E173-F173</f>
        <v>1018650000</v>
      </c>
      <c r="H173" s="244"/>
    </row>
    <row r="174" spans="2:9">
      <c r="B174" s="239" t="s">
        <v>762</v>
      </c>
      <c r="C174" s="245">
        <v>223084348</v>
      </c>
      <c r="D174" s="245">
        <v>795565652</v>
      </c>
      <c r="E174" s="245">
        <f>SUMIF('수정사항 집계'!$C:$C,RIGHT($B174,LEN($B174)-12),'수정사항 집계'!J:J)</f>
        <v>223084348</v>
      </c>
      <c r="F174" s="245">
        <f>SUMIF('수정사항 집계'!$C:$C,RIGHT($B174,LEN($B174)-12),'수정사항 집계'!K:K)</f>
        <v>127331250</v>
      </c>
      <c r="G174" s="245">
        <f>C174-E174+F174</f>
        <v>127331250</v>
      </c>
      <c r="H174" s="244">
        <f>G173-G174</f>
        <v>891318750</v>
      </c>
    </row>
    <row r="175" spans="2:9">
      <c r="B175" s="242" t="s">
        <v>671</v>
      </c>
      <c r="C175" s="251"/>
      <c r="D175" s="251"/>
      <c r="E175" s="251">
        <f>SUMIF('수정사항 집계'!$C:$C,RIGHT($B175,LEN($B175)-12),'수정사항 집계'!J:J)</f>
        <v>102179192</v>
      </c>
      <c r="F175" s="251">
        <f>SUMIF('수정사항 집계'!$C:$C,RIGHT($B175,LEN($B175)-12),'수정사항 집계'!K:K)</f>
        <v>0</v>
      </c>
      <c r="G175" s="251">
        <f>C175+E175-F175</f>
        <v>102179192</v>
      </c>
      <c r="H175" s="251"/>
      <c r="I175" s="252" t="s">
        <v>763</v>
      </c>
    </row>
    <row r="176" spans="2:9">
      <c r="B176" s="242" t="s">
        <v>672</v>
      </c>
      <c r="C176" s="251"/>
      <c r="D176" s="251"/>
      <c r="E176" s="251">
        <f>SUMIF('수정사항 집계'!$C:$C,RIGHT($B176,LEN($B176)-12),'수정사항 집계'!J:J)</f>
        <v>0</v>
      </c>
      <c r="F176" s="251">
        <f>SUMIF('수정사항 집계'!$C:$C,RIGHT($B176,LEN($B176)-12),'수정사항 집계'!K:K)</f>
        <v>11146818</v>
      </c>
      <c r="G176" s="251">
        <f>C176-E176+F176</f>
        <v>11146818</v>
      </c>
      <c r="H176" s="251">
        <f>G175-G176</f>
        <v>91032374</v>
      </c>
      <c r="I176" s="252" t="s">
        <v>763</v>
      </c>
    </row>
    <row r="177" spans="2:9">
      <c r="B177" s="239" t="s">
        <v>673</v>
      </c>
      <c r="C177" s="245" t="s">
        <v>110</v>
      </c>
      <c r="D177" s="244">
        <f>D178</f>
        <v>228096188</v>
      </c>
      <c r="E177" s="244"/>
      <c r="F177" s="244"/>
      <c r="G177" s="244"/>
      <c r="H177" s="244">
        <f>H178</f>
        <v>233400750</v>
      </c>
    </row>
    <row r="178" spans="2:9">
      <c r="B178" s="239" t="s">
        <v>775</v>
      </c>
      <c r="C178" s="245" t="s">
        <v>110</v>
      </c>
      <c r="D178" s="245">
        <v>228096188</v>
      </c>
      <c r="E178" s="245">
        <f>SUMIF('수정사항 집계'!$C:$C,RIGHT($B178,LEN($B178)-12),'수정사항 집계'!J:J)</f>
        <v>233400750</v>
      </c>
      <c r="F178" s="245">
        <f>SUMIF('수정사항 집계'!$C:$C,RIGHT($B178,LEN($B178)-12),'수정사항 집계'!K:K)</f>
        <v>228096188</v>
      </c>
      <c r="G178" s="244"/>
      <c r="H178" s="245">
        <f t="shared" ref="H178:H179" si="15">D178+E178-F178</f>
        <v>233400750</v>
      </c>
    </row>
    <row r="179" spans="2:9">
      <c r="B179" s="239" t="s">
        <v>675</v>
      </c>
      <c r="C179" s="245" t="s">
        <v>110</v>
      </c>
      <c r="D179" s="246">
        <v>0</v>
      </c>
      <c r="E179" s="244"/>
      <c r="F179" s="244"/>
      <c r="G179" s="244"/>
      <c r="H179" s="245">
        <f t="shared" si="15"/>
        <v>0</v>
      </c>
    </row>
    <row r="180" spans="2:9">
      <c r="B180" s="239" t="s">
        <v>679</v>
      </c>
      <c r="C180" s="245" t="s">
        <v>110</v>
      </c>
      <c r="D180" s="244">
        <f>SUM(D157,D166)</f>
        <v>1823982975</v>
      </c>
      <c r="E180" s="244"/>
      <c r="F180" s="244"/>
      <c r="G180" s="244"/>
      <c r="H180" s="244">
        <f>SUM(H157,H166)</f>
        <v>2087967239</v>
      </c>
    </row>
    <row r="181" spans="2:9">
      <c r="B181" s="239" t="s">
        <v>680</v>
      </c>
      <c r="C181" s="245" t="s">
        <v>110</v>
      </c>
      <c r="D181" s="245" t="s">
        <v>110</v>
      </c>
      <c r="E181" s="244"/>
      <c r="F181" s="244"/>
      <c r="G181" s="244"/>
      <c r="H181" s="244"/>
    </row>
    <row r="182" spans="2:9">
      <c r="B182" s="239" t="s">
        <v>681</v>
      </c>
      <c r="C182" s="245" t="s">
        <v>110</v>
      </c>
      <c r="D182" s="244">
        <f>SUM(D183:D189)</f>
        <v>731040471</v>
      </c>
      <c r="E182" s="244"/>
      <c r="F182" s="244"/>
      <c r="G182" s="244"/>
      <c r="H182" s="244">
        <f>SUM(H183:H189)</f>
        <v>785569318</v>
      </c>
    </row>
    <row r="183" spans="2:9">
      <c r="B183" s="239" t="s">
        <v>682</v>
      </c>
      <c r="C183" s="245" t="s">
        <v>110</v>
      </c>
      <c r="D183" s="245">
        <v>62475013</v>
      </c>
      <c r="E183" s="245">
        <f>SUMIF('수정사항 집계'!$C:$C,RIGHT($B183,LEN($B183)-12),'수정사항 집계'!J:J)</f>
        <v>0</v>
      </c>
      <c r="F183" s="245">
        <f>SUMIF('수정사항 집계'!$C:$C,RIGHT($B183,LEN($B183)-12),'수정사항 집계'!K:K)</f>
        <v>0</v>
      </c>
      <c r="G183" s="244"/>
      <c r="H183" s="244">
        <f t="shared" ref="H183:H189" si="16">D183-E183+F183</f>
        <v>62475013</v>
      </c>
    </row>
    <row r="184" spans="2:9">
      <c r="B184" s="239" t="s">
        <v>683</v>
      </c>
      <c r="C184" s="245" t="s">
        <v>110</v>
      </c>
      <c r="D184" s="245">
        <v>24511826</v>
      </c>
      <c r="E184" s="245">
        <f>SUMIF('수정사항 집계'!$C:$C,RIGHT($B184,LEN($B184)-12),'수정사항 집계'!J:J)</f>
        <v>0</v>
      </c>
      <c r="F184" s="245">
        <f>SUMIF('수정사항 집계'!$C:$C,RIGHT($B184,LEN($B184)-12),'수정사항 집계'!K:K)</f>
        <v>106819264</v>
      </c>
      <c r="G184" s="244"/>
      <c r="H184" s="244">
        <f t="shared" si="16"/>
        <v>131331090</v>
      </c>
    </row>
    <row r="185" spans="2:9">
      <c r="B185" s="239" t="s">
        <v>684</v>
      </c>
      <c r="C185" s="245" t="s">
        <v>110</v>
      </c>
      <c r="D185" s="245">
        <v>6380260</v>
      </c>
      <c r="E185" s="245">
        <f>SUMIF('수정사항 집계'!$C:$C,RIGHT($B185,LEN($B185)-12),'수정사항 집계'!J:J)</f>
        <v>4239560</v>
      </c>
      <c r="F185" s="245">
        <f>SUMIF('수정사항 집계'!$C:$C,RIGHT($B185,LEN($B185)-12),'수정사항 집계'!K:K)</f>
        <v>0</v>
      </c>
      <c r="G185" s="244"/>
      <c r="H185" s="244">
        <f t="shared" si="16"/>
        <v>2140700</v>
      </c>
    </row>
    <row r="186" spans="2:9">
      <c r="B186" s="239" t="s">
        <v>685</v>
      </c>
      <c r="C186" s="245" t="s">
        <v>110</v>
      </c>
      <c r="D186" s="245">
        <v>240000000</v>
      </c>
      <c r="E186" s="245">
        <f>SUMIF('수정사항 집계'!$C:$C,RIGHT($B186,LEN($B186)-12),'수정사항 집계'!J:J)</f>
        <v>0</v>
      </c>
      <c r="F186" s="245">
        <f>SUMIF('수정사항 집계'!$C:$C,RIGHT($B186,LEN($B186)-12),'수정사항 집계'!K:K)</f>
        <v>0</v>
      </c>
      <c r="G186" s="244"/>
      <c r="H186" s="244">
        <f t="shared" si="16"/>
        <v>240000000</v>
      </c>
    </row>
    <row r="187" spans="2:9">
      <c r="B187" s="239" t="s">
        <v>687</v>
      </c>
      <c r="C187" s="245" t="s">
        <v>110</v>
      </c>
      <c r="D187" s="245">
        <v>27865980</v>
      </c>
      <c r="E187" s="245">
        <f>SUMIF('수정사항 집계'!$C:$C,RIGHT($B187,LEN($B187)-12),'수정사항 집계'!J:J)</f>
        <v>0</v>
      </c>
      <c r="F187" s="245">
        <f>SUMIF('수정사항 집계'!$C:$C,RIGHT($B187,LEN($B187)-12),'수정사항 집계'!K:K)</f>
        <v>0</v>
      </c>
      <c r="G187" s="244"/>
      <c r="H187" s="244">
        <f t="shared" si="16"/>
        <v>27865980</v>
      </c>
    </row>
    <row r="188" spans="2:9">
      <c r="B188" s="239" t="s">
        <v>688</v>
      </c>
      <c r="C188" s="245" t="s">
        <v>110</v>
      </c>
      <c r="D188" s="245">
        <v>48050857</v>
      </c>
      <c r="E188" s="245">
        <f>SUMIF('수정사항 집계'!$C:$C,RIGHT($B188,LEN($B188)-12),'수정사항 집계'!J:J)</f>
        <v>48050857</v>
      </c>
      <c r="F188" s="245">
        <f>SUMIF('수정사항 집계'!$C:$C,RIGHT($B188,LEN($B188)-12),'수정사항 집계'!K:K)</f>
        <v>0</v>
      </c>
      <c r="G188" s="244"/>
      <c r="H188" s="244">
        <f t="shared" si="16"/>
        <v>0</v>
      </c>
    </row>
    <row r="189" spans="2:9">
      <c r="B189" s="239" t="s">
        <v>765</v>
      </c>
      <c r="C189" s="245" t="s">
        <v>110</v>
      </c>
      <c r="D189" s="245">
        <v>321756535</v>
      </c>
      <c r="E189" s="245">
        <f>SUMIF('수정사항 집계'!$C:$C,RIGHT($B189,LEN($B189)-12),'수정사항 집계'!J:J)</f>
        <v>0</v>
      </c>
      <c r="F189" s="245">
        <f>SUMIF('수정사항 집계'!$C:$C,RIGHT($B189,LEN($B189)-12),'수정사항 집계'!K:K)</f>
        <v>0</v>
      </c>
      <c r="G189" s="244"/>
      <c r="H189" s="244">
        <f t="shared" si="16"/>
        <v>321756535</v>
      </c>
    </row>
    <row r="190" spans="2:9">
      <c r="B190" s="239" t="s">
        <v>692</v>
      </c>
      <c r="C190" s="245" t="s">
        <v>110</v>
      </c>
      <c r="D190" s="246">
        <v>0</v>
      </c>
      <c r="E190" s="244"/>
      <c r="F190" s="244"/>
      <c r="G190" s="244"/>
      <c r="H190" s="244">
        <f>H191</f>
        <v>107703954</v>
      </c>
    </row>
    <row r="191" spans="2:9">
      <c r="B191" s="242" t="s">
        <v>693</v>
      </c>
      <c r="C191" s="251"/>
      <c r="D191" s="253"/>
      <c r="E191" s="251">
        <f>SUMIF('수정사항 집계'!$C:$C,RIGHT($B191,LEN($B191)-12),'수정사항 집계'!J:J)</f>
        <v>0</v>
      </c>
      <c r="F191" s="251">
        <f>SUMIF('수정사항 집계'!$C:$C,RIGHT($B191,LEN($B191)-12),'수정사항 집계'!K:K)</f>
        <v>107703954</v>
      </c>
      <c r="G191" s="251"/>
      <c r="H191" s="251">
        <f>F191-E191</f>
        <v>107703954</v>
      </c>
      <c r="I191" s="252" t="s">
        <v>763</v>
      </c>
    </row>
    <row r="192" spans="2:9">
      <c r="B192" s="239" t="s">
        <v>694</v>
      </c>
      <c r="C192" s="245" t="s">
        <v>110</v>
      </c>
      <c r="D192" s="244">
        <f>SUM(D182,D190)</f>
        <v>731040471</v>
      </c>
      <c r="E192" s="244"/>
      <c r="F192" s="244"/>
      <c r="G192" s="244"/>
      <c r="H192" s="244">
        <f>SUM(H182,H190)</f>
        <v>893273272</v>
      </c>
    </row>
    <row r="193" spans="2:9">
      <c r="B193" s="239" t="s">
        <v>695</v>
      </c>
      <c r="C193" s="245" t="s">
        <v>110</v>
      </c>
      <c r="D193" s="245" t="s">
        <v>110</v>
      </c>
      <c r="E193" s="244"/>
      <c r="F193" s="244"/>
      <c r="G193" s="244"/>
      <c r="H193" s="244"/>
    </row>
    <row r="194" spans="2:9">
      <c r="B194" s="239" t="s">
        <v>696</v>
      </c>
      <c r="C194" s="245" t="s">
        <v>110</v>
      </c>
      <c r="D194" s="246">
        <v>0</v>
      </c>
      <c r="E194" s="244"/>
      <c r="F194" s="244"/>
      <c r="G194" s="244"/>
      <c r="H194" s="244">
        <f t="shared" ref="H194" si="17">D194-E194+F194</f>
        <v>0</v>
      </c>
    </row>
    <row r="195" spans="2:9">
      <c r="B195" s="239" t="s">
        <v>698</v>
      </c>
      <c r="C195" s="245" t="s">
        <v>110</v>
      </c>
      <c r="D195" s="245">
        <v>1193050456</v>
      </c>
      <c r="E195" s="244"/>
      <c r="F195" s="244"/>
      <c r="G195" s="244"/>
      <c r="H195" s="244">
        <f>H196</f>
        <v>1338590252</v>
      </c>
    </row>
    <row r="196" spans="2:9">
      <c r="B196" s="239" t="s">
        <v>699</v>
      </c>
      <c r="C196" s="245" t="s">
        <v>110</v>
      </c>
      <c r="D196" s="245">
        <v>1193050456</v>
      </c>
      <c r="E196" s="245">
        <f>SUMIF('수정사항 집계'!$C:$C,RIGHT($B196,LEN($B196)-12),'수정사항 집계'!J:J)</f>
        <v>0</v>
      </c>
      <c r="F196" s="245">
        <f>SUMIF('수정사항 집계'!$C:$C,RIGHT($B196,LEN($B196)-12),'수정사항 집계'!K:K)</f>
        <v>145539796</v>
      </c>
      <c r="G196" s="244"/>
      <c r="H196" s="244">
        <f t="shared" ref="H196:H198" si="18">D196-E196+F196</f>
        <v>1338590252</v>
      </c>
    </row>
    <row r="197" spans="2:9">
      <c r="B197" s="239" t="s">
        <v>700</v>
      </c>
      <c r="C197" s="245" t="s">
        <v>110</v>
      </c>
      <c r="D197" s="246">
        <v>0</v>
      </c>
      <c r="E197" s="244"/>
      <c r="F197" s="244"/>
      <c r="G197" s="244"/>
      <c r="H197" s="244">
        <f t="shared" si="18"/>
        <v>0</v>
      </c>
    </row>
    <row r="198" spans="2:9">
      <c r="B198" s="239" t="s">
        <v>701</v>
      </c>
      <c r="C198" s="245" t="s">
        <v>110</v>
      </c>
      <c r="D198" s="246">
        <v>0</v>
      </c>
      <c r="E198" s="244"/>
      <c r="F198" s="244"/>
      <c r="G198" s="244"/>
      <c r="H198" s="244">
        <f t="shared" si="18"/>
        <v>0</v>
      </c>
    </row>
    <row r="199" spans="2:9">
      <c r="B199" s="239" t="s">
        <v>702</v>
      </c>
      <c r="C199" s="245" t="s">
        <v>110</v>
      </c>
      <c r="D199" s="245">
        <v>100107952</v>
      </c>
      <c r="E199" s="244"/>
      <c r="F199" s="244"/>
      <c r="G199" s="244"/>
      <c r="H199" s="244">
        <f>H200</f>
        <v>143896285</v>
      </c>
    </row>
    <row r="200" spans="2:9">
      <c r="B200" s="239" t="s">
        <v>704</v>
      </c>
      <c r="C200" s="245" t="s">
        <v>110</v>
      </c>
      <c r="D200" s="245">
        <v>100107952</v>
      </c>
      <c r="E200" s="245"/>
      <c r="F200" s="245">
        <f>개별IS!I170</f>
        <v>43788333</v>
      </c>
      <c r="G200" s="244"/>
      <c r="H200" s="244">
        <f t="shared" ref="H200" si="19">D200-E200+F200</f>
        <v>143896285</v>
      </c>
    </row>
    <row r="201" spans="2:9">
      <c r="B201" s="239" t="s">
        <v>766</v>
      </c>
      <c r="C201" s="245" t="s">
        <v>110</v>
      </c>
      <c r="D201" s="245" t="s">
        <v>110</v>
      </c>
      <c r="E201" s="244"/>
      <c r="F201" s="244"/>
      <c r="G201" s="244"/>
      <c r="H201" s="244"/>
    </row>
    <row r="202" spans="2:9">
      <c r="B202" s="239" t="s">
        <v>776</v>
      </c>
      <c r="C202" s="245" t="s">
        <v>110</v>
      </c>
      <c r="D202" s="245" t="s">
        <v>110</v>
      </c>
      <c r="E202" s="244"/>
      <c r="F202" s="244"/>
      <c r="G202" s="244"/>
      <c r="H202" s="244"/>
    </row>
    <row r="203" spans="2:9">
      <c r="B203" s="239" t="s">
        <v>768</v>
      </c>
      <c r="C203" s="245" t="s">
        <v>110</v>
      </c>
      <c r="D203" s="245" t="s">
        <v>110</v>
      </c>
      <c r="E203" s="244"/>
      <c r="F203" s="244"/>
      <c r="G203" s="244"/>
      <c r="H203" s="244"/>
    </row>
    <row r="204" spans="2:9">
      <c r="B204" s="239" t="s">
        <v>705</v>
      </c>
      <c r="C204" s="245" t="s">
        <v>110</v>
      </c>
      <c r="D204" s="244">
        <f>SUM(D194,D195,D197,D198,-D199)</f>
        <v>1092942504</v>
      </c>
      <c r="E204" s="244"/>
      <c r="F204" s="244"/>
      <c r="G204" s="244"/>
      <c r="H204" s="244">
        <f>SUM(H194,H195,H197,H198,-H199)</f>
        <v>1194693967</v>
      </c>
    </row>
    <row r="205" spans="2:9">
      <c r="B205" s="239" t="s">
        <v>706</v>
      </c>
      <c r="C205" s="245" t="s">
        <v>110</v>
      </c>
      <c r="D205" s="244">
        <f>SUM(D192,D204)</f>
        <v>1823982975</v>
      </c>
      <c r="E205" s="244"/>
      <c r="F205" s="244"/>
      <c r="G205" s="244"/>
      <c r="H205" s="244">
        <f>SUM(H192,H204)</f>
        <v>2087967239</v>
      </c>
      <c r="I205" s="56"/>
    </row>
    <row r="206" spans="2:9">
      <c r="D206" t="b">
        <f>D180=D205</f>
        <v>1</v>
      </c>
      <c r="H206" t="b">
        <f>H180=H205</f>
        <v>1</v>
      </c>
    </row>
    <row r="208" spans="2:9">
      <c r="B208" t="s">
        <v>511</v>
      </c>
    </row>
    <row r="209" spans="2:9">
      <c r="B209" s="374" t="s">
        <v>645</v>
      </c>
      <c r="C209" s="374" t="s">
        <v>759</v>
      </c>
      <c r="D209" s="374"/>
      <c r="E209" s="368" t="s">
        <v>647</v>
      </c>
      <c r="F209" s="368"/>
      <c r="G209" s="370" t="s">
        <v>648</v>
      </c>
      <c r="H209" s="371"/>
    </row>
    <row r="210" spans="2:9">
      <c r="B210" s="374"/>
      <c r="C210" s="374" t="s">
        <v>760</v>
      </c>
      <c r="D210" s="374"/>
      <c r="E210" s="228" t="s">
        <v>649</v>
      </c>
      <c r="F210" s="228" t="s">
        <v>650</v>
      </c>
      <c r="G210" s="372"/>
      <c r="H210" s="373"/>
    </row>
    <row r="211" spans="2:9">
      <c r="B211" s="239" t="s">
        <v>651</v>
      </c>
      <c r="C211" s="245" t="s">
        <v>110</v>
      </c>
      <c r="D211" s="245" t="s">
        <v>110</v>
      </c>
      <c r="E211" s="244"/>
      <c r="F211" s="244"/>
      <c r="G211" s="244"/>
      <c r="H211" s="244"/>
    </row>
    <row r="212" spans="2:9">
      <c r="B212" s="239" t="s">
        <v>652</v>
      </c>
      <c r="C212" s="245" t="s">
        <v>110</v>
      </c>
      <c r="D212" s="244">
        <f>D213+D220</f>
        <v>528746037</v>
      </c>
      <c r="E212" s="244"/>
      <c r="F212" s="244"/>
      <c r="G212" s="244"/>
      <c r="H212" s="244">
        <f>H213+H220</f>
        <v>551687704</v>
      </c>
    </row>
    <row r="213" spans="2:9">
      <c r="B213" s="239" t="s">
        <v>653</v>
      </c>
      <c r="C213" s="245" t="s">
        <v>110</v>
      </c>
      <c r="D213" s="244">
        <f>SUM(D214:D219)</f>
        <v>528746037</v>
      </c>
      <c r="E213" s="244"/>
      <c r="F213" s="244"/>
      <c r="G213" s="244"/>
      <c r="H213" s="244">
        <f>SUM(H214:H219)</f>
        <v>551687704</v>
      </c>
    </row>
    <row r="214" spans="2:9">
      <c r="B214" s="239" t="s">
        <v>654</v>
      </c>
      <c r="C214" s="245" t="s">
        <v>110</v>
      </c>
      <c r="D214" s="245">
        <v>300000</v>
      </c>
      <c r="E214" s="245">
        <f>SUMIF('수정사항 집계'!$C:$C,RIGHT($B214,LEN($B214)-12),'수정사항 집계'!L:L)</f>
        <v>0</v>
      </c>
      <c r="F214" s="245">
        <f>SUMIF('수정사항 집계'!$C:$C,RIGHT($B214,LEN($B214)-12),'수정사항 집계'!M:M)</f>
        <v>0</v>
      </c>
      <c r="G214" s="244"/>
      <c r="H214" s="245">
        <f t="shared" ref="H214:H220" si="20">D214+E214-F214</f>
        <v>300000</v>
      </c>
    </row>
    <row r="215" spans="2:9">
      <c r="B215" s="239" t="s">
        <v>655</v>
      </c>
      <c r="C215" s="245" t="s">
        <v>110</v>
      </c>
      <c r="D215" s="245">
        <v>2184011</v>
      </c>
      <c r="E215" s="245">
        <f>SUMIF('수정사항 집계'!$C:$C,RIGHT($B215,LEN($B215)-12),'수정사항 집계'!L:L)</f>
        <v>0</v>
      </c>
      <c r="F215" s="245">
        <f>SUMIF('수정사항 집계'!$C:$C,RIGHT($B215,LEN($B215)-12),'수정사항 집계'!M:M)</f>
        <v>0</v>
      </c>
      <c r="G215" s="244"/>
      <c r="H215" s="245">
        <f t="shared" si="20"/>
        <v>2184011</v>
      </c>
    </row>
    <row r="216" spans="2:9">
      <c r="B216" s="239" t="s">
        <v>656</v>
      </c>
      <c r="C216" s="245" t="s">
        <v>110</v>
      </c>
      <c r="D216" s="245">
        <v>183162742</v>
      </c>
      <c r="E216" s="245">
        <f>SUMIF('수정사항 집계'!$C:$C,RIGHT($B216,LEN($B216)-12),'수정사항 집계'!L:L)</f>
        <v>0</v>
      </c>
      <c r="F216" s="245">
        <f>SUMIF('수정사항 집계'!$C:$C,RIGHT($B216,LEN($B216)-12),'수정사항 집계'!M:M)</f>
        <v>0</v>
      </c>
      <c r="G216" s="244"/>
      <c r="H216" s="245">
        <f t="shared" si="20"/>
        <v>183162742</v>
      </c>
    </row>
    <row r="217" spans="2:9">
      <c r="B217" s="239" t="s">
        <v>658</v>
      </c>
      <c r="C217" s="245" t="s">
        <v>110</v>
      </c>
      <c r="D217" s="245">
        <v>17765000</v>
      </c>
      <c r="E217" s="245">
        <f>SUMIF('수정사항 집계'!$C:$C,RIGHT($B217,LEN($B217)-12),'수정사항 집계'!L:L)</f>
        <v>0</v>
      </c>
      <c r="F217" s="245">
        <f>SUMIF('수정사항 집계'!$C:$C,RIGHT($B217,LEN($B217)-12),'수정사항 집계'!M:M)</f>
        <v>0</v>
      </c>
      <c r="G217" s="244"/>
      <c r="H217" s="245">
        <f t="shared" si="20"/>
        <v>17765000</v>
      </c>
    </row>
    <row r="218" spans="2:9">
      <c r="B218" s="242" t="s">
        <v>769</v>
      </c>
      <c r="C218" s="251"/>
      <c r="D218" s="251">
        <v>0</v>
      </c>
      <c r="E218" s="251">
        <f>SUMIF('수정사항 집계'!$C:$C,RIGHT($B218,LEN($B218)-12),'수정사항 집계'!L:L)</f>
        <v>22941667</v>
      </c>
      <c r="F218" s="251">
        <f>SUMIF('수정사항 집계'!$C:$C,RIGHT($B218,LEN($B218)-12),'수정사항 집계'!M:M)</f>
        <v>0</v>
      </c>
      <c r="G218" s="254"/>
      <c r="H218" s="251">
        <f t="shared" si="20"/>
        <v>22941667</v>
      </c>
      <c r="I218" s="252" t="s">
        <v>763</v>
      </c>
    </row>
    <row r="219" spans="2:9">
      <c r="B219" s="239" t="s">
        <v>660</v>
      </c>
      <c r="C219" s="245" t="s">
        <v>110</v>
      </c>
      <c r="D219" s="245">
        <v>325334284</v>
      </c>
      <c r="E219" s="245">
        <f>SUMIF('수정사항 집계'!$C:$C,RIGHT($B219,LEN($B219)-12),'수정사항 집계'!L:L)</f>
        <v>0</v>
      </c>
      <c r="F219" s="245">
        <f>SUMIF('수정사항 집계'!$C:$C,RIGHT($B219,LEN($B219)-12),'수정사항 집계'!M:M)</f>
        <v>0</v>
      </c>
      <c r="G219" s="244"/>
      <c r="H219" s="245">
        <f t="shared" si="20"/>
        <v>325334284</v>
      </c>
    </row>
    <row r="220" spans="2:9">
      <c r="B220" s="239" t="s">
        <v>661</v>
      </c>
      <c r="C220" s="245" t="s">
        <v>110</v>
      </c>
      <c r="D220" s="246">
        <v>0</v>
      </c>
      <c r="E220" s="244"/>
      <c r="F220" s="244"/>
      <c r="G220" s="244"/>
      <c r="H220" s="245">
        <f t="shared" si="20"/>
        <v>0</v>
      </c>
    </row>
    <row r="221" spans="2:9">
      <c r="B221" s="239" t="s">
        <v>662</v>
      </c>
      <c r="C221" s="245" t="s">
        <v>110</v>
      </c>
      <c r="D221" s="244">
        <f>SUM(D222,D223,D232,D234)</f>
        <v>1981825997</v>
      </c>
      <c r="E221" s="244"/>
      <c r="F221" s="244"/>
      <c r="G221" s="244"/>
      <c r="H221" s="244">
        <f>SUM(H222,H223,H232,H234)</f>
        <v>2321975586</v>
      </c>
    </row>
    <row r="222" spans="2:9">
      <c r="B222" s="239" t="s">
        <v>663</v>
      </c>
      <c r="C222" s="245" t="s">
        <v>110</v>
      </c>
      <c r="D222" s="246">
        <v>0</v>
      </c>
      <c r="E222" s="244"/>
      <c r="F222" s="244"/>
      <c r="G222" s="244"/>
      <c r="H222" s="245">
        <f t="shared" ref="H222" si="21">D222+E222-F222</f>
        <v>0</v>
      </c>
    </row>
    <row r="223" spans="2:9">
      <c r="B223" s="239" t="s">
        <v>664</v>
      </c>
      <c r="C223" s="245" t="s">
        <v>110</v>
      </c>
      <c r="D223" s="244">
        <f>C224-C225+C226-C227+C228-C229</f>
        <v>1456518600</v>
      </c>
      <c r="E223" s="244"/>
      <c r="F223" s="244"/>
      <c r="G223" s="244"/>
      <c r="H223" s="244">
        <f>SUM(H224:H231)</f>
        <v>1825334310</v>
      </c>
    </row>
    <row r="224" spans="2:9">
      <c r="B224" s="239" t="s">
        <v>667</v>
      </c>
      <c r="C224" s="245">
        <v>356582467</v>
      </c>
      <c r="D224" s="245" t="s">
        <v>110</v>
      </c>
      <c r="E224" s="245">
        <f>SUMIF('수정사항 집계'!$C:$C,RIGHT($B224,LEN($B224)-12),'수정사항 집계'!L:L)</f>
        <v>0</v>
      </c>
      <c r="F224" s="245">
        <f>SUMIF('수정사항 집계'!$C:$C,RIGHT($B224,LEN($B224)-12),'수정사항 집계'!M:M)</f>
        <v>0</v>
      </c>
      <c r="G224" s="245">
        <f t="shared" ref="G224" si="22">C224+E224-F224</f>
        <v>356582467</v>
      </c>
      <c r="H224" s="244"/>
    </row>
    <row r="225" spans="2:9">
      <c r="B225" s="239" t="s">
        <v>770</v>
      </c>
      <c r="C225" s="245">
        <v>92683162</v>
      </c>
      <c r="D225" s="245">
        <v>263899305</v>
      </c>
      <c r="E225" s="245">
        <f>SUMIF('수정사항 집계'!$C:$C,RIGHT($B225,LEN($B225)-12),'수정사항 집계'!L:L)</f>
        <v>92683162</v>
      </c>
      <c r="F225" s="245">
        <f>SUMIF('수정사항 집계'!$C:$C,RIGHT($B225,LEN($B225)-12),'수정사항 집계'!M:M)</f>
        <v>50400130</v>
      </c>
      <c r="G225" s="245">
        <f t="shared" ref="G225" si="23">C225-E225+F225</f>
        <v>50400130</v>
      </c>
      <c r="H225" s="244">
        <f>G224-G225</f>
        <v>306182337</v>
      </c>
    </row>
    <row r="226" spans="2:9">
      <c r="B226" s="239" t="s">
        <v>669</v>
      </c>
      <c r="C226" s="245">
        <v>1000000</v>
      </c>
      <c r="D226" s="245" t="s">
        <v>110</v>
      </c>
      <c r="E226" s="245">
        <f>SUMIF('수정사항 집계'!$C:$C,RIGHT($B226,LEN($B226)-12),'수정사항 집계'!L:L)</f>
        <v>0</v>
      </c>
      <c r="F226" s="245">
        <f>SUMIF('수정사항 집계'!$C:$C,RIGHT($B226,LEN($B226)-12),'수정사항 집계'!M:M)</f>
        <v>0</v>
      </c>
      <c r="G226" s="245">
        <f t="shared" ref="G226" si="24">C226+E226-F226</f>
        <v>1000000</v>
      </c>
      <c r="H226" s="244"/>
    </row>
    <row r="227" spans="2:9">
      <c r="B227" s="239" t="s">
        <v>761</v>
      </c>
      <c r="C227" s="245">
        <v>16666</v>
      </c>
      <c r="D227" s="245">
        <v>983334</v>
      </c>
      <c r="E227" s="245">
        <f>SUMIF('수정사항 집계'!$C:$C,RIGHT($B227,LEN($B227)-12),'수정사항 집계'!L:L)</f>
        <v>16666</v>
      </c>
      <c r="F227" s="245">
        <f>SUMIF('수정사항 집계'!$C:$C,RIGHT($B227,LEN($B227)-12),'수정사항 집계'!M:M)</f>
        <v>16667</v>
      </c>
      <c r="G227" s="245">
        <f t="shared" ref="G227" si="25">C227-E227+F227</f>
        <v>16667</v>
      </c>
      <c r="H227" s="244">
        <f>G226-G227</f>
        <v>983333</v>
      </c>
    </row>
    <row r="228" spans="2:9">
      <c r="B228" s="239" t="s">
        <v>665</v>
      </c>
      <c r="C228" s="245">
        <v>1578500000</v>
      </c>
      <c r="D228" s="245" t="s">
        <v>110</v>
      </c>
      <c r="E228" s="245">
        <f>SUMIF('수정사항 집계'!$C:$C,RIGHT($B228,LEN($B228)-12),'수정사항 집계'!L:L)</f>
        <v>0</v>
      </c>
      <c r="F228" s="245">
        <f>SUMIF('수정사항 집계'!$C:$C,RIGHT($B228,LEN($B228)-12),'수정사항 집계'!M:M)</f>
        <v>0</v>
      </c>
      <c r="G228" s="245">
        <f t="shared" ref="G228" si="26">C228+E228-F228</f>
        <v>1578500000</v>
      </c>
      <c r="H228" s="244"/>
    </row>
    <row r="229" spans="2:9">
      <c r="B229" s="239" t="s">
        <v>762</v>
      </c>
      <c r="C229" s="245">
        <v>386864039</v>
      </c>
      <c r="D229" s="245">
        <v>1191635961</v>
      </c>
      <c r="E229" s="245">
        <f>SUMIF('수정사항 집계'!$C:$C,RIGHT($B229,LEN($B229)-12),'수정사항 집계'!L:L)</f>
        <v>386864039</v>
      </c>
      <c r="F229" s="245">
        <f>SUMIF('수정사항 집계'!$C:$C,RIGHT($B229,LEN($B229)-12),'수정사항 집계'!M:M)</f>
        <v>213755208</v>
      </c>
      <c r="G229" s="245">
        <f t="shared" ref="G229" si="27">C229-E229+F229</f>
        <v>213755208</v>
      </c>
      <c r="H229" s="244">
        <f>G228-G229</f>
        <v>1364744792</v>
      </c>
    </row>
    <row r="230" spans="2:9">
      <c r="B230" s="242" t="s">
        <v>671</v>
      </c>
      <c r="C230" s="251"/>
      <c r="D230" s="251"/>
      <c r="E230" s="251">
        <f>SUMIF('수정사항 집계'!$C:$C,RIGHT($B230,LEN($B230)-12),'수정사항 집계'!L:L)</f>
        <v>172601828</v>
      </c>
      <c r="F230" s="251">
        <f>SUMIF('수정사항 집계'!$C:$C,RIGHT($B230,LEN($B230)-12),'수정사항 집계'!M:M)</f>
        <v>0</v>
      </c>
      <c r="G230" s="251">
        <f>C230+E230-F230</f>
        <v>172601828</v>
      </c>
      <c r="H230" s="251"/>
      <c r="I230" s="252" t="s">
        <v>763</v>
      </c>
    </row>
    <row r="231" spans="2:9">
      <c r="B231" s="242" t="s">
        <v>672</v>
      </c>
      <c r="C231" s="251"/>
      <c r="D231" s="251"/>
      <c r="E231" s="251">
        <f>SUMIF('수정사항 집계'!$C:$C,RIGHT($B231,LEN($B231)-12),'수정사항 집계'!L:L)</f>
        <v>0</v>
      </c>
      <c r="F231" s="251">
        <f>SUMIF('수정사항 집계'!$C:$C,RIGHT($B231,LEN($B231)-12),'수정사항 집계'!M:M)</f>
        <v>19177980</v>
      </c>
      <c r="G231" s="251">
        <f>C231-E231+F231</f>
        <v>19177980</v>
      </c>
      <c r="H231" s="251">
        <f>G230-G231</f>
        <v>153423848</v>
      </c>
      <c r="I231" s="252" t="s">
        <v>763</v>
      </c>
    </row>
    <row r="232" spans="2:9">
      <c r="B232" s="239" t="s">
        <v>673</v>
      </c>
      <c r="C232" s="245" t="s">
        <v>110</v>
      </c>
      <c r="D232" s="245">
        <v>423307397</v>
      </c>
      <c r="E232" s="244"/>
      <c r="F232" s="244"/>
      <c r="G232" s="244"/>
      <c r="H232" s="244">
        <f>H233</f>
        <v>429707292</v>
      </c>
    </row>
    <row r="233" spans="2:9">
      <c r="B233" s="239" t="s">
        <v>775</v>
      </c>
      <c r="C233" s="245" t="s">
        <v>110</v>
      </c>
      <c r="D233" s="245">
        <v>423307397</v>
      </c>
      <c r="E233" s="245">
        <f>SUMIF('수정사항 집계'!$C:$C,RIGHT($B233,LEN($B233)-12),'수정사항 집계'!L:L)</f>
        <v>429707292</v>
      </c>
      <c r="F233" s="245">
        <f>SUMIF('수정사항 집계'!$C:$C,RIGHT($B233,LEN($B233)-12),'수정사항 집계'!M:M)</f>
        <v>423307397</v>
      </c>
      <c r="G233" s="244"/>
      <c r="H233" s="245">
        <f t="shared" ref="H233" si="28">D233+E233-F233</f>
        <v>429707292</v>
      </c>
    </row>
    <row r="234" spans="2:9">
      <c r="B234" s="239" t="s">
        <v>675</v>
      </c>
      <c r="C234" s="245" t="s">
        <v>110</v>
      </c>
      <c r="D234" s="245">
        <v>102000000</v>
      </c>
      <c r="E234" s="244"/>
      <c r="F234" s="244"/>
      <c r="G234" s="244"/>
      <c r="H234" s="244">
        <f>SUM(H235:H236)</f>
        <v>66933984</v>
      </c>
    </row>
    <row r="235" spans="2:9">
      <c r="B235" s="239" t="s">
        <v>676</v>
      </c>
      <c r="C235" s="245" t="s">
        <v>110</v>
      </c>
      <c r="D235" s="245">
        <v>102000000</v>
      </c>
      <c r="E235" s="244"/>
      <c r="F235" s="244"/>
      <c r="G235" s="244"/>
      <c r="H235" s="245">
        <f t="shared" ref="H235" si="29">D235+E235-F235</f>
        <v>102000000</v>
      </c>
    </row>
    <row r="236" spans="2:9">
      <c r="B236" s="242" t="s">
        <v>677</v>
      </c>
      <c r="C236" s="251"/>
      <c r="D236" s="251"/>
      <c r="E236" s="251">
        <f>SUMIF('수정사항 집계'!$C:$C,RIGHT($B236,LEN($B236)-12),'수정사항 집계'!L:L)</f>
        <v>3433433</v>
      </c>
      <c r="F236" s="251">
        <f>SUMIF('수정사항 집계'!$C:$C,RIGHT($B236,LEN($B236)-12),'수정사항 집계'!M:M)</f>
        <v>38499449</v>
      </c>
      <c r="G236" s="251"/>
      <c r="H236" s="251">
        <f>E236-F236</f>
        <v>-35066016</v>
      </c>
      <c r="I236" s="252" t="s">
        <v>763</v>
      </c>
    </row>
    <row r="237" spans="2:9">
      <c r="B237" s="239" t="s">
        <v>679</v>
      </c>
      <c r="C237" s="245" t="s">
        <v>110</v>
      </c>
      <c r="D237" s="244">
        <f>SUM(D212,D221)</f>
        <v>2510572034</v>
      </c>
      <c r="E237" s="244"/>
      <c r="F237" s="244"/>
      <c r="G237" s="244"/>
      <c r="H237" s="244">
        <f>SUM(H212,H221)</f>
        <v>2873663290</v>
      </c>
    </row>
    <row r="238" spans="2:9">
      <c r="B238" s="239" t="s">
        <v>680</v>
      </c>
      <c r="C238" s="245" t="s">
        <v>110</v>
      </c>
      <c r="D238" s="245" t="s">
        <v>110</v>
      </c>
      <c r="E238" s="244"/>
      <c r="F238" s="244"/>
      <c r="G238" s="244"/>
      <c r="H238" s="244"/>
    </row>
    <row r="239" spans="2:9">
      <c r="B239" s="239" t="s">
        <v>681</v>
      </c>
      <c r="C239" s="245" t="s">
        <v>110</v>
      </c>
      <c r="D239" s="244">
        <f>SUM(D240:D245)</f>
        <v>636440241</v>
      </c>
      <c r="E239" s="244"/>
      <c r="F239" s="244"/>
      <c r="G239" s="244"/>
      <c r="H239" s="244">
        <f>SUM(H240:H245)</f>
        <v>715549125</v>
      </c>
    </row>
    <row r="240" spans="2:9">
      <c r="B240" s="239" t="s">
        <v>682</v>
      </c>
      <c r="C240" s="245" t="s">
        <v>110</v>
      </c>
      <c r="D240" s="245">
        <v>63459774</v>
      </c>
      <c r="E240" s="245">
        <f>SUMIF('수정사항 집계'!$C:$C,RIGHT($B240,LEN($B240)-12),'수정사항 집계'!L:L)</f>
        <v>0</v>
      </c>
      <c r="F240" s="245">
        <f>SUMIF('수정사항 집계'!$C:$C,RIGHT($B240,LEN($B240)-12),'수정사항 집계'!M:M)</f>
        <v>0</v>
      </c>
      <c r="G240" s="244"/>
      <c r="H240" s="244">
        <f t="shared" ref="H240:H245" si="30">D240-E240+F240</f>
        <v>63459774</v>
      </c>
    </row>
    <row r="241" spans="2:9">
      <c r="B241" s="239" t="s">
        <v>683</v>
      </c>
      <c r="C241" s="245" t="s">
        <v>110</v>
      </c>
      <c r="D241" s="245">
        <v>6656665</v>
      </c>
      <c r="E241" s="245">
        <f>SUMIF('수정사항 집계'!$C:$C,RIGHT($B241,LEN($B241)-12),'수정사항 집계'!L:L)</f>
        <v>0</v>
      </c>
      <c r="F241" s="245">
        <f>SUMIF('수정사항 집계'!$C:$C,RIGHT($B241,LEN($B241)-12),'수정사항 집계'!M:M)</f>
        <v>155414401</v>
      </c>
      <c r="G241" s="244"/>
      <c r="H241" s="244">
        <f t="shared" si="30"/>
        <v>162071066</v>
      </c>
    </row>
    <row r="242" spans="2:9">
      <c r="B242" s="239" t="s">
        <v>684</v>
      </c>
      <c r="C242" s="245" t="s">
        <v>110</v>
      </c>
      <c r="D242" s="245">
        <v>8061430</v>
      </c>
      <c r="E242" s="245">
        <f>SUMIF('수정사항 집계'!$C:$C,RIGHT($B242,LEN($B242)-12),'수정사항 집계'!L:L)</f>
        <v>6541570</v>
      </c>
      <c r="F242" s="245">
        <f>SUMIF('수정사항 집계'!$C:$C,RIGHT($B242,LEN($B242)-12),'수정사항 집계'!M:M)</f>
        <v>0</v>
      </c>
      <c r="G242" s="244"/>
      <c r="H242" s="244">
        <f t="shared" si="30"/>
        <v>1519860</v>
      </c>
    </row>
    <row r="243" spans="2:9">
      <c r="B243" s="239" t="s">
        <v>687</v>
      </c>
      <c r="C243" s="245" t="s">
        <v>110</v>
      </c>
      <c r="D243" s="245">
        <v>31521180</v>
      </c>
      <c r="E243" s="245">
        <f>SUMIF('수정사항 집계'!$C:$C,RIGHT($B243,LEN($B243)-12),'수정사항 집계'!L:L)</f>
        <v>0</v>
      </c>
      <c r="F243" s="245">
        <f>SUMIF('수정사항 집계'!$C:$C,RIGHT($B243,LEN($B243)-12),'수정사항 집계'!M:M)</f>
        <v>0</v>
      </c>
      <c r="G243" s="244"/>
      <c r="H243" s="244">
        <f t="shared" si="30"/>
        <v>31521180</v>
      </c>
    </row>
    <row r="244" spans="2:9">
      <c r="B244" s="239" t="s">
        <v>688</v>
      </c>
      <c r="C244" s="245" t="s">
        <v>110</v>
      </c>
      <c r="D244" s="245">
        <v>69763947</v>
      </c>
      <c r="E244" s="245">
        <f>SUMIF('수정사항 집계'!$C:$C,RIGHT($B244,LEN($B244)-12),'수정사항 집계'!L:L)</f>
        <v>69763947</v>
      </c>
      <c r="F244" s="245">
        <f>SUMIF('수정사항 집계'!$C:$C,RIGHT($B244,LEN($B244)-12),'수정사항 집계'!M:M)</f>
        <v>0</v>
      </c>
      <c r="G244" s="244"/>
      <c r="H244" s="244">
        <f t="shared" si="30"/>
        <v>0</v>
      </c>
    </row>
    <row r="245" spans="2:9">
      <c r="B245" s="239" t="s">
        <v>765</v>
      </c>
      <c r="C245" s="245" t="s">
        <v>110</v>
      </c>
      <c r="D245" s="245">
        <v>456977245</v>
      </c>
      <c r="E245" s="245">
        <f>SUMIF('수정사항 집계'!$C:$C,RIGHT($B245,LEN($B245)-12),'수정사항 집계'!L:L)</f>
        <v>0</v>
      </c>
      <c r="F245" s="245">
        <f>SUMIF('수정사항 집계'!$C:$C,RIGHT($B245,LEN($B245)-12),'수정사항 집계'!M:M)</f>
        <v>0</v>
      </c>
      <c r="G245" s="244"/>
      <c r="H245" s="244">
        <f t="shared" si="30"/>
        <v>456977245</v>
      </c>
    </row>
    <row r="246" spans="2:9">
      <c r="B246" s="239" t="s">
        <v>692</v>
      </c>
      <c r="C246" s="245" t="s">
        <v>110</v>
      </c>
      <c r="D246" s="246">
        <v>0</v>
      </c>
      <c r="E246" s="244"/>
      <c r="F246" s="244"/>
      <c r="G246" s="244"/>
      <c r="H246" s="244">
        <f>H247</f>
        <v>141353208</v>
      </c>
    </row>
    <row r="247" spans="2:9">
      <c r="B247" s="242" t="s">
        <v>693</v>
      </c>
      <c r="C247" s="251"/>
      <c r="D247" s="253"/>
      <c r="E247" s="251">
        <f>SUMIF('수정사항 집계'!$C:$C,RIGHT($B247,LEN($B247)-12),'수정사항 집계'!L:L)</f>
        <v>0</v>
      </c>
      <c r="F247" s="251">
        <f>SUMIF('수정사항 집계'!$C:$C,RIGHT($B247,LEN($B247)-12),'수정사항 집계'!M:M)</f>
        <v>141353208</v>
      </c>
      <c r="G247" s="251"/>
      <c r="H247" s="251">
        <f>F247-E247</f>
        <v>141353208</v>
      </c>
      <c r="I247" s="252" t="s">
        <v>763</v>
      </c>
    </row>
    <row r="248" spans="2:9">
      <c r="B248" s="239" t="s">
        <v>694</v>
      </c>
      <c r="C248" s="245" t="s">
        <v>110</v>
      </c>
      <c r="D248" s="244">
        <f>SUM(D239,D246)</f>
        <v>636440241</v>
      </c>
      <c r="E248" s="244"/>
      <c r="F248" s="244"/>
      <c r="G248" s="244"/>
      <c r="H248" s="244">
        <f>SUM(H239,H246)</f>
        <v>856902333</v>
      </c>
    </row>
    <row r="249" spans="2:9">
      <c r="B249" s="239" t="s">
        <v>695</v>
      </c>
      <c r="C249" s="245" t="s">
        <v>110</v>
      </c>
      <c r="D249" s="245" t="s">
        <v>110</v>
      </c>
      <c r="E249" s="244"/>
      <c r="F249" s="244"/>
      <c r="G249" s="244"/>
      <c r="H249" s="244"/>
    </row>
    <row r="250" spans="2:9">
      <c r="B250" s="239" t="s">
        <v>696</v>
      </c>
      <c r="C250" s="245" t="s">
        <v>110</v>
      </c>
      <c r="D250" s="246">
        <v>0</v>
      </c>
      <c r="E250" s="244"/>
      <c r="F250" s="244"/>
      <c r="G250" s="244"/>
      <c r="H250" s="244">
        <f t="shared" ref="H250" si="31">D250-E250+F250</f>
        <v>0</v>
      </c>
    </row>
    <row r="251" spans="2:9">
      <c r="B251" s="239" t="s">
        <v>698</v>
      </c>
      <c r="C251" s="245" t="s">
        <v>110</v>
      </c>
      <c r="D251" s="245">
        <v>2240755993</v>
      </c>
      <c r="E251" s="244"/>
      <c r="F251" s="244"/>
      <c r="G251" s="244"/>
      <c r="H251" s="244">
        <f>H252</f>
        <v>2456147860</v>
      </c>
    </row>
    <row r="252" spans="2:9">
      <c r="B252" s="239" t="s">
        <v>699</v>
      </c>
      <c r="C252" s="245" t="s">
        <v>110</v>
      </c>
      <c r="D252" s="245">
        <v>2240755993</v>
      </c>
      <c r="E252" s="245">
        <f>SUMIF('수정사항 집계'!$C:$C,RIGHT($B252,LEN($B252)-12),'수정사항 집계'!L:L)</f>
        <v>0</v>
      </c>
      <c r="F252" s="245">
        <f>SUMIF('수정사항 집계'!$C:$C,RIGHT($B252,LEN($B252)-12),'수정사항 집계'!M:M)</f>
        <v>215391867</v>
      </c>
      <c r="G252" s="244"/>
      <c r="H252" s="244">
        <f t="shared" ref="H252:H254" si="32">D252-E252+F252</f>
        <v>2456147860</v>
      </c>
    </row>
    <row r="253" spans="2:9">
      <c r="B253" s="239" t="s">
        <v>700</v>
      </c>
      <c r="C253" s="245" t="s">
        <v>110</v>
      </c>
      <c r="D253" s="246">
        <v>0</v>
      </c>
      <c r="E253" s="244"/>
      <c r="F253" s="244"/>
      <c r="G253" s="244"/>
      <c r="H253" s="244">
        <f t="shared" si="32"/>
        <v>0</v>
      </c>
    </row>
    <row r="254" spans="2:9">
      <c r="B254" s="239" t="s">
        <v>701</v>
      </c>
      <c r="C254" s="245" t="s">
        <v>110</v>
      </c>
      <c r="D254" s="246">
        <v>0</v>
      </c>
      <c r="E254" s="244"/>
      <c r="F254" s="244"/>
      <c r="G254" s="244"/>
      <c r="H254" s="244">
        <f t="shared" si="32"/>
        <v>0</v>
      </c>
    </row>
    <row r="255" spans="2:9">
      <c r="B255" s="239" t="s">
        <v>702</v>
      </c>
      <c r="C255" s="245" t="s">
        <v>110</v>
      </c>
      <c r="D255" s="245">
        <v>366624200</v>
      </c>
      <c r="E255" s="244"/>
      <c r="F255" s="244"/>
      <c r="G255" s="244"/>
      <c r="H255" s="244">
        <f>H256</f>
        <v>439386903</v>
      </c>
    </row>
    <row r="256" spans="2:9">
      <c r="B256" s="239" t="s">
        <v>704</v>
      </c>
      <c r="C256" s="245" t="s">
        <v>110</v>
      </c>
      <c r="D256" s="245">
        <v>366624200</v>
      </c>
      <c r="E256" s="245"/>
      <c r="F256" s="245">
        <f>개별IS!I215</f>
        <v>72762703</v>
      </c>
      <c r="G256" s="244"/>
      <c r="H256" s="244">
        <f t="shared" ref="H256" si="33">D256-E256+F256</f>
        <v>439386903</v>
      </c>
    </row>
    <row r="257" spans="2:9">
      <c r="B257" s="239" t="s">
        <v>766</v>
      </c>
      <c r="C257" s="245" t="s">
        <v>110</v>
      </c>
      <c r="D257" s="245" t="s">
        <v>110</v>
      </c>
      <c r="E257" s="244"/>
      <c r="F257" s="244"/>
      <c r="G257" s="244"/>
      <c r="H257" s="244"/>
    </row>
    <row r="258" spans="2:9">
      <c r="B258" s="239" t="s">
        <v>777</v>
      </c>
      <c r="C258" s="245" t="s">
        <v>110</v>
      </c>
      <c r="D258" s="245" t="s">
        <v>110</v>
      </c>
      <c r="E258" s="244"/>
      <c r="F258" s="244"/>
      <c r="G258" s="244"/>
      <c r="H258" s="244"/>
    </row>
    <row r="259" spans="2:9">
      <c r="B259" s="239" t="s">
        <v>768</v>
      </c>
      <c r="C259" s="245" t="s">
        <v>110</v>
      </c>
      <c r="D259" s="245" t="s">
        <v>110</v>
      </c>
      <c r="E259" s="244"/>
      <c r="F259" s="244"/>
      <c r="G259" s="244"/>
      <c r="H259" s="244"/>
    </row>
    <row r="260" spans="2:9">
      <c r="B260" s="239" t="s">
        <v>705</v>
      </c>
      <c r="C260" s="245" t="s">
        <v>110</v>
      </c>
      <c r="D260" s="244">
        <f>SUM(D250,D251,D253,D254,-D255)</f>
        <v>1874131793</v>
      </c>
      <c r="E260" s="244"/>
      <c r="F260" s="244"/>
      <c r="G260" s="244"/>
      <c r="H260" s="244">
        <f>SUM(H250,H251,H253,H254,-H255)</f>
        <v>2016760957</v>
      </c>
    </row>
    <row r="261" spans="2:9">
      <c r="B261" s="239" t="s">
        <v>706</v>
      </c>
      <c r="C261" s="245" t="s">
        <v>110</v>
      </c>
      <c r="D261" s="244">
        <f>SUM(D248,D260)</f>
        <v>2510572034</v>
      </c>
      <c r="E261" s="244"/>
      <c r="F261" s="244"/>
      <c r="G261" s="244"/>
      <c r="H261" s="244">
        <f>SUM(H248,H260)</f>
        <v>2873663290</v>
      </c>
      <c r="I261" s="56"/>
    </row>
    <row r="262" spans="2:9">
      <c r="D262" t="b">
        <f>D237=D261</f>
        <v>1</v>
      </c>
      <c r="H262" t="b">
        <f>H237=H261</f>
        <v>1</v>
      </c>
    </row>
    <row r="264" spans="2:9">
      <c r="B264" t="s">
        <v>512</v>
      </c>
    </row>
    <row r="265" spans="2:9">
      <c r="B265" s="374" t="s">
        <v>645</v>
      </c>
      <c r="C265" s="374" t="s">
        <v>759</v>
      </c>
      <c r="D265" s="374"/>
      <c r="E265" s="368" t="s">
        <v>647</v>
      </c>
      <c r="F265" s="368"/>
      <c r="G265" s="370" t="s">
        <v>648</v>
      </c>
      <c r="H265" s="371"/>
    </row>
    <row r="266" spans="2:9">
      <c r="B266" s="374"/>
      <c r="C266" s="374" t="s">
        <v>760</v>
      </c>
      <c r="D266" s="374"/>
      <c r="E266" s="228" t="s">
        <v>649</v>
      </c>
      <c r="F266" s="228" t="s">
        <v>650</v>
      </c>
      <c r="G266" s="372"/>
      <c r="H266" s="373"/>
    </row>
    <row r="267" spans="2:9">
      <c r="B267" s="239" t="s">
        <v>651</v>
      </c>
      <c r="C267" s="245" t="s">
        <v>110</v>
      </c>
      <c r="D267" s="245" t="s">
        <v>110</v>
      </c>
      <c r="E267" s="244"/>
      <c r="F267" s="244"/>
      <c r="G267" s="244"/>
      <c r="H267" s="244"/>
    </row>
    <row r="268" spans="2:9">
      <c r="B268" s="239" t="s">
        <v>652</v>
      </c>
      <c r="C268" s="245" t="s">
        <v>110</v>
      </c>
      <c r="D268" s="244">
        <f>D269+D276</f>
        <v>778438939</v>
      </c>
      <c r="E268" s="244"/>
      <c r="F268" s="244"/>
      <c r="G268" s="244"/>
      <c r="H268" s="244">
        <f>H269+H276</f>
        <v>801380606</v>
      </c>
    </row>
    <row r="269" spans="2:9">
      <c r="B269" s="239" t="s">
        <v>653</v>
      </c>
      <c r="C269" s="245" t="s">
        <v>110</v>
      </c>
      <c r="D269" s="244">
        <f>SUM(D270:D275)</f>
        <v>778438939</v>
      </c>
      <c r="E269" s="244"/>
      <c r="F269" s="244"/>
      <c r="G269" s="244"/>
      <c r="H269" s="244">
        <f>SUM(H270:H275)</f>
        <v>801380606</v>
      </c>
    </row>
    <row r="270" spans="2:9">
      <c r="B270" s="239" t="s">
        <v>654</v>
      </c>
      <c r="C270" s="245" t="s">
        <v>110</v>
      </c>
      <c r="D270" s="245">
        <v>400000</v>
      </c>
      <c r="E270" s="245">
        <f>SUMIF('수정사항 집계'!$C:$C,RIGHT($B270,LEN($B270)-12),'수정사항 집계'!N:N)</f>
        <v>0</v>
      </c>
      <c r="F270" s="245">
        <f>SUMIF('수정사항 집계'!$C:$C,RIGHT($B270,LEN($B270)-12),'수정사항 집계'!O:O)</f>
        <v>0</v>
      </c>
      <c r="G270" s="244"/>
      <c r="H270" s="245">
        <f t="shared" ref="H270:H276" si="34">D270+E270-F270</f>
        <v>400000</v>
      </c>
    </row>
    <row r="271" spans="2:9">
      <c r="B271" s="239" t="s">
        <v>655</v>
      </c>
      <c r="C271" s="245" t="s">
        <v>110</v>
      </c>
      <c r="D271" s="245">
        <v>76557049</v>
      </c>
      <c r="E271" s="245">
        <f>SUMIF('수정사항 집계'!$C:$C,RIGHT($B271,LEN($B271)-12),'수정사항 집계'!N:N)</f>
        <v>0</v>
      </c>
      <c r="F271" s="245">
        <f>SUMIF('수정사항 집계'!$C:$C,RIGHT($B271,LEN($B271)-12),'수정사항 집계'!O:O)</f>
        <v>0</v>
      </c>
      <c r="G271" s="244"/>
      <c r="H271" s="245">
        <f t="shared" si="34"/>
        <v>76557049</v>
      </c>
    </row>
    <row r="272" spans="2:9">
      <c r="B272" s="239" t="s">
        <v>656</v>
      </c>
      <c r="C272" s="245" t="s">
        <v>110</v>
      </c>
      <c r="D272" s="245">
        <v>150464646</v>
      </c>
      <c r="E272" s="245">
        <f>SUMIF('수정사항 집계'!$C:$C,RIGHT($B272,LEN($B272)-12),'수정사항 집계'!N:N)</f>
        <v>0</v>
      </c>
      <c r="F272" s="245">
        <f>SUMIF('수정사항 집계'!$C:$C,RIGHT($B272,LEN($B272)-12),'수정사항 집계'!O:O)</f>
        <v>0</v>
      </c>
      <c r="G272" s="244"/>
      <c r="H272" s="245">
        <f t="shared" si="34"/>
        <v>150464646</v>
      </c>
    </row>
    <row r="273" spans="2:9">
      <c r="B273" s="239" t="s">
        <v>658</v>
      </c>
      <c r="C273" s="245" t="s">
        <v>110</v>
      </c>
      <c r="D273" s="245">
        <v>495000</v>
      </c>
      <c r="E273" s="245">
        <f>SUMIF('수정사항 집계'!$C:$C,RIGHT($B273,LEN($B273)-12),'수정사항 집계'!N:N)</f>
        <v>0</v>
      </c>
      <c r="F273" s="245">
        <f>SUMIF('수정사항 집계'!$C:$C,RIGHT($B273,LEN($B273)-12),'수정사항 집계'!O:O)</f>
        <v>0</v>
      </c>
      <c r="G273" s="244"/>
      <c r="H273" s="245">
        <f t="shared" si="34"/>
        <v>495000</v>
      </c>
    </row>
    <row r="274" spans="2:9">
      <c r="B274" s="242" t="s">
        <v>769</v>
      </c>
      <c r="C274" s="251"/>
      <c r="D274" s="251">
        <v>0</v>
      </c>
      <c r="E274" s="251">
        <f>SUMIF('수정사항 집계'!$C:$C,RIGHT($B274,LEN($B274)-12),'수정사항 집계'!N:N)</f>
        <v>22941667</v>
      </c>
      <c r="F274" s="251">
        <f>SUMIF('수정사항 집계'!$C:$C,RIGHT($B274,LEN($B274)-12),'수정사항 집계'!O:O)</f>
        <v>0</v>
      </c>
      <c r="G274" s="254"/>
      <c r="H274" s="251">
        <f t="shared" si="34"/>
        <v>22941667</v>
      </c>
      <c r="I274" s="252" t="s">
        <v>763</v>
      </c>
    </row>
    <row r="275" spans="2:9">
      <c r="B275" s="239" t="s">
        <v>660</v>
      </c>
      <c r="C275" s="245" t="s">
        <v>110</v>
      </c>
      <c r="D275" s="245">
        <v>550522244</v>
      </c>
      <c r="E275" s="245">
        <f>SUMIF('수정사항 집계'!$C:$C,RIGHT($B275,LEN($B275)-12),'수정사항 집계'!N:N)</f>
        <v>0</v>
      </c>
      <c r="F275" s="245">
        <f>SUMIF('수정사항 집계'!$C:$C,RIGHT($B275,LEN($B275)-12),'수정사항 집계'!O:O)</f>
        <v>0</v>
      </c>
      <c r="G275" s="244"/>
      <c r="H275" s="245">
        <f t="shared" si="34"/>
        <v>550522244</v>
      </c>
    </row>
    <row r="276" spans="2:9">
      <c r="B276" s="239" t="s">
        <v>661</v>
      </c>
      <c r="C276" s="245" t="s">
        <v>110</v>
      </c>
      <c r="D276" s="246">
        <v>0</v>
      </c>
      <c r="E276" s="244"/>
      <c r="F276" s="244"/>
      <c r="G276" s="244"/>
      <c r="H276" s="245">
        <f t="shared" si="34"/>
        <v>0</v>
      </c>
    </row>
    <row r="277" spans="2:9">
      <c r="B277" s="239" t="s">
        <v>662</v>
      </c>
      <c r="C277" s="245" t="s">
        <v>110</v>
      </c>
      <c r="D277" s="244">
        <f>SUM(D278,D279,D288,D290)</f>
        <v>1220015926</v>
      </c>
      <c r="E277" s="244"/>
      <c r="F277" s="244"/>
      <c r="G277" s="244"/>
      <c r="H277" s="244">
        <f>SUM(H278,H279,H288,H290)</f>
        <v>1320474011</v>
      </c>
    </row>
    <row r="278" spans="2:9">
      <c r="B278" s="239" t="s">
        <v>663</v>
      </c>
      <c r="C278" s="245" t="s">
        <v>110</v>
      </c>
      <c r="D278" s="246">
        <v>0</v>
      </c>
      <c r="E278" s="244"/>
      <c r="F278" s="244"/>
      <c r="G278" s="244"/>
      <c r="H278" s="245">
        <f t="shared" ref="H278" si="35">D278+E278-F278</f>
        <v>0</v>
      </c>
    </row>
    <row r="279" spans="2:9">
      <c r="B279" s="239" t="s">
        <v>664</v>
      </c>
      <c r="C279" s="245" t="s">
        <v>110</v>
      </c>
      <c r="D279" s="244">
        <f>C280-C281+C282-C283+C284-C285</f>
        <v>933728313</v>
      </c>
      <c r="E279" s="244"/>
      <c r="F279" s="244"/>
      <c r="G279" s="244"/>
      <c r="H279" s="244">
        <f>SUM(H280:H287)</f>
        <v>1039565032</v>
      </c>
    </row>
    <row r="280" spans="2:9">
      <c r="B280" s="239" t="s">
        <v>667</v>
      </c>
      <c r="C280" s="245">
        <v>230152348</v>
      </c>
      <c r="D280" s="245" t="s">
        <v>110</v>
      </c>
      <c r="E280" s="245">
        <f>SUMIF('수정사항 집계'!$C:$C,RIGHT($B280,LEN($B280)-12),'수정사항 집계'!N:N)</f>
        <v>0</v>
      </c>
      <c r="F280" s="245">
        <f>SUMIF('수정사항 집계'!$C:$C,RIGHT($B280,LEN($B280)-12),'수정사항 집계'!O:O)</f>
        <v>0</v>
      </c>
      <c r="G280" s="245">
        <f t="shared" ref="G280:G284" si="36">C280+E280-F280</f>
        <v>230152348</v>
      </c>
      <c r="H280" s="244"/>
    </row>
    <row r="281" spans="2:9">
      <c r="B281" s="239" t="s">
        <v>770</v>
      </c>
      <c r="C281" s="245">
        <v>20445037</v>
      </c>
      <c r="D281" s="245">
        <v>209707311</v>
      </c>
      <c r="E281" s="245">
        <f>SUMIF('수정사항 집계'!$C:$C,RIGHT($B281,LEN($B281)-12),'수정사항 집계'!N:N)</f>
        <v>20445037</v>
      </c>
      <c r="F281" s="245">
        <f>SUMIF('수정사항 집계'!$C:$C,RIGHT($B281,LEN($B281)-12),'수정사항 집계'!O:O)</f>
        <v>16804858</v>
      </c>
      <c r="G281" s="245">
        <f t="shared" ref="G281:G285" si="37">C281-E281+F281</f>
        <v>16804858</v>
      </c>
      <c r="H281" s="244">
        <f>G280-G281</f>
        <v>213347490</v>
      </c>
    </row>
    <row r="282" spans="2:9">
      <c r="B282" s="239" t="s">
        <v>669</v>
      </c>
      <c r="C282" s="245">
        <v>55520000</v>
      </c>
      <c r="D282" s="245" t="s">
        <v>110</v>
      </c>
      <c r="E282" s="245">
        <f>SUMIF('수정사항 집계'!$C:$C,RIGHT($B282,LEN($B282)-12),'수정사항 집계'!N:N)</f>
        <v>0</v>
      </c>
      <c r="F282" s="245">
        <f>SUMIF('수정사항 집계'!$C:$C,RIGHT($B282,LEN($B282)-12),'수정사항 집계'!O:O)</f>
        <v>0</v>
      </c>
      <c r="G282" s="245">
        <f t="shared" si="36"/>
        <v>55520000</v>
      </c>
      <c r="H282" s="244"/>
    </row>
    <row r="283" spans="2:9">
      <c r="B283" s="239" t="s">
        <v>761</v>
      </c>
      <c r="C283" s="245">
        <v>7770167</v>
      </c>
      <c r="D283" s="245">
        <v>47749833</v>
      </c>
      <c r="E283" s="245">
        <f>SUMIF('수정사항 집계'!$C:$C,RIGHT($B283,LEN($B283)-12),'수정사항 집계'!N:N)</f>
        <v>7770167</v>
      </c>
      <c r="F283" s="245">
        <f>SUMIF('수정사항 집계'!$C:$C,RIGHT($B283,LEN($B283)-12),'수정사항 집계'!O:O)</f>
        <v>6535667</v>
      </c>
      <c r="G283" s="245">
        <f t="shared" si="37"/>
        <v>6535667</v>
      </c>
      <c r="H283" s="244">
        <f>G282-G283</f>
        <v>48984333</v>
      </c>
    </row>
    <row r="284" spans="2:9">
      <c r="B284" s="239" t="s">
        <v>665</v>
      </c>
      <c r="C284" s="245">
        <v>742000000</v>
      </c>
      <c r="D284" s="245" t="s">
        <v>110</v>
      </c>
      <c r="E284" s="245">
        <f>SUMIF('수정사항 집계'!$C:$C,RIGHT($B284,LEN($B284)-12),'수정사항 집계'!N:N)</f>
        <v>0</v>
      </c>
      <c r="F284" s="245">
        <f>SUMIF('수정사항 집계'!$C:$C,RIGHT($B284,LEN($B284)-12),'수정사항 집계'!O:O)</f>
        <v>0</v>
      </c>
      <c r="G284" s="245">
        <f t="shared" si="36"/>
        <v>742000000</v>
      </c>
      <c r="H284" s="244"/>
    </row>
    <row r="285" spans="2:9">
      <c r="B285" s="239" t="s">
        <v>762</v>
      </c>
      <c r="C285" s="245">
        <v>65728831</v>
      </c>
      <c r="D285" s="245">
        <v>676271169</v>
      </c>
      <c r="E285" s="245">
        <f>SUMIF('수정사항 집계'!$C:$C,RIGHT($B285,LEN($B285)-12),'수정사항 집계'!N:N)</f>
        <v>65728831</v>
      </c>
      <c r="F285" s="245">
        <f>SUMIF('수정사항 집계'!$C:$C,RIGHT($B285,LEN($B285)-12),'수정사항 집계'!O:O)</f>
        <v>54104168</v>
      </c>
      <c r="G285" s="245">
        <f t="shared" si="37"/>
        <v>54104168</v>
      </c>
      <c r="H285" s="244">
        <f>G284-G285</f>
        <v>687895832</v>
      </c>
    </row>
    <row r="286" spans="2:9">
      <c r="B286" s="242" t="s">
        <v>671</v>
      </c>
      <c r="C286" s="251"/>
      <c r="D286" s="251"/>
      <c r="E286" s="251">
        <f>SUMIF('수정사항 집계'!$C:$C,RIGHT($B286,LEN($B286)-12),'수정사항 집계'!N:N)</f>
        <v>101519747</v>
      </c>
      <c r="F286" s="251">
        <f>SUMIF('수정사항 집계'!$C:$C,RIGHT($B286,LEN($B286)-12),'수정사항 집계'!O:O)</f>
        <v>0</v>
      </c>
      <c r="G286" s="251">
        <f>C286+E286-F286</f>
        <v>101519747</v>
      </c>
      <c r="H286" s="251"/>
      <c r="I286" s="252" t="s">
        <v>763</v>
      </c>
    </row>
    <row r="287" spans="2:9">
      <c r="B287" s="242" t="s">
        <v>672</v>
      </c>
      <c r="C287" s="251"/>
      <c r="D287" s="251"/>
      <c r="E287" s="251">
        <f>SUMIF('수정사항 집계'!$C:$C,RIGHT($B287,LEN($B287)-12),'수정사항 집계'!N:N)</f>
        <v>0</v>
      </c>
      <c r="F287" s="251">
        <f>SUMIF('수정사항 집계'!$C:$C,RIGHT($B287,LEN($B287)-12),'수정사항 집계'!O:O)</f>
        <v>12182370</v>
      </c>
      <c r="G287" s="251">
        <f>C287-E287+F287</f>
        <v>12182370</v>
      </c>
      <c r="H287" s="251">
        <f>G286-G287</f>
        <v>89337377</v>
      </c>
      <c r="I287" s="252" t="s">
        <v>763</v>
      </c>
    </row>
    <row r="288" spans="2:9">
      <c r="B288" s="239" t="s">
        <v>673</v>
      </c>
      <c r="C288" s="245" t="s">
        <v>110</v>
      </c>
      <c r="D288" s="245">
        <v>266287613</v>
      </c>
      <c r="E288" s="244"/>
      <c r="F288" s="244"/>
      <c r="G288" s="244"/>
      <c r="H288" s="244">
        <f>H289</f>
        <v>267315750</v>
      </c>
    </row>
    <row r="289" spans="2:9">
      <c r="B289" s="239" t="s">
        <v>775</v>
      </c>
      <c r="C289" s="245" t="s">
        <v>110</v>
      </c>
      <c r="D289" s="245">
        <v>266287613</v>
      </c>
      <c r="E289" s="245">
        <f>SUMIF('수정사항 집계'!$C:$C,RIGHT($B289,LEN($B289)-12),'수정사항 집계'!N:N)</f>
        <v>267315750</v>
      </c>
      <c r="F289" s="245">
        <f>SUMIF('수정사항 집계'!$C:$C,RIGHT($B289,LEN($B289)-12),'수정사항 집계'!O:O)</f>
        <v>266287613</v>
      </c>
      <c r="G289" s="244"/>
      <c r="H289" s="245">
        <f t="shared" ref="H289" si="38">D289+E289-F289</f>
        <v>267315750</v>
      </c>
    </row>
    <row r="290" spans="2:9">
      <c r="B290" s="239" t="s">
        <v>675</v>
      </c>
      <c r="C290" s="245" t="s">
        <v>110</v>
      </c>
      <c r="D290" s="245">
        <v>20000000</v>
      </c>
      <c r="E290" s="244"/>
      <c r="F290" s="244"/>
      <c r="G290" s="244"/>
      <c r="H290" s="244">
        <f>SUM(H291:H292)</f>
        <v>13593229</v>
      </c>
    </row>
    <row r="291" spans="2:9">
      <c r="B291" s="239" t="s">
        <v>676</v>
      </c>
      <c r="C291" s="245" t="s">
        <v>110</v>
      </c>
      <c r="D291" s="245">
        <v>20000000</v>
      </c>
      <c r="E291" s="244"/>
      <c r="F291" s="244"/>
      <c r="G291" s="244"/>
      <c r="H291" s="245">
        <f t="shared" ref="H291" si="39">D291+E291-F291</f>
        <v>20000000</v>
      </c>
    </row>
    <row r="292" spans="2:9">
      <c r="B292" s="242" t="s">
        <v>677</v>
      </c>
      <c r="C292" s="251"/>
      <c r="D292" s="251"/>
      <c r="E292" s="251">
        <f>SUMIF('수정사항 집계'!$C:$C,RIGHT($B292,LEN($B292)-12),'수정사항 집계'!N:N)</f>
        <v>697276</v>
      </c>
      <c r="F292" s="251">
        <f>SUMIF('수정사항 집계'!$C:$C,RIGHT($B292,LEN($B292)-12),'수정사항 집계'!O:O)</f>
        <v>7104047</v>
      </c>
      <c r="G292" s="251"/>
      <c r="H292" s="251">
        <f>E292-F292</f>
        <v>-6406771</v>
      </c>
      <c r="I292" s="252" t="s">
        <v>763</v>
      </c>
    </row>
    <row r="293" spans="2:9">
      <c r="B293" s="239" t="s">
        <v>679</v>
      </c>
      <c r="C293" s="245" t="s">
        <v>110</v>
      </c>
      <c r="D293" s="244">
        <f>SUM(D268,D277)</f>
        <v>1998454865</v>
      </c>
      <c r="E293" s="244"/>
      <c r="F293" s="244"/>
      <c r="G293" s="244"/>
      <c r="H293" s="244">
        <f>SUM(H268,H277)</f>
        <v>2121854617</v>
      </c>
    </row>
    <row r="294" spans="2:9">
      <c r="B294" s="239" t="s">
        <v>680</v>
      </c>
      <c r="C294" s="245" t="s">
        <v>110</v>
      </c>
      <c r="D294" s="245" t="s">
        <v>110</v>
      </c>
      <c r="E294" s="244"/>
      <c r="F294" s="244"/>
      <c r="G294" s="244"/>
      <c r="H294" s="244"/>
    </row>
    <row r="295" spans="2:9">
      <c r="B295" s="239" t="s">
        <v>681</v>
      </c>
      <c r="C295" s="245" t="s">
        <v>110</v>
      </c>
      <c r="D295" s="244">
        <f>SUM(D296:D301)</f>
        <v>391390847</v>
      </c>
      <c r="E295" s="244"/>
      <c r="F295" s="244"/>
      <c r="G295" s="244"/>
      <c r="H295" s="244">
        <f>SUM(H296:H301)</f>
        <v>430517847</v>
      </c>
    </row>
    <row r="296" spans="2:9">
      <c r="B296" s="239" t="s">
        <v>682</v>
      </c>
      <c r="C296" s="245" t="s">
        <v>110</v>
      </c>
      <c r="D296" s="245">
        <v>52724686</v>
      </c>
      <c r="E296" s="245">
        <f>SUMIF('수정사항 집계'!$C:$C,RIGHT($B296,LEN($B296)-12),'수정사항 집계'!N:N)</f>
        <v>0</v>
      </c>
      <c r="F296" s="245">
        <f>SUMIF('수정사항 집계'!$C:$C,RIGHT($B296,LEN($B296)-12),'수정사항 집계'!O:O)</f>
        <v>0</v>
      </c>
      <c r="G296" s="244"/>
      <c r="H296" s="244">
        <f t="shared" ref="H296:H301" si="40">D296-E296+F296</f>
        <v>52724686</v>
      </c>
    </row>
    <row r="297" spans="2:9">
      <c r="B297" s="239" t="s">
        <v>683</v>
      </c>
      <c r="C297" s="245" t="s">
        <v>110</v>
      </c>
      <c r="D297" s="245">
        <v>9763650</v>
      </c>
      <c r="E297" s="245">
        <f>SUMIF('수정사항 집계'!$C:$C,RIGHT($B297,LEN($B297)-12),'수정사항 집계'!N:N)</f>
        <v>0</v>
      </c>
      <c r="F297" s="245">
        <f>SUMIF('수정사항 집계'!$C:$C,RIGHT($B297,LEN($B297)-12),'수정사항 집계'!O:O)</f>
        <v>100995132</v>
      </c>
      <c r="G297" s="244"/>
      <c r="H297" s="244">
        <f t="shared" si="40"/>
        <v>110758782</v>
      </c>
    </row>
    <row r="298" spans="2:9">
      <c r="B298" s="239" t="s">
        <v>684</v>
      </c>
      <c r="C298" s="245" t="s">
        <v>110</v>
      </c>
      <c r="D298" s="245">
        <v>10232890</v>
      </c>
      <c r="E298" s="245">
        <f>SUMIF('수정사항 집계'!$C:$C,RIGHT($B298,LEN($B298)-12),'수정사항 집계'!N:N)</f>
        <v>4481470</v>
      </c>
      <c r="F298" s="245">
        <f>SUMIF('수정사항 집계'!$C:$C,RIGHT($B298,LEN($B298)-12),'수정사항 집계'!O:O)</f>
        <v>0</v>
      </c>
      <c r="G298" s="244"/>
      <c r="H298" s="244">
        <f t="shared" si="40"/>
        <v>5751420</v>
      </c>
    </row>
    <row r="299" spans="2:9">
      <c r="B299" s="239" t="s">
        <v>687</v>
      </c>
      <c r="C299" s="245" t="s">
        <v>110</v>
      </c>
      <c r="D299" s="245">
        <v>31949850</v>
      </c>
      <c r="E299" s="245">
        <f>SUMIF('수정사항 집계'!$C:$C,RIGHT($B299,LEN($B299)-12),'수정사항 집계'!N:N)</f>
        <v>0</v>
      </c>
      <c r="F299" s="245">
        <f>SUMIF('수정사항 집계'!$C:$C,RIGHT($B299,LEN($B299)-12),'수정사항 집계'!O:O)</f>
        <v>0</v>
      </c>
      <c r="G299" s="244"/>
      <c r="H299" s="244">
        <f t="shared" si="40"/>
        <v>31949850</v>
      </c>
    </row>
    <row r="300" spans="2:9">
      <c r="B300" s="239" t="s">
        <v>688</v>
      </c>
      <c r="C300" s="245" t="s">
        <v>110</v>
      </c>
      <c r="D300" s="245">
        <v>57386662</v>
      </c>
      <c r="E300" s="245">
        <f>SUMIF('수정사항 집계'!$C:$C,RIGHT($B300,LEN($B300)-12),'수정사항 집계'!N:N)</f>
        <v>57386662</v>
      </c>
      <c r="F300" s="245">
        <f>SUMIF('수정사항 집계'!$C:$C,RIGHT($B300,LEN($B300)-12),'수정사항 집계'!O:O)</f>
        <v>0</v>
      </c>
      <c r="G300" s="244"/>
      <c r="H300" s="244">
        <f t="shared" si="40"/>
        <v>0</v>
      </c>
    </row>
    <row r="301" spans="2:9">
      <c r="B301" s="239" t="s">
        <v>765</v>
      </c>
      <c r="C301" s="245" t="s">
        <v>110</v>
      </c>
      <c r="D301" s="245">
        <v>229333109</v>
      </c>
      <c r="E301" s="245">
        <f>SUMIF('수정사항 집계'!$C:$C,RIGHT($B301,LEN($B301)-12),'수정사항 집계'!N:N)</f>
        <v>0</v>
      </c>
      <c r="F301" s="245">
        <f>SUMIF('수정사항 집계'!$C:$C,RIGHT($B301,LEN($B301)-12),'수정사항 집계'!O:O)</f>
        <v>0</v>
      </c>
      <c r="G301" s="244"/>
      <c r="H301" s="244">
        <f t="shared" si="40"/>
        <v>229333109</v>
      </c>
    </row>
    <row r="302" spans="2:9">
      <c r="B302" s="239" t="s">
        <v>692</v>
      </c>
      <c r="C302" s="245" t="s">
        <v>110</v>
      </c>
      <c r="D302" s="246">
        <v>0</v>
      </c>
      <c r="E302" s="244"/>
      <c r="F302" s="244"/>
      <c r="G302" s="244"/>
      <c r="H302" s="244">
        <f>H303</f>
        <v>99520695</v>
      </c>
    </row>
    <row r="303" spans="2:9">
      <c r="B303" s="242" t="s">
        <v>693</v>
      </c>
      <c r="C303" s="251"/>
      <c r="D303" s="253"/>
      <c r="E303" s="251">
        <f>SUMIF('수정사항 집계'!$C:$C,RIGHT($B303,LEN($B303)-12),'수정사항 집계'!N:N)</f>
        <v>0</v>
      </c>
      <c r="F303" s="251">
        <f>SUMIF('수정사항 집계'!$C:$C,RIGHT($B303,LEN($B303)-12),'수정사항 집계'!O:O)</f>
        <v>99520695</v>
      </c>
      <c r="G303" s="251"/>
      <c r="H303" s="251">
        <f>F303-E303</f>
        <v>99520695</v>
      </c>
      <c r="I303" s="252" t="s">
        <v>763</v>
      </c>
    </row>
    <row r="304" spans="2:9">
      <c r="B304" s="239" t="s">
        <v>694</v>
      </c>
      <c r="C304" s="245" t="s">
        <v>110</v>
      </c>
      <c r="D304" s="244">
        <f>SUM(D295,D302)</f>
        <v>391390847</v>
      </c>
      <c r="E304" s="244"/>
      <c r="F304" s="244"/>
      <c r="G304" s="244"/>
      <c r="H304" s="244">
        <f>SUM(H295,H302)</f>
        <v>530038542</v>
      </c>
    </row>
    <row r="305" spans="2:9">
      <c r="B305" s="239" t="s">
        <v>695</v>
      </c>
      <c r="C305" s="245" t="s">
        <v>110</v>
      </c>
      <c r="D305" s="245" t="s">
        <v>110</v>
      </c>
      <c r="E305" s="244"/>
      <c r="F305" s="244"/>
      <c r="G305" s="244"/>
      <c r="H305" s="244"/>
    </row>
    <row r="306" spans="2:9">
      <c r="B306" s="239" t="s">
        <v>696</v>
      </c>
      <c r="C306" s="245" t="s">
        <v>110</v>
      </c>
      <c r="D306" s="246">
        <v>0</v>
      </c>
      <c r="E306" s="244"/>
      <c r="F306" s="244"/>
      <c r="G306" s="244"/>
      <c r="H306" s="244">
        <f t="shared" ref="H306" si="41">D306-E306+F306</f>
        <v>0</v>
      </c>
    </row>
    <row r="307" spans="2:9">
      <c r="B307" s="239" t="s">
        <v>698</v>
      </c>
      <c r="C307" s="245" t="s">
        <v>110</v>
      </c>
      <c r="D307" s="245">
        <v>1455785505</v>
      </c>
      <c r="E307" s="244"/>
      <c r="F307" s="244"/>
      <c r="G307" s="244"/>
      <c r="H307" s="244">
        <f>H308</f>
        <v>1472284852</v>
      </c>
    </row>
    <row r="308" spans="2:9">
      <c r="B308" s="239" t="s">
        <v>699</v>
      </c>
      <c r="C308" s="245" t="s">
        <v>110</v>
      </c>
      <c r="D308" s="245">
        <v>1455785505</v>
      </c>
      <c r="E308" s="245">
        <f>SUMIF('수정사항 집계'!$C:$C,RIGHT($B308,LEN($B308)-12),'수정사항 집계'!N:N)</f>
        <v>0</v>
      </c>
      <c r="F308" s="245">
        <f>SUMIF('수정사항 집계'!$C:$C,RIGHT($B308,LEN($B308)-12),'수정사항 집계'!O:O)</f>
        <v>16499347</v>
      </c>
      <c r="G308" s="244"/>
      <c r="H308" s="244">
        <f t="shared" ref="H308:H310" si="42">D308-E308+F308</f>
        <v>1472284852</v>
      </c>
    </row>
    <row r="309" spans="2:9">
      <c r="B309" s="239" t="s">
        <v>700</v>
      </c>
      <c r="C309" s="245" t="s">
        <v>110</v>
      </c>
      <c r="D309" s="246">
        <v>0</v>
      </c>
      <c r="E309" s="244"/>
      <c r="F309" s="244"/>
      <c r="G309" s="244"/>
      <c r="H309" s="244">
        <f t="shared" si="42"/>
        <v>0</v>
      </c>
    </row>
    <row r="310" spans="2:9">
      <c r="B310" s="239" t="s">
        <v>701</v>
      </c>
      <c r="C310" s="245" t="s">
        <v>110</v>
      </c>
      <c r="D310" s="246">
        <v>0</v>
      </c>
      <c r="E310" s="244"/>
      <c r="F310" s="244"/>
      <c r="G310" s="244"/>
      <c r="H310" s="244">
        <f t="shared" si="42"/>
        <v>0</v>
      </c>
    </row>
    <row r="311" spans="2:9">
      <c r="B311" s="239" t="s">
        <v>771</v>
      </c>
      <c r="C311" s="245" t="s">
        <v>110</v>
      </c>
      <c r="D311" s="245">
        <v>151278513</v>
      </c>
      <c r="E311" s="244"/>
      <c r="F311" s="244"/>
      <c r="G311" s="244"/>
      <c r="H311" s="244">
        <f>H312</f>
        <v>119531223</v>
      </c>
    </row>
    <row r="312" spans="2:9">
      <c r="B312" s="239" t="s">
        <v>703</v>
      </c>
      <c r="C312" s="245" t="s">
        <v>110</v>
      </c>
      <c r="D312" s="245">
        <v>151278513</v>
      </c>
      <c r="E312" s="245">
        <f>개별IS!I256</f>
        <v>31747290</v>
      </c>
      <c r="F312" s="245"/>
      <c r="G312" s="244"/>
      <c r="H312" s="244">
        <f t="shared" ref="H312" si="43">D312-E312+F312</f>
        <v>119531223</v>
      </c>
    </row>
    <row r="313" spans="2:9">
      <c r="B313" s="239" t="s">
        <v>772</v>
      </c>
      <c r="C313" s="245" t="s">
        <v>110</v>
      </c>
      <c r="D313" s="245" t="s">
        <v>110</v>
      </c>
      <c r="E313" s="244"/>
      <c r="F313" s="244"/>
      <c r="G313" s="244"/>
      <c r="H313" s="244"/>
    </row>
    <row r="314" spans="2:9">
      <c r="B314" s="239" t="s">
        <v>778</v>
      </c>
      <c r="C314" s="245" t="s">
        <v>110</v>
      </c>
      <c r="D314" s="245" t="s">
        <v>110</v>
      </c>
      <c r="E314" s="244"/>
      <c r="F314" s="244"/>
      <c r="G314" s="244"/>
      <c r="H314" s="244"/>
    </row>
    <row r="315" spans="2:9">
      <c r="B315" s="239" t="s">
        <v>768</v>
      </c>
      <c r="C315" s="245" t="s">
        <v>110</v>
      </c>
      <c r="D315" s="245" t="s">
        <v>110</v>
      </c>
      <c r="E315" s="244"/>
      <c r="F315" s="244"/>
      <c r="G315" s="244"/>
      <c r="H315" s="244"/>
    </row>
    <row r="316" spans="2:9">
      <c r="B316" s="239" t="s">
        <v>705</v>
      </c>
      <c r="C316" s="245" t="s">
        <v>110</v>
      </c>
      <c r="D316" s="244">
        <f>SUM(D306,D307,D309,D310,D311)</f>
        <v>1607064018</v>
      </c>
      <c r="E316" s="244"/>
      <c r="F316" s="244"/>
      <c r="G316" s="244"/>
      <c r="H316" s="244">
        <f>SUM(H306,H307,H309,H310,H311)</f>
        <v>1591816075</v>
      </c>
    </row>
    <row r="317" spans="2:9">
      <c r="B317" s="239" t="s">
        <v>706</v>
      </c>
      <c r="C317" s="245" t="s">
        <v>110</v>
      </c>
      <c r="D317" s="244">
        <f>SUM(D304,D316)</f>
        <v>1998454865</v>
      </c>
      <c r="E317" s="244"/>
      <c r="F317" s="244"/>
      <c r="G317" s="244"/>
      <c r="H317" s="244">
        <f>SUM(H304,H316)</f>
        <v>2121854617</v>
      </c>
      <c r="I317" s="56"/>
    </row>
    <row r="318" spans="2:9">
      <c r="D318" t="b">
        <f>D293=D317</f>
        <v>1</v>
      </c>
      <c r="H318" t="b">
        <f>H293=H317</f>
        <v>1</v>
      </c>
    </row>
    <row r="320" spans="2:9">
      <c r="B320" t="s">
        <v>570</v>
      </c>
    </row>
    <row r="321" spans="2:9">
      <c r="B321" s="374" t="s">
        <v>645</v>
      </c>
      <c r="C321" s="374" t="s">
        <v>779</v>
      </c>
      <c r="D321" s="374"/>
      <c r="E321" s="368" t="s">
        <v>647</v>
      </c>
      <c r="F321" s="368"/>
      <c r="G321" s="370" t="s">
        <v>648</v>
      </c>
      <c r="H321" s="371"/>
    </row>
    <row r="322" spans="2:9">
      <c r="B322" s="374"/>
      <c r="C322" s="374" t="s">
        <v>760</v>
      </c>
      <c r="D322" s="374"/>
      <c r="E322" s="228" t="s">
        <v>649</v>
      </c>
      <c r="F322" s="228" t="s">
        <v>650</v>
      </c>
      <c r="G322" s="372"/>
      <c r="H322" s="373"/>
    </row>
    <row r="323" spans="2:9">
      <c r="B323" s="239" t="s">
        <v>651</v>
      </c>
      <c r="C323" s="245" t="s">
        <v>110</v>
      </c>
      <c r="D323" s="245" t="s">
        <v>110</v>
      </c>
      <c r="E323" s="244"/>
      <c r="F323" s="244"/>
      <c r="G323" s="244"/>
      <c r="H323" s="244"/>
    </row>
    <row r="324" spans="2:9">
      <c r="B324" s="239" t="s">
        <v>652</v>
      </c>
      <c r="C324" s="245" t="s">
        <v>110</v>
      </c>
      <c r="D324" s="245">
        <v>31260285</v>
      </c>
      <c r="E324" s="244"/>
      <c r="F324" s="244"/>
      <c r="G324" s="244"/>
      <c r="H324" s="244">
        <f>H325+H330</f>
        <v>31260285</v>
      </c>
    </row>
    <row r="325" spans="2:9">
      <c r="B325" s="239" t="s">
        <v>653</v>
      </c>
      <c r="C325" s="245" t="s">
        <v>110</v>
      </c>
      <c r="D325" s="245">
        <v>31260285</v>
      </c>
      <c r="E325" s="244"/>
      <c r="F325" s="244"/>
      <c r="G325" s="244"/>
      <c r="H325" s="244">
        <f>SUM(H326:H329)</f>
        <v>31260285</v>
      </c>
    </row>
    <row r="326" spans="2:9">
      <c r="B326" s="239" t="s">
        <v>655</v>
      </c>
      <c r="C326" s="245" t="s">
        <v>110</v>
      </c>
      <c r="D326" s="245">
        <v>379521</v>
      </c>
      <c r="E326" s="245">
        <f>SUMIF('수정사항 집계'!$C:$C,RIGHT($B326,LEN($B326)-12),'수정사항 집계'!P:P)</f>
        <v>0</v>
      </c>
      <c r="F326" s="245">
        <f>SUMIF('수정사항 집계'!$C:$C,RIGHT($B326,LEN($B326)-12),'수정사항 집계'!Q:Q)</f>
        <v>0</v>
      </c>
      <c r="G326" s="244"/>
      <c r="H326" s="245">
        <f t="shared" ref="H326:H330" si="44">D326+E326-F326</f>
        <v>379521</v>
      </c>
    </row>
    <row r="327" spans="2:9">
      <c r="B327" s="239" t="s">
        <v>656</v>
      </c>
      <c r="C327" s="245" t="s">
        <v>110</v>
      </c>
      <c r="D327" s="245">
        <v>17102304</v>
      </c>
      <c r="E327" s="245">
        <f>SUMIF('수정사항 집계'!$C:$C,RIGHT($B327,LEN($B327)-12),'수정사항 집계'!P:P)</f>
        <v>0</v>
      </c>
      <c r="F327" s="245">
        <f>SUMIF('수정사항 집계'!$C:$C,RIGHT($B327,LEN($B327)-12),'수정사항 집계'!Q:Q)</f>
        <v>0</v>
      </c>
      <c r="G327" s="244"/>
      <c r="H327" s="245">
        <f t="shared" si="44"/>
        <v>17102304</v>
      </c>
    </row>
    <row r="328" spans="2:9">
      <c r="B328" s="239" t="s">
        <v>657</v>
      </c>
      <c r="C328" s="245" t="s">
        <v>110</v>
      </c>
      <c r="D328" s="245">
        <v>1383140</v>
      </c>
      <c r="E328" s="245">
        <f>SUMIF('수정사항 집계'!$C:$C,RIGHT($B328,LEN($B328)-12),'수정사항 집계'!P:P)</f>
        <v>0</v>
      </c>
      <c r="F328" s="245">
        <f>SUMIF('수정사항 집계'!$C:$C,RIGHT($B328,LEN($B328)-12),'수정사항 집계'!Q:Q)</f>
        <v>0</v>
      </c>
      <c r="G328" s="244"/>
      <c r="H328" s="245">
        <f t="shared" si="44"/>
        <v>1383140</v>
      </c>
    </row>
    <row r="329" spans="2:9">
      <c r="B329" s="239" t="s">
        <v>658</v>
      </c>
      <c r="C329" s="245" t="s">
        <v>110</v>
      </c>
      <c r="D329" s="245">
        <v>12395320</v>
      </c>
      <c r="E329" s="245">
        <f>SUMIF('수정사항 집계'!$C:$C,RIGHT($B329,LEN($B329)-12),'수정사항 집계'!P:P)</f>
        <v>0</v>
      </c>
      <c r="F329" s="245">
        <f>SUMIF('수정사항 집계'!$C:$C,RIGHT($B329,LEN($B329)-12),'수정사항 집계'!Q:Q)</f>
        <v>0</v>
      </c>
      <c r="G329" s="244"/>
      <c r="H329" s="245">
        <f t="shared" si="44"/>
        <v>12395320</v>
      </c>
    </row>
    <row r="330" spans="2:9">
      <c r="B330" s="239" t="s">
        <v>661</v>
      </c>
      <c r="C330" s="245" t="s">
        <v>110</v>
      </c>
      <c r="D330" s="246">
        <v>0</v>
      </c>
      <c r="E330" s="244"/>
      <c r="F330" s="244"/>
      <c r="G330" s="244"/>
      <c r="H330" s="245">
        <f t="shared" si="44"/>
        <v>0</v>
      </c>
    </row>
    <row r="331" spans="2:9">
      <c r="B331" s="239" t="s">
        <v>662</v>
      </c>
      <c r="C331" s="245" t="s">
        <v>110</v>
      </c>
      <c r="D331" s="245">
        <v>41163407</v>
      </c>
      <c r="E331" s="244"/>
      <c r="F331" s="244"/>
      <c r="G331" s="244"/>
      <c r="H331" s="244">
        <f>SUM(H332,H333,H340,H341)</f>
        <v>85763924</v>
      </c>
    </row>
    <row r="332" spans="2:9">
      <c r="B332" s="239" t="s">
        <v>663</v>
      </c>
      <c r="C332" s="245" t="s">
        <v>110</v>
      </c>
      <c r="D332" s="246">
        <v>0</v>
      </c>
      <c r="E332" s="244"/>
      <c r="F332" s="244"/>
      <c r="G332" s="244"/>
      <c r="H332" s="245">
        <f t="shared" ref="H332" si="45">D332+E332-F332</f>
        <v>0</v>
      </c>
    </row>
    <row r="333" spans="2:9">
      <c r="B333" s="239" t="s">
        <v>664</v>
      </c>
      <c r="C333" s="245" t="s">
        <v>110</v>
      </c>
      <c r="D333" s="245">
        <v>11163407</v>
      </c>
      <c r="E333" s="244"/>
      <c r="F333" s="244"/>
      <c r="G333" s="244"/>
      <c r="H333" s="244">
        <f>SUM(H334:H339)</f>
        <v>60546514</v>
      </c>
    </row>
    <row r="334" spans="2:9">
      <c r="B334" s="239" t="s">
        <v>665</v>
      </c>
      <c r="C334" s="245">
        <v>11320000</v>
      </c>
      <c r="D334" s="245" t="s">
        <v>110</v>
      </c>
      <c r="E334" s="245">
        <f>SUMIF('수정사항 집계'!$C:$C,RIGHT($B334,LEN($B334)-12),'수정사항 집계'!P:P)</f>
        <v>22033000</v>
      </c>
      <c r="F334" s="245">
        <f>SUMIF('수정사항 집계'!$C:$C,RIGHT($B334,LEN($B334)-12),'수정사항 집계'!Q:Q)</f>
        <v>0</v>
      </c>
      <c r="G334" s="245">
        <f t="shared" ref="G334:G336" si="46">C334+E334-F334</f>
        <v>33353000</v>
      </c>
      <c r="H334" s="244"/>
    </row>
    <row r="335" spans="2:9">
      <c r="B335" s="239" t="s">
        <v>762</v>
      </c>
      <c r="C335" s="245">
        <v>156593</v>
      </c>
      <c r="D335" s="245">
        <v>11163407</v>
      </c>
      <c r="E335" s="245">
        <f>SUMIF('수정사항 집계'!$C:$C,RIGHT($B335,LEN($B335)-12),'수정사항 집계'!P:P)</f>
        <v>156593</v>
      </c>
      <c r="F335" s="245">
        <f>SUMIF('수정사항 집계'!$C:$C,RIGHT($B335,LEN($B335)-12),'수정사항 집계'!Q:Q)</f>
        <v>868948</v>
      </c>
      <c r="G335" s="245">
        <f t="shared" ref="G335:G337" si="47">C335-E335+F335</f>
        <v>868948</v>
      </c>
      <c r="H335" s="244">
        <f>G334-G335</f>
        <v>32484052</v>
      </c>
    </row>
    <row r="336" spans="2:9">
      <c r="B336" s="242" t="s">
        <v>667</v>
      </c>
      <c r="C336" s="251">
        <v>0</v>
      </c>
      <c r="D336" s="251"/>
      <c r="E336" s="254">
        <f>SUMIF('수정사항 집계'!$C:$C,RIGHT($B336,LEN($B336)-12),'수정사항 집계'!P:P)</f>
        <v>13150000</v>
      </c>
      <c r="F336" s="254">
        <f>SUMIF('수정사항 집계'!$C:$C,RIGHT($B336,LEN($B336)-12),'수정사항 집계'!Q:Q)</f>
        <v>0</v>
      </c>
      <c r="G336" s="251">
        <f t="shared" si="46"/>
        <v>13150000</v>
      </c>
      <c r="H336" s="254"/>
      <c r="I336" s="252" t="s">
        <v>763</v>
      </c>
    </row>
    <row r="337" spans="2:9">
      <c r="B337" s="242" t="s">
        <v>770</v>
      </c>
      <c r="C337" s="251">
        <v>0</v>
      </c>
      <c r="D337" s="251">
        <v>0</v>
      </c>
      <c r="E337" s="254">
        <f>SUMIF('수정사항 집계'!$C:$C,RIGHT($B337,LEN($B337)-12),'수정사항 집계'!P:P)</f>
        <v>0</v>
      </c>
      <c r="F337" s="254">
        <f>SUMIF('수정사항 집계'!$C:$C,RIGHT($B337,LEN($B337)-12),'수정사항 집계'!Q:Q)</f>
        <v>647396</v>
      </c>
      <c r="G337" s="251">
        <f t="shared" si="47"/>
        <v>647396</v>
      </c>
      <c r="H337" s="254">
        <f>G336-G337</f>
        <v>12502604</v>
      </c>
      <c r="I337" s="252" t="s">
        <v>763</v>
      </c>
    </row>
    <row r="338" spans="2:9">
      <c r="B338" s="242" t="s">
        <v>671</v>
      </c>
      <c r="C338" s="251"/>
      <c r="D338" s="251"/>
      <c r="E338" s="254">
        <f>SUMIF('수정사항 집계'!$C:$C,RIGHT($B338,LEN($B338)-12),'수정사항 집계'!P:P)</f>
        <v>16974390</v>
      </c>
      <c r="F338" s="254">
        <f>SUMIF('수정사항 집계'!$C:$C,RIGHT($B338,LEN($B338)-12),'수정사항 집계'!Q:Q)</f>
        <v>0</v>
      </c>
      <c r="G338" s="251">
        <f>C338+E338-F338</f>
        <v>16974390</v>
      </c>
      <c r="H338" s="251"/>
      <c r="I338" s="252" t="s">
        <v>763</v>
      </c>
    </row>
    <row r="339" spans="2:9">
      <c r="B339" s="242" t="s">
        <v>672</v>
      </c>
      <c r="C339" s="251"/>
      <c r="D339" s="251"/>
      <c r="E339" s="254">
        <f>SUMIF('수정사항 집계'!$C:$C,RIGHT($B339,LEN($B339)-12),'수정사항 집계'!P:P)</f>
        <v>0</v>
      </c>
      <c r="F339" s="254">
        <f>SUMIF('수정사항 집계'!$C:$C,RIGHT($B339,LEN($B339)-12),'수정사항 집계'!Q:Q)</f>
        <v>1414532</v>
      </c>
      <c r="G339" s="251">
        <f>C339-E339+F339</f>
        <v>1414532</v>
      </c>
      <c r="H339" s="251">
        <f>G338-G339</f>
        <v>15559858</v>
      </c>
      <c r="I339" s="252" t="s">
        <v>763</v>
      </c>
    </row>
    <row r="340" spans="2:9">
      <c r="B340" s="239" t="s">
        <v>673</v>
      </c>
      <c r="C340" s="245" t="s">
        <v>110</v>
      </c>
      <c r="D340" s="246">
        <v>0</v>
      </c>
      <c r="E340" s="244"/>
      <c r="F340" s="244"/>
      <c r="G340" s="244"/>
      <c r="H340" s="245">
        <f t="shared" ref="H340" si="48">D340+E340-F340</f>
        <v>0</v>
      </c>
    </row>
    <row r="341" spans="2:9">
      <c r="B341" s="239" t="s">
        <v>675</v>
      </c>
      <c r="C341" s="245" t="s">
        <v>110</v>
      </c>
      <c r="D341" s="245">
        <v>30000000</v>
      </c>
      <c r="E341" s="244"/>
      <c r="F341" s="244"/>
      <c r="G341" s="244"/>
      <c r="H341" s="244">
        <f>SUM(H342:H343)</f>
        <v>25217410</v>
      </c>
    </row>
    <row r="342" spans="2:9">
      <c r="B342" s="239" t="s">
        <v>676</v>
      </c>
      <c r="C342" s="245"/>
      <c r="D342" s="245">
        <v>30000000</v>
      </c>
      <c r="E342" s="245">
        <f>SUMIF('수정사항 집계'!$C:$C,RIGHT($B342,LEN($B342)-12),'수정사항 집계'!P:P)</f>
        <v>0</v>
      </c>
      <c r="F342" s="245">
        <f>SUMIF('수정사항 집계'!$C:$C,RIGHT($B342,LEN($B342)-12),'수정사항 집계'!Q:Q)</f>
        <v>0</v>
      </c>
      <c r="G342" s="244"/>
      <c r="H342" s="245">
        <f t="shared" ref="H342" si="49">D342+E342-F342</f>
        <v>30000000</v>
      </c>
    </row>
    <row r="343" spans="2:9">
      <c r="B343" s="242" t="s">
        <v>677</v>
      </c>
      <c r="C343" s="251"/>
      <c r="D343" s="251"/>
      <c r="E343" s="254">
        <f>SUMIF('수정사항 집계'!$C:$C,RIGHT($B343,LEN($B343)-12),'수정사항 집계'!P:P)</f>
        <v>394995</v>
      </c>
      <c r="F343" s="254">
        <f>SUMIF('수정사항 집계'!$C:$C,RIGHT($B343,LEN($B343)-12),'수정사항 집계'!Q:Q)</f>
        <v>5177585</v>
      </c>
      <c r="G343" s="251"/>
      <c r="H343" s="251">
        <f>E343-F343</f>
        <v>-4782590</v>
      </c>
      <c r="I343" s="252" t="s">
        <v>763</v>
      </c>
    </row>
    <row r="344" spans="2:9">
      <c r="B344" s="239" t="s">
        <v>679</v>
      </c>
      <c r="C344" s="245" t="s">
        <v>110</v>
      </c>
      <c r="D344" s="245">
        <v>72423692</v>
      </c>
      <c r="E344" s="244"/>
      <c r="F344" s="244"/>
      <c r="G344" s="244"/>
      <c r="H344" s="244">
        <f>SUM(H324,H331)</f>
        <v>117024209</v>
      </c>
    </row>
    <row r="345" spans="2:9">
      <c r="B345" s="239" t="s">
        <v>680</v>
      </c>
      <c r="C345" s="245" t="s">
        <v>110</v>
      </c>
      <c r="D345" s="245" t="s">
        <v>110</v>
      </c>
      <c r="E345" s="244"/>
      <c r="F345" s="244"/>
      <c r="G345" s="244"/>
      <c r="H345" s="244"/>
    </row>
    <row r="346" spans="2:9">
      <c r="B346" s="239" t="s">
        <v>681</v>
      </c>
      <c r="C346" s="245" t="s">
        <v>110</v>
      </c>
      <c r="D346" s="245">
        <v>81891017</v>
      </c>
      <c r="E346" s="244"/>
      <c r="F346" s="244"/>
      <c r="G346" s="244"/>
      <c r="H346" s="244">
        <f>SUM(H347:H352)</f>
        <v>117084017</v>
      </c>
    </row>
    <row r="347" spans="2:9">
      <c r="B347" s="239" t="s">
        <v>682</v>
      </c>
      <c r="C347" s="245" t="s">
        <v>110</v>
      </c>
      <c r="D347" s="245">
        <v>17485051</v>
      </c>
      <c r="E347" s="245">
        <f>SUMIF('수정사항 집계'!$C:$C,RIGHT($B347,LEN($B347)-12),'수정사항 집계'!P:P)</f>
        <v>0</v>
      </c>
      <c r="F347" s="245">
        <f>SUMIF('수정사항 집계'!$C:$C,RIGHT($B347,LEN($B347)-12),'수정사항 집계'!Q:Q)</f>
        <v>0</v>
      </c>
      <c r="G347" s="244"/>
      <c r="H347" s="244">
        <f t="shared" ref="H347:H352" si="50">D347-E347+F347</f>
        <v>17485051</v>
      </c>
    </row>
    <row r="348" spans="2:9">
      <c r="B348" s="239" t="s">
        <v>683</v>
      </c>
      <c r="C348" s="245" t="s">
        <v>110</v>
      </c>
      <c r="D348" s="245">
        <v>84700</v>
      </c>
      <c r="E348" s="245">
        <f>SUMIF('수정사항 집계'!$C:$C,RIGHT($B348,LEN($B348)-12),'수정사항 집계'!P:P)</f>
        <v>0</v>
      </c>
      <c r="F348" s="245">
        <f>SUMIF('수정사항 집계'!$C:$C,RIGHT($B348,LEN($B348)-12),'수정사항 집계'!Q:Q)</f>
        <v>5987610</v>
      </c>
      <c r="G348" s="244"/>
      <c r="H348" s="244">
        <f t="shared" si="50"/>
        <v>6072310</v>
      </c>
    </row>
    <row r="349" spans="2:9">
      <c r="B349" s="239" t="s">
        <v>684</v>
      </c>
      <c r="C349" s="245" t="s">
        <v>110</v>
      </c>
      <c r="D349" s="245">
        <v>773856</v>
      </c>
      <c r="E349" s="245">
        <f>SUMIF('수정사항 집계'!$C:$C,RIGHT($B349,LEN($B349)-12),'수정사항 집계'!P:P)</f>
        <v>0</v>
      </c>
      <c r="F349" s="245">
        <f>SUMIF('수정사항 집계'!$C:$C,RIGHT($B349,LEN($B349)-12),'수정사항 집계'!Q:Q)</f>
        <v>0</v>
      </c>
      <c r="G349" s="244"/>
      <c r="H349" s="244">
        <f t="shared" si="50"/>
        <v>773856</v>
      </c>
    </row>
    <row r="350" spans="2:9">
      <c r="B350" s="239" t="s">
        <v>686</v>
      </c>
      <c r="C350" s="245" t="s">
        <v>110</v>
      </c>
      <c r="D350" s="245">
        <v>159200</v>
      </c>
      <c r="E350" s="245">
        <f>SUMIF('수정사항 집계'!$C:$C,RIGHT($B350,LEN($B350)-12),'수정사항 집계'!P:P)</f>
        <v>0</v>
      </c>
      <c r="F350" s="245">
        <f>SUMIF('수정사항 집계'!$C:$C,RIGHT($B350,LEN($B350)-12),'수정사항 집계'!Q:Q)</f>
        <v>0</v>
      </c>
      <c r="G350" s="244"/>
      <c r="H350" s="244">
        <f t="shared" si="50"/>
        <v>159200</v>
      </c>
    </row>
    <row r="351" spans="2:9">
      <c r="B351" s="239" t="s">
        <v>688</v>
      </c>
      <c r="C351" s="245" t="s">
        <v>110</v>
      </c>
      <c r="D351" s="245">
        <v>5977610</v>
      </c>
      <c r="E351" s="245">
        <f>SUMIF('수정사항 집계'!$C:$C,RIGHT($B351,LEN($B351)-12),'수정사항 집계'!P:P)</f>
        <v>5977610</v>
      </c>
      <c r="F351" s="245">
        <f>SUMIF('수정사항 집계'!$C:$C,RIGHT($B351,LEN($B351)-12),'수정사항 집계'!Q:Q)</f>
        <v>0</v>
      </c>
      <c r="G351" s="244"/>
      <c r="H351" s="244">
        <f t="shared" si="50"/>
        <v>0</v>
      </c>
    </row>
    <row r="352" spans="2:9">
      <c r="B352" s="239" t="s">
        <v>765</v>
      </c>
      <c r="C352" s="245" t="s">
        <v>110</v>
      </c>
      <c r="D352" s="245">
        <v>57410600</v>
      </c>
      <c r="E352" s="245">
        <f>SUMIF('수정사항 집계'!$C:$C,RIGHT($B352,LEN($B352)-12),'수정사항 집계'!P:P)</f>
        <v>0</v>
      </c>
      <c r="F352" s="245">
        <f>SUMIF('수정사항 집계'!$C:$C,RIGHT($B352,LEN($B352)-12),'수정사항 집계'!Q:Q)</f>
        <v>35183000</v>
      </c>
      <c r="G352" s="244"/>
      <c r="H352" s="244">
        <f t="shared" si="50"/>
        <v>92593600</v>
      </c>
    </row>
    <row r="353" spans="2:9">
      <c r="B353" s="239" t="s">
        <v>692</v>
      </c>
      <c r="C353" s="245" t="s">
        <v>110</v>
      </c>
      <c r="D353" s="246">
        <v>0</v>
      </c>
      <c r="E353" s="244"/>
      <c r="F353" s="244"/>
      <c r="G353" s="244"/>
      <c r="H353" s="244">
        <f>H354</f>
        <v>11984526</v>
      </c>
    </row>
    <row r="354" spans="2:9">
      <c r="B354" s="242" t="s">
        <v>693</v>
      </c>
      <c r="C354" s="251"/>
      <c r="D354" s="253"/>
      <c r="E354" s="254">
        <f>SUMIF('수정사항 집계'!$C:$C,RIGHT($B354,LEN($B354)-12),'수정사항 집계'!P:P)</f>
        <v>0</v>
      </c>
      <c r="F354" s="254">
        <f>SUMIF('수정사항 집계'!$C:$C,RIGHT($B354,LEN($B354)-12),'수정사항 집계'!Q:Q)</f>
        <v>11984526</v>
      </c>
      <c r="G354" s="251"/>
      <c r="H354" s="251">
        <f>F354-E354</f>
        <v>11984526</v>
      </c>
      <c r="I354" s="252" t="s">
        <v>763</v>
      </c>
    </row>
    <row r="355" spans="2:9">
      <c r="B355" s="239" t="s">
        <v>694</v>
      </c>
      <c r="C355" s="245" t="s">
        <v>110</v>
      </c>
      <c r="D355" s="245">
        <v>81891017</v>
      </c>
      <c r="E355" s="244"/>
      <c r="F355" s="244"/>
      <c r="G355" s="244"/>
      <c r="H355" s="244">
        <f>SUM(H346,H353)</f>
        <v>129068543</v>
      </c>
    </row>
    <row r="356" spans="2:9">
      <c r="B356" s="239" t="s">
        <v>695</v>
      </c>
      <c r="C356" s="245" t="s">
        <v>110</v>
      </c>
      <c r="D356" s="245" t="s">
        <v>110</v>
      </c>
      <c r="E356" s="244"/>
      <c r="F356" s="244"/>
      <c r="G356" s="244"/>
      <c r="H356" s="244"/>
    </row>
    <row r="357" spans="2:9">
      <c r="B357" s="239" t="s">
        <v>696</v>
      </c>
      <c r="C357" s="245" t="s">
        <v>110</v>
      </c>
      <c r="D357" s="246">
        <v>0</v>
      </c>
      <c r="E357" s="244"/>
      <c r="F357" s="244"/>
      <c r="G357" s="244"/>
      <c r="H357" s="244">
        <f t="shared" ref="H357:H360" si="51">D357-E357+F357</f>
        <v>0</v>
      </c>
    </row>
    <row r="358" spans="2:9">
      <c r="B358" s="239" t="s">
        <v>698</v>
      </c>
      <c r="C358" s="245" t="s">
        <v>110</v>
      </c>
      <c r="D358" s="246">
        <v>0</v>
      </c>
      <c r="E358" s="244"/>
      <c r="F358" s="244"/>
      <c r="G358" s="244"/>
      <c r="H358" s="244">
        <f t="shared" si="51"/>
        <v>0</v>
      </c>
    </row>
    <row r="359" spans="2:9">
      <c r="B359" s="239" t="s">
        <v>700</v>
      </c>
      <c r="C359" s="245" t="s">
        <v>110</v>
      </c>
      <c r="D359" s="246">
        <v>0</v>
      </c>
      <c r="E359" s="244"/>
      <c r="F359" s="244"/>
      <c r="G359" s="244"/>
      <c r="H359" s="244">
        <f t="shared" si="51"/>
        <v>0</v>
      </c>
    </row>
    <row r="360" spans="2:9">
      <c r="B360" s="239" t="s">
        <v>701</v>
      </c>
      <c r="C360" s="245" t="s">
        <v>110</v>
      </c>
      <c r="D360" s="246">
        <v>0</v>
      </c>
      <c r="E360" s="244"/>
      <c r="F360" s="244"/>
      <c r="G360" s="244"/>
      <c r="H360" s="244">
        <f t="shared" si="51"/>
        <v>0</v>
      </c>
    </row>
    <row r="361" spans="2:9">
      <c r="B361" s="239" t="s">
        <v>702</v>
      </c>
      <c r="C361" s="245" t="s">
        <v>110</v>
      </c>
      <c r="D361" s="245">
        <v>9467325</v>
      </c>
      <c r="E361" s="244"/>
      <c r="F361" s="244"/>
      <c r="G361" s="244"/>
      <c r="H361" s="244">
        <f>H362</f>
        <v>12044334</v>
      </c>
    </row>
    <row r="362" spans="2:9">
      <c r="B362" s="239" t="s">
        <v>704</v>
      </c>
      <c r="C362" s="245" t="s">
        <v>110</v>
      </c>
      <c r="D362" s="245">
        <v>9467325</v>
      </c>
      <c r="E362" s="245"/>
      <c r="F362" s="245">
        <f>개별IS!I287</f>
        <v>2577009</v>
      </c>
      <c r="G362" s="244"/>
      <c r="H362" s="244">
        <f t="shared" ref="H362" si="52">D362-E362+F362</f>
        <v>12044334</v>
      </c>
    </row>
    <row r="363" spans="2:9">
      <c r="B363" s="239" t="s">
        <v>766</v>
      </c>
      <c r="C363" s="245" t="s">
        <v>110</v>
      </c>
      <c r="D363" s="245" t="s">
        <v>110</v>
      </c>
      <c r="E363" s="244"/>
      <c r="F363" s="244"/>
      <c r="G363" s="244"/>
      <c r="H363" s="244"/>
    </row>
    <row r="364" spans="2:9">
      <c r="B364" s="239" t="s">
        <v>780</v>
      </c>
      <c r="C364" s="245" t="s">
        <v>110</v>
      </c>
      <c r="D364" s="245" t="s">
        <v>110</v>
      </c>
      <c r="E364" s="244"/>
      <c r="F364" s="244"/>
      <c r="G364" s="244"/>
      <c r="H364" s="244"/>
    </row>
    <row r="365" spans="2:9">
      <c r="B365" s="239" t="s">
        <v>768</v>
      </c>
      <c r="C365" s="245" t="s">
        <v>110</v>
      </c>
      <c r="D365" s="245" t="s">
        <v>110</v>
      </c>
      <c r="E365" s="244"/>
      <c r="F365" s="244"/>
      <c r="G365" s="244"/>
      <c r="H365" s="244"/>
    </row>
    <row r="366" spans="2:9">
      <c r="B366" s="239" t="s">
        <v>705</v>
      </c>
      <c r="C366" s="245" t="s">
        <v>110</v>
      </c>
      <c r="D366" s="245">
        <v>-9467325</v>
      </c>
      <c r="E366" s="244"/>
      <c r="F366" s="244"/>
      <c r="G366" s="244"/>
      <c r="H366" s="244">
        <f>SUM(H357,H358,H359,H360,-H361)</f>
        <v>-12044334</v>
      </c>
    </row>
    <row r="367" spans="2:9">
      <c r="B367" s="239" t="s">
        <v>706</v>
      </c>
      <c r="C367" s="245" t="s">
        <v>110</v>
      </c>
      <c r="D367" s="245">
        <v>72423692</v>
      </c>
      <c r="E367" s="244"/>
      <c r="F367" s="244"/>
      <c r="G367" s="244"/>
      <c r="H367" s="244">
        <f>SUM(H355,H366)</f>
        <v>117024209</v>
      </c>
      <c r="I367" s="56"/>
    </row>
    <row r="368" spans="2:9">
      <c r="D368" t="b">
        <f>D344=D367</f>
        <v>1</v>
      </c>
      <c r="H368" t="b">
        <f>H344=H367</f>
        <v>1</v>
      </c>
    </row>
  </sheetData>
  <mergeCells count="35">
    <mergeCell ref="B57:B58"/>
    <mergeCell ref="C57:D57"/>
    <mergeCell ref="E57:F57"/>
    <mergeCell ref="G57:H58"/>
    <mergeCell ref="C58:D58"/>
    <mergeCell ref="B2:B3"/>
    <mergeCell ref="C2:D2"/>
    <mergeCell ref="E2:F2"/>
    <mergeCell ref="G2:H3"/>
    <mergeCell ref="C3:D3"/>
    <mergeCell ref="B154:B155"/>
    <mergeCell ref="C154:D154"/>
    <mergeCell ref="E154:F154"/>
    <mergeCell ref="G154:H155"/>
    <mergeCell ref="C155:D155"/>
    <mergeCell ref="B114:B115"/>
    <mergeCell ref="C114:D114"/>
    <mergeCell ref="E114:F114"/>
    <mergeCell ref="G114:H115"/>
    <mergeCell ref="C115:D115"/>
    <mergeCell ref="B265:B266"/>
    <mergeCell ref="C265:D265"/>
    <mergeCell ref="E265:F265"/>
    <mergeCell ref="G265:H266"/>
    <mergeCell ref="C266:D266"/>
    <mergeCell ref="B209:B210"/>
    <mergeCell ref="C209:D209"/>
    <mergeCell ref="E209:F209"/>
    <mergeCell ref="G209:H210"/>
    <mergeCell ref="C210:D210"/>
    <mergeCell ref="B321:B322"/>
    <mergeCell ref="C321:D321"/>
    <mergeCell ref="E321:F321"/>
    <mergeCell ref="G321:H322"/>
    <mergeCell ref="C322:D322"/>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7"/>
  <sheetViews>
    <sheetView workbookViewId="0">
      <selection activeCell="C7" sqref="C7"/>
    </sheetView>
  </sheetViews>
  <sheetFormatPr defaultColWidth="9.140625" defaultRowHeight="13.5"/>
  <cols>
    <col min="1" max="1" width="1.7109375" style="47" customWidth="1"/>
    <col min="2" max="2" width="28.28515625" style="47" bestFit="1" customWidth="1"/>
    <col min="3" max="8" width="15.7109375" style="47" customWidth="1"/>
    <col min="9" max="9" width="11.28515625" style="47" bestFit="1" customWidth="1"/>
    <col min="10" max="16384" width="9.140625" style="47"/>
  </cols>
  <sheetData>
    <row r="2" spans="2:8">
      <c r="B2" s="258" t="s">
        <v>781</v>
      </c>
    </row>
    <row r="3" spans="2:8">
      <c r="B3" s="379" t="s">
        <v>645</v>
      </c>
      <c r="C3" s="379" t="s">
        <v>759</v>
      </c>
      <c r="D3" s="379"/>
      <c r="E3" s="368" t="s">
        <v>647</v>
      </c>
      <c r="F3" s="368"/>
      <c r="G3" s="370" t="s">
        <v>648</v>
      </c>
      <c r="H3" s="371"/>
    </row>
    <row r="4" spans="2:8">
      <c r="B4" s="379"/>
      <c r="C4" s="379" t="s">
        <v>760</v>
      </c>
      <c r="D4" s="379"/>
      <c r="E4" s="228" t="s">
        <v>649</v>
      </c>
      <c r="F4" s="228" t="s">
        <v>650</v>
      </c>
      <c r="G4" s="372"/>
      <c r="H4" s="373"/>
    </row>
    <row r="5" spans="2:8">
      <c r="B5" s="259" t="s">
        <v>708</v>
      </c>
      <c r="C5" s="260" t="s">
        <v>110</v>
      </c>
      <c r="D5" s="261">
        <v>20745886</v>
      </c>
      <c r="E5" s="260"/>
      <c r="F5" s="261"/>
      <c r="G5" s="260"/>
      <c r="H5" s="261">
        <f>D5</f>
        <v>20745886</v>
      </c>
    </row>
    <row r="6" spans="2:8">
      <c r="B6" s="262" t="s">
        <v>709</v>
      </c>
      <c r="C6" s="263"/>
      <c r="D6" s="264" t="s">
        <v>110</v>
      </c>
      <c r="E6" s="245">
        <f>SUMIF('수정사항 집계'!$C:$C,RIGHT($B6,LEN($B6)-11),'수정사항 집계'!D:D)</f>
        <v>0</v>
      </c>
      <c r="F6" s="245">
        <f>SUMIF('수정사항 집계'!$C:$C,RIGHT($B6,LEN($B6)-11),'수정사항 집계'!E:E)</f>
        <v>20745886</v>
      </c>
      <c r="G6" s="263">
        <f>C6-E6+F6</f>
        <v>20745886</v>
      </c>
      <c r="H6" s="264"/>
    </row>
    <row r="7" spans="2:8">
      <c r="B7" s="262" t="s">
        <v>782</v>
      </c>
      <c r="C7" s="263">
        <v>20745886</v>
      </c>
      <c r="D7" s="264" t="s">
        <v>110</v>
      </c>
      <c r="E7" s="245">
        <f>SUMIF('수정사항 집계'!$C:$C,RIGHT($B7,LEN($B7)-11),'수정사항 집계'!D:D)</f>
        <v>20745886</v>
      </c>
      <c r="F7" s="245">
        <f>SUMIF('수정사항 집계'!$C:$C,RIGHT($B7,LEN($B7)-11),'수정사항 집계'!E:E)</f>
        <v>0</v>
      </c>
      <c r="G7" s="263">
        <f>C7-E7+F7</f>
        <v>0</v>
      </c>
      <c r="H7" s="264"/>
    </row>
    <row r="8" spans="2:8">
      <c r="B8" s="259" t="s">
        <v>712</v>
      </c>
      <c r="C8" s="260" t="s">
        <v>110</v>
      </c>
      <c r="D8" s="261">
        <v>40286596</v>
      </c>
      <c r="E8" s="260"/>
      <c r="F8" s="261"/>
      <c r="G8" s="260"/>
      <c r="H8" s="261">
        <f>H9</f>
        <v>40286596</v>
      </c>
    </row>
    <row r="9" spans="2:8">
      <c r="B9" s="265" t="s">
        <v>713</v>
      </c>
      <c r="C9" s="266" t="s">
        <v>110</v>
      </c>
      <c r="D9" s="267">
        <v>40286596</v>
      </c>
      <c r="E9" s="266"/>
      <c r="F9" s="267"/>
      <c r="G9" s="266"/>
      <c r="H9" s="267">
        <f>D9</f>
        <v>40286596</v>
      </c>
    </row>
    <row r="10" spans="2:8">
      <c r="B10" s="262" t="s">
        <v>714</v>
      </c>
      <c r="C10" s="264">
        <v>0</v>
      </c>
      <c r="D10" s="264" t="s">
        <v>110</v>
      </c>
      <c r="E10" s="264"/>
      <c r="F10" s="264"/>
      <c r="G10" s="264">
        <f>C10</f>
        <v>0</v>
      </c>
      <c r="H10" s="264"/>
    </row>
    <row r="11" spans="2:8">
      <c r="B11" s="262" t="s">
        <v>715</v>
      </c>
      <c r="C11" s="263">
        <v>40286596</v>
      </c>
      <c r="D11" s="264" t="s">
        <v>110</v>
      </c>
      <c r="E11" s="263"/>
      <c r="F11" s="264"/>
      <c r="G11" s="263">
        <f>C11</f>
        <v>40286596</v>
      </c>
      <c r="H11" s="264"/>
    </row>
    <row r="12" spans="2:8">
      <c r="B12" s="262" t="s">
        <v>716</v>
      </c>
      <c r="C12" s="264">
        <v>0</v>
      </c>
      <c r="D12" s="264" t="s">
        <v>110</v>
      </c>
      <c r="E12" s="264"/>
      <c r="F12" s="264"/>
      <c r="G12" s="264">
        <f>C12</f>
        <v>0</v>
      </c>
      <c r="H12" s="264"/>
    </row>
    <row r="13" spans="2:8">
      <c r="B13" s="259" t="s">
        <v>783</v>
      </c>
      <c r="C13" s="260" t="s">
        <v>110</v>
      </c>
      <c r="D13" s="261">
        <v>19540710</v>
      </c>
      <c r="E13" s="260"/>
      <c r="F13" s="261"/>
      <c r="G13" s="260"/>
      <c r="H13" s="261">
        <f>H5-H8</f>
        <v>-19540710</v>
      </c>
    </row>
    <row r="14" spans="2:8">
      <c r="B14" s="259" t="s">
        <v>718</v>
      </c>
      <c r="C14" s="260" t="s">
        <v>110</v>
      </c>
      <c r="D14" s="261">
        <f>SUM(C15:C35)</f>
        <v>837659423</v>
      </c>
      <c r="E14" s="260"/>
      <c r="F14" s="261"/>
      <c r="G14" s="260"/>
      <c r="H14" s="261">
        <f>SUM(G15:G35)</f>
        <v>875982476</v>
      </c>
    </row>
    <row r="15" spans="2:8">
      <c r="B15" s="262" t="s">
        <v>719</v>
      </c>
      <c r="C15" s="263">
        <v>421839819</v>
      </c>
      <c r="D15" s="264" t="s">
        <v>110</v>
      </c>
      <c r="E15" s="245">
        <f>SUMIF('수정사항 집계'!$C:$C,RIGHT($B15,LEN($B15)-11),'수정사항 집계'!D:D)</f>
        <v>0</v>
      </c>
      <c r="F15" s="245">
        <f>SUMIF('수정사항 집계'!$C:$C,RIGHT($B15,LEN($B15)-11),'수정사항 집계'!E:E)</f>
        <v>0</v>
      </c>
      <c r="G15" s="263">
        <f>C15+E15-F15</f>
        <v>421839819</v>
      </c>
      <c r="H15" s="264"/>
    </row>
    <row r="16" spans="2:8">
      <c r="B16" s="262" t="s">
        <v>720</v>
      </c>
      <c r="C16" s="263">
        <v>3790100</v>
      </c>
      <c r="D16" s="264" t="s">
        <v>110</v>
      </c>
      <c r="E16" s="245">
        <f>SUMIF('수정사항 집계'!$C:$C,RIGHT($B16,LEN($B16)-11),'수정사항 집계'!D:D)</f>
        <v>0</v>
      </c>
      <c r="F16" s="245">
        <f>SUMIF('수정사항 집계'!$C:$C,RIGHT($B16,LEN($B16)-11),'수정사항 집계'!E:E)</f>
        <v>0</v>
      </c>
      <c r="G16" s="263">
        <f t="shared" ref="G16:G35" si="0">C16+E16-F16</f>
        <v>3790100</v>
      </c>
      <c r="H16" s="264"/>
    </row>
    <row r="17" spans="2:8">
      <c r="B17" s="262" t="s">
        <v>721</v>
      </c>
      <c r="C17" s="263">
        <v>5158727</v>
      </c>
      <c r="D17" s="264" t="s">
        <v>110</v>
      </c>
      <c r="E17" s="245">
        <f>SUMIF('수정사항 집계'!$C:$C,RIGHT($B17,LEN($B17)-11),'수정사항 집계'!D:D)</f>
        <v>0</v>
      </c>
      <c r="F17" s="245">
        <f>SUMIF('수정사항 집계'!$C:$C,RIGHT($B17,LEN($B17)-11),'수정사항 집계'!E:E)</f>
        <v>0</v>
      </c>
      <c r="G17" s="263">
        <f t="shared" si="0"/>
        <v>5158727</v>
      </c>
      <c r="H17" s="264"/>
    </row>
    <row r="18" spans="2:8">
      <c r="B18" s="262" t="s">
        <v>722</v>
      </c>
      <c r="C18" s="263">
        <v>20832878</v>
      </c>
      <c r="D18" s="264" t="s">
        <v>110</v>
      </c>
      <c r="E18" s="245">
        <f>SUMIF('수정사항 집계'!$C:$C,RIGHT($B18,LEN($B18)-11),'수정사항 집계'!D:D)</f>
        <v>2490176</v>
      </c>
      <c r="F18" s="245">
        <f>SUMIF('수정사항 집계'!$C:$C,RIGHT($B18,LEN($B18)-11),'수정사항 집계'!E:E)</f>
        <v>0</v>
      </c>
      <c r="G18" s="263">
        <f t="shared" si="0"/>
        <v>23323054</v>
      </c>
      <c r="H18" s="264"/>
    </row>
    <row r="19" spans="2:8">
      <c r="B19" s="262" t="s">
        <v>723</v>
      </c>
      <c r="C19" s="263">
        <v>8603409</v>
      </c>
      <c r="D19" s="264" t="s">
        <v>110</v>
      </c>
      <c r="E19" s="245">
        <f>SUMIF('수정사항 집계'!$C:$C,RIGHT($B19,LEN($B19)-11),'수정사항 집계'!D:D)</f>
        <v>28528750</v>
      </c>
      <c r="F19" s="245">
        <f>SUMIF('수정사항 집계'!$C:$C,RIGHT($B19,LEN($B19)-11),'수정사항 집계'!E:E)</f>
        <v>0</v>
      </c>
      <c r="G19" s="263">
        <f t="shared" si="0"/>
        <v>37132159</v>
      </c>
      <c r="H19" s="264"/>
    </row>
    <row r="20" spans="2:8">
      <c r="B20" s="262" t="s">
        <v>724</v>
      </c>
      <c r="C20" s="263">
        <v>5584640</v>
      </c>
      <c r="D20" s="264" t="s">
        <v>110</v>
      </c>
      <c r="E20" s="245">
        <f>SUMIF('수정사항 집계'!$C:$C,RIGHT($B20,LEN($B20)-11),'수정사항 집계'!D:D)</f>
        <v>0</v>
      </c>
      <c r="F20" s="245">
        <f>SUMIF('수정사항 집계'!$C:$C,RIGHT($B20,LEN($B20)-11),'수정사항 집계'!E:E)</f>
        <v>0</v>
      </c>
      <c r="G20" s="263">
        <f t="shared" si="0"/>
        <v>5584640</v>
      </c>
      <c r="H20" s="264"/>
    </row>
    <row r="21" spans="2:8">
      <c r="B21" s="262" t="s">
        <v>726</v>
      </c>
      <c r="C21" s="263">
        <v>91802</v>
      </c>
      <c r="D21" s="264" t="s">
        <v>110</v>
      </c>
      <c r="E21" s="245">
        <f>SUMIF('수정사항 집계'!$C:$C,RIGHT($B21,LEN($B21)-11),'수정사항 집계'!D:D)</f>
        <v>0</v>
      </c>
      <c r="F21" s="245">
        <f>SUMIF('수정사항 집계'!$C:$C,RIGHT($B21,LEN($B21)-11),'수정사항 집계'!E:E)</f>
        <v>0</v>
      </c>
      <c r="G21" s="263">
        <f t="shared" si="0"/>
        <v>91802</v>
      </c>
      <c r="H21" s="264"/>
    </row>
    <row r="22" spans="2:8">
      <c r="B22" s="262" t="s">
        <v>729</v>
      </c>
      <c r="C22" s="263">
        <v>11191690</v>
      </c>
      <c r="D22" s="264" t="s">
        <v>110</v>
      </c>
      <c r="E22" s="245">
        <f>SUMIF('수정사항 집계'!$C:$C,RIGHT($B22,LEN($B22)-11),'수정사항 집계'!D:D)</f>
        <v>0</v>
      </c>
      <c r="F22" s="245">
        <f>SUMIF('수정사항 집계'!$C:$C,RIGHT($B22,LEN($B22)-11),'수정사항 집계'!E:E)</f>
        <v>10826470</v>
      </c>
      <c r="G22" s="263">
        <f t="shared" si="0"/>
        <v>365220</v>
      </c>
      <c r="H22" s="264"/>
    </row>
    <row r="23" spans="2:8">
      <c r="B23" s="262" t="s">
        <v>730</v>
      </c>
      <c r="C23" s="263">
        <v>1981952</v>
      </c>
      <c r="D23" s="264" t="s">
        <v>110</v>
      </c>
      <c r="E23" s="245">
        <f>SUMIF('수정사항 집계'!$C:$C,RIGHT($B23,LEN($B23)-11),'수정사항 집계'!D:D)</f>
        <v>1027679</v>
      </c>
      <c r="F23" s="245">
        <f>SUMIF('수정사항 집계'!$C:$C,RIGHT($B23,LEN($B23)-11),'수정사항 집계'!E:E)</f>
        <v>1981952</v>
      </c>
      <c r="G23" s="263">
        <f t="shared" si="0"/>
        <v>1027679</v>
      </c>
      <c r="H23" s="264"/>
    </row>
    <row r="24" spans="2:8">
      <c r="B24" s="262" t="s">
        <v>731</v>
      </c>
      <c r="C24" s="263">
        <v>9978700</v>
      </c>
      <c r="D24" s="264" t="s">
        <v>110</v>
      </c>
      <c r="E24" s="245">
        <f>SUMIF('수정사항 집계'!$C:$C,RIGHT($B24,LEN($B24)-11),'수정사항 집계'!D:D)</f>
        <v>-882000</v>
      </c>
      <c r="F24" s="245">
        <f>SUMIF('수정사항 집계'!$C:$C,RIGHT($B24,LEN($B24)-11),'수정사항 집계'!E:E)</f>
        <v>0</v>
      </c>
      <c r="G24" s="263">
        <f t="shared" si="0"/>
        <v>9096700</v>
      </c>
      <c r="H24" s="264"/>
    </row>
    <row r="25" spans="2:8">
      <c r="B25" s="262" t="s">
        <v>732</v>
      </c>
      <c r="C25" s="263">
        <v>142728</v>
      </c>
      <c r="D25" s="264" t="s">
        <v>110</v>
      </c>
      <c r="E25" s="245">
        <f>SUMIF('수정사항 집계'!$C:$C,RIGHT($B25,LEN($B25)-11),'수정사항 집계'!D:D)</f>
        <v>0</v>
      </c>
      <c r="F25" s="245">
        <f>SUMIF('수정사항 집계'!$C:$C,RIGHT($B25,LEN($B25)-11),'수정사항 집계'!E:E)</f>
        <v>0</v>
      </c>
      <c r="G25" s="263">
        <f t="shared" si="0"/>
        <v>142728</v>
      </c>
      <c r="H25" s="264"/>
    </row>
    <row r="26" spans="2:8">
      <c r="B26" s="262" t="s">
        <v>733</v>
      </c>
      <c r="C26" s="263">
        <v>10309830</v>
      </c>
      <c r="D26" s="264" t="s">
        <v>110</v>
      </c>
      <c r="E26" s="245">
        <f>SUMIF('수정사항 집계'!$C:$C,RIGHT($B26,LEN($B26)-11),'수정사항 집계'!D:D)</f>
        <v>0</v>
      </c>
      <c r="F26" s="245">
        <f>SUMIF('수정사항 집계'!$C:$C,RIGHT($B26,LEN($B26)-11),'수정사항 집계'!E:E)</f>
        <v>10309830</v>
      </c>
      <c r="G26" s="263">
        <f t="shared" si="0"/>
        <v>0</v>
      </c>
      <c r="H26" s="264"/>
    </row>
    <row r="27" spans="2:8">
      <c r="B27" s="262" t="s">
        <v>734</v>
      </c>
      <c r="C27" s="263">
        <v>59446</v>
      </c>
      <c r="D27" s="264" t="s">
        <v>110</v>
      </c>
      <c r="E27" s="245">
        <f>SUMIF('수정사항 집계'!$C:$C,RIGHT($B27,LEN($B27)-11),'수정사항 집계'!D:D)</f>
        <v>0</v>
      </c>
      <c r="F27" s="245">
        <f>SUMIF('수정사항 집계'!$C:$C,RIGHT($B27,LEN($B27)-11),'수정사항 집계'!E:E)</f>
        <v>0</v>
      </c>
      <c r="G27" s="263">
        <f t="shared" si="0"/>
        <v>59446</v>
      </c>
      <c r="H27" s="264"/>
    </row>
    <row r="28" spans="2:8">
      <c r="B28" s="262" t="s">
        <v>735</v>
      </c>
      <c r="C28" s="263">
        <v>4562946</v>
      </c>
      <c r="D28" s="264" t="s">
        <v>110</v>
      </c>
      <c r="E28" s="245">
        <f>SUMIF('수정사항 집계'!$C:$C,RIGHT($B28,LEN($B28)-11),'수정사항 집계'!D:D)</f>
        <v>0</v>
      </c>
      <c r="F28" s="245">
        <f>SUMIF('수정사항 집계'!$C:$C,RIGHT($B28,LEN($B28)-11),'수정사항 집계'!E:E)</f>
        <v>0</v>
      </c>
      <c r="G28" s="263">
        <f t="shared" si="0"/>
        <v>4562946</v>
      </c>
      <c r="H28" s="264"/>
    </row>
    <row r="29" spans="2:8">
      <c r="B29" s="262" t="s">
        <v>736</v>
      </c>
      <c r="C29" s="263">
        <v>74675109</v>
      </c>
      <c r="D29" s="264" t="s">
        <v>110</v>
      </c>
      <c r="E29" s="245">
        <f>SUMIF('수정사항 집계'!$C:$C,RIGHT($B29,LEN($B29)-11),'수정사항 집계'!D:D)</f>
        <v>0</v>
      </c>
      <c r="F29" s="245">
        <f>SUMIF('수정사항 집계'!$C:$C,RIGHT($B29,LEN($B29)-11),'수정사항 집계'!E:E)</f>
        <v>0</v>
      </c>
      <c r="G29" s="263">
        <f t="shared" si="0"/>
        <v>74675109</v>
      </c>
      <c r="H29" s="264"/>
    </row>
    <row r="30" spans="2:8">
      <c r="B30" s="262" t="s">
        <v>737</v>
      </c>
      <c r="C30" s="263">
        <v>111369</v>
      </c>
      <c r="D30" s="264" t="s">
        <v>110</v>
      </c>
      <c r="E30" s="245">
        <f>SUMIF('수정사항 집계'!$C:$C,RIGHT($B30,LEN($B30)-11),'수정사항 집계'!D:D)</f>
        <v>0</v>
      </c>
      <c r="F30" s="245">
        <f>SUMIF('수정사항 집계'!$C:$C,RIGHT($B30,LEN($B30)-11),'수정사항 집계'!E:E)</f>
        <v>0</v>
      </c>
      <c r="G30" s="263">
        <f t="shared" si="0"/>
        <v>111369</v>
      </c>
      <c r="H30" s="264"/>
    </row>
    <row r="31" spans="2:8">
      <c r="B31" s="262" t="s">
        <v>738</v>
      </c>
      <c r="C31" s="263">
        <v>75539096</v>
      </c>
      <c r="D31" s="264" t="s">
        <v>110</v>
      </c>
      <c r="E31" s="245">
        <f>SUMIF('수정사항 집계'!$C:$C,RIGHT($B31,LEN($B31)-11),'수정사항 집계'!D:D)</f>
        <v>1693117</v>
      </c>
      <c r="F31" s="245">
        <f>SUMIF('수정사항 집계'!$C:$C,RIGHT($B31,LEN($B31)-11),'수정사항 집계'!E:E)</f>
        <v>93500</v>
      </c>
      <c r="G31" s="263">
        <f t="shared" si="0"/>
        <v>77138713</v>
      </c>
      <c r="H31" s="264"/>
    </row>
    <row r="32" spans="2:8">
      <c r="B32" s="262" t="s">
        <v>739</v>
      </c>
      <c r="C32" s="263">
        <v>86165839</v>
      </c>
      <c r="D32" s="264" t="s">
        <v>110</v>
      </c>
      <c r="E32" s="245">
        <f>SUMIF('수정사항 집계'!$C:$C,RIGHT($B32,LEN($B32)-11),'수정사항 집계'!D:D)</f>
        <v>0</v>
      </c>
      <c r="F32" s="245">
        <f>SUMIF('수정사항 집계'!$C:$C,RIGHT($B32,LEN($B32)-11),'수정사항 집계'!E:E)</f>
        <v>0</v>
      </c>
      <c r="G32" s="263">
        <f t="shared" si="0"/>
        <v>86165839</v>
      </c>
      <c r="H32" s="264"/>
    </row>
    <row r="33" spans="2:9">
      <c r="B33" s="262" t="s">
        <v>740</v>
      </c>
      <c r="C33" s="263">
        <v>80116201</v>
      </c>
      <c r="D33" s="264" t="s">
        <v>110</v>
      </c>
      <c r="E33" s="245">
        <f>SUMIF('수정사항 집계'!$C:$C,RIGHT($B33,LEN($B33)-11),'수정사항 집계'!D:D)</f>
        <v>0</v>
      </c>
      <c r="F33" s="245">
        <f>SUMIF('수정사항 집계'!$C:$C,RIGHT($B33,LEN($B33)-11),'수정사항 집계'!E:E)</f>
        <v>0</v>
      </c>
      <c r="G33" s="263">
        <f t="shared" si="0"/>
        <v>80116201</v>
      </c>
      <c r="H33" s="264"/>
    </row>
    <row r="34" spans="2:9">
      <c r="B34" s="268" t="s">
        <v>784</v>
      </c>
      <c r="C34" s="269">
        <v>0</v>
      </c>
      <c r="D34" s="270"/>
      <c r="E34" s="251">
        <f>SUMIF('수정사항 집계'!$C:$C,RIGHT($B34,LEN($B34)-11),'수정사항 집계'!D:D)</f>
        <v>28677083</v>
      </c>
      <c r="F34" s="251">
        <f>SUMIF('수정사항 집계'!$C:$C,RIGHT($B34,LEN($B34)-11),'수정사항 집계'!E:E)</f>
        <v>0</v>
      </c>
      <c r="G34" s="269">
        <f t="shared" si="0"/>
        <v>28677083</v>
      </c>
      <c r="H34" s="270"/>
      <c r="I34" s="271" t="s">
        <v>763</v>
      </c>
    </row>
    <row r="35" spans="2:9">
      <c r="B35" s="262" t="s">
        <v>744</v>
      </c>
      <c r="C35" s="263">
        <v>16923142</v>
      </c>
      <c r="D35" s="264" t="s">
        <v>110</v>
      </c>
      <c r="E35" s="245">
        <f>SUMIF('수정사항 집계'!$C:$C,RIGHT($B35,LEN($B35)-11),'수정사항 집계'!D:D)</f>
        <v>0</v>
      </c>
      <c r="F35" s="245">
        <f>SUMIF('수정사항 집계'!$C:$C,RIGHT($B35,LEN($B35)-11),'수정사항 집계'!E:E)</f>
        <v>0</v>
      </c>
      <c r="G35" s="263">
        <f t="shared" si="0"/>
        <v>16923142</v>
      </c>
      <c r="H35" s="264"/>
    </row>
    <row r="36" spans="2:9">
      <c r="B36" s="259" t="s">
        <v>785</v>
      </c>
      <c r="C36" s="260" t="s">
        <v>110</v>
      </c>
      <c r="D36" s="261">
        <f>-D13-D14</f>
        <v>-857200133</v>
      </c>
      <c r="E36" s="260"/>
      <c r="F36" s="261"/>
      <c r="G36" s="260"/>
      <c r="H36" s="261">
        <f>H13-H14</f>
        <v>-895523186</v>
      </c>
    </row>
    <row r="37" spans="2:9">
      <c r="B37" s="259" t="s">
        <v>746</v>
      </c>
      <c r="C37" s="260" t="s">
        <v>110</v>
      </c>
      <c r="D37" s="261">
        <f>SUM(C38:C39)</f>
        <v>171715302</v>
      </c>
      <c r="E37" s="260"/>
      <c r="F37" s="261"/>
      <c r="G37" s="260"/>
      <c r="H37" s="261">
        <f>SUM(G38:G39)</f>
        <v>171889745</v>
      </c>
    </row>
    <row r="38" spans="2:9">
      <c r="B38" s="262" t="s">
        <v>747</v>
      </c>
      <c r="C38" s="263">
        <v>7976</v>
      </c>
      <c r="D38" s="264" t="s">
        <v>110</v>
      </c>
      <c r="E38" s="245">
        <f>SUMIF('수정사항 집계'!$C:$C,RIGHT($B38,LEN($B38)-11),'수정사항 집계'!D:D)</f>
        <v>0</v>
      </c>
      <c r="F38" s="245">
        <f>SUMIF('수정사항 집계'!$C:$C,RIGHT($B38,LEN($B38)-11),'수정사항 집계'!E:E)</f>
        <v>174443</v>
      </c>
      <c r="G38" s="263">
        <f t="shared" ref="G38:G39" si="1">C38-E38+F38</f>
        <v>182419</v>
      </c>
      <c r="H38" s="264"/>
    </row>
    <row r="39" spans="2:9" ht="40.5">
      <c r="B39" s="262" t="s">
        <v>748</v>
      </c>
      <c r="C39" s="263">
        <v>171707326</v>
      </c>
      <c r="D39" s="272" t="s">
        <v>786</v>
      </c>
      <c r="E39" s="263"/>
      <c r="F39" s="272"/>
      <c r="G39" s="263">
        <f t="shared" si="1"/>
        <v>171707326</v>
      </c>
      <c r="H39" s="272"/>
    </row>
    <row r="40" spans="2:9">
      <c r="B40" s="259" t="s">
        <v>749</v>
      </c>
      <c r="C40" s="260" t="s">
        <v>110</v>
      </c>
      <c r="D40" s="261">
        <v>1</v>
      </c>
      <c r="E40" s="260"/>
      <c r="F40" s="261"/>
      <c r="G40" s="260"/>
      <c r="H40" s="261">
        <f>SUM(G41:G42)</f>
        <v>63711</v>
      </c>
    </row>
    <row r="41" spans="2:9">
      <c r="B41" s="268" t="s">
        <v>750</v>
      </c>
      <c r="C41" s="269"/>
      <c r="D41" s="270" t="s">
        <v>110</v>
      </c>
      <c r="E41" s="251">
        <f>SUMIF('수정사항 집계'!$C:$C,RIGHT($B41,LEN($B41)-11),'수정사항 집계'!D:D)</f>
        <v>63710</v>
      </c>
      <c r="F41" s="251">
        <f>SUMIF('수정사항 집계'!$C:$C,RIGHT($B41,LEN($B41)-11),'수정사항 집계'!E:E)</f>
        <v>0</v>
      </c>
      <c r="G41" s="269">
        <f t="shared" ref="G41" si="2">C41+E41-F41</f>
        <v>63710</v>
      </c>
      <c r="H41" s="270"/>
      <c r="I41" s="271" t="s">
        <v>763</v>
      </c>
    </row>
    <row r="42" spans="2:9">
      <c r="B42" s="262" t="s">
        <v>754</v>
      </c>
      <c r="C42" s="263">
        <v>1</v>
      </c>
      <c r="D42" s="264" t="s">
        <v>110</v>
      </c>
      <c r="E42" s="263"/>
      <c r="F42" s="264"/>
      <c r="G42" s="263">
        <f>C42</f>
        <v>1</v>
      </c>
      <c r="H42" s="264"/>
    </row>
    <row r="43" spans="2:9">
      <c r="B43" s="259" t="s">
        <v>787</v>
      </c>
      <c r="C43" s="260" t="s">
        <v>110</v>
      </c>
      <c r="D43" s="261">
        <f>D36+D37-D40</f>
        <v>-685484832</v>
      </c>
      <c r="E43" s="260"/>
      <c r="F43" s="261"/>
      <c r="G43" s="260"/>
      <c r="H43" s="261">
        <f>H36+H37-H40</f>
        <v>-723697152</v>
      </c>
    </row>
    <row r="44" spans="2:9">
      <c r="B44" s="259" t="s">
        <v>756</v>
      </c>
      <c r="C44" s="260" t="s">
        <v>110</v>
      </c>
      <c r="D44" s="260">
        <v>0</v>
      </c>
      <c r="E44" s="260"/>
      <c r="F44" s="260"/>
      <c r="G44" s="260"/>
      <c r="H44" s="260">
        <f>D44</f>
        <v>0</v>
      </c>
    </row>
    <row r="45" spans="2:9">
      <c r="B45" s="259" t="s">
        <v>788</v>
      </c>
      <c r="C45" s="260" t="s">
        <v>110</v>
      </c>
      <c r="D45" s="273">
        <f>D43-D44</f>
        <v>-685484832</v>
      </c>
      <c r="E45" s="260"/>
      <c r="F45" s="273"/>
      <c r="G45" s="260"/>
      <c r="H45" s="273">
        <f>H43-H44</f>
        <v>-723697152</v>
      </c>
      <c r="I45" s="274">
        <f>D45-H45</f>
        <v>38212320</v>
      </c>
    </row>
    <row r="46" spans="2:9">
      <c r="D46" s="274"/>
    </row>
    <row r="47" spans="2:9">
      <c r="B47" s="258" t="s">
        <v>789</v>
      </c>
    </row>
    <row r="48" spans="2:9">
      <c r="B48" s="379" t="s">
        <v>645</v>
      </c>
      <c r="C48" s="379" t="s">
        <v>759</v>
      </c>
      <c r="D48" s="379"/>
      <c r="E48" s="368" t="s">
        <v>647</v>
      </c>
      <c r="F48" s="368"/>
      <c r="G48" s="370" t="s">
        <v>648</v>
      </c>
      <c r="H48" s="371"/>
    </row>
    <row r="49" spans="2:8">
      <c r="B49" s="379"/>
      <c r="C49" s="379" t="s">
        <v>760</v>
      </c>
      <c r="D49" s="379"/>
      <c r="E49" s="228" t="s">
        <v>649</v>
      </c>
      <c r="F49" s="228" t="s">
        <v>650</v>
      </c>
      <c r="G49" s="372"/>
      <c r="H49" s="373"/>
    </row>
    <row r="50" spans="2:8">
      <c r="B50" s="259" t="s">
        <v>708</v>
      </c>
      <c r="C50" s="260" t="s">
        <v>110</v>
      </c>
      <c r="D50" s="261">
        <v>2610861797</v>
      </c>
      <c r="E50" s="260"/>
      <c r="F50" s="261"/>
      <c r="G50" s="260"/>
      <c r="H50" s="261">
        <f>D50</f>
        <v>2610861797</v>
      </c>
    </row>
    <row r="51" spans="2:8">
      <c r="B51" s="262" t="s">
        <v>709</v>
      </c>
      <c r="C51" s="263">
        <v>2610861797</v>
      </c>
      <c r="D51" s="264" t="s">
        <v>110</v>
      </c>
      <c r="E51" s="263"/>
      <c r="F51" s="264"/>
      <c r="G51" s="263">
        <f>C51</f>
        <v>2610861797</v>
      </c>
      <c r="H51" s="264"/>
    </row>
    <row r="52" spans="2:8">
      <c r="B52" s="259" t="s">
        <v>712</v>
      </c>
      <c r="C52" s="260" t="s">
        <v>110</v>
      </c>
      <c r="D52" s="261">
        <v>852642742</v>
      </c>
      <c r="E52" s="260"/>
      <c r="F52" s="261"/>
      <c r="G52" s="260"/>
      <c r="H52" s="261">
        <f>H53</f>
        <v>852642742</v>
      </c>
    </row>
    <row r="53" spans="2:8">
      <c r="B53" s="265" t="s">
        <v>713</v>
      </c>
      <c r="C53" s="266" t="s">
        <v>110</v>
      </c>
      <c r="D53" s="267">
        <v>852642742</v>
      </c>
      <c r="E53" s="266"/>
      <c r="F53" s="267"/>
      <c r="G53" s="266"/>
      <c r="H53" s="267">
        <f>D53</f>
        <v>852642742</v>
      </c>
    </row>
    <row r="54" spans="2:8">
      <c r="B54" s="262" t="s">
        <v>714</v>
      </c>
      <c r="C54" s="264">
        <v>0</v>
      </c>
      <c r="D54" s="264" t="s">
        <v>110</v>
      </c>
      <c r="E54" s="264"/>
      <c r="F54" s="264"/>
      <c r="G54" s="264">
        <f>C54</f>
        <v>0</v>
      </c>
      <c r="H54" s="264"/>
    </row>
    <row r="55" spans="2:8">
      <c r="B55" s="262" t="s">
        <v>715</v>
      </c>
      <c r="C55" s="263">
        <v>852642742</v>
      </c>
      <c r="D55" s="264" t="s">
        <v>110</v>
      </c>
      <c r="E55" s="263"/>
      <c r="F55" s="264"/>
      <c r="G55" s="263">
        <f>C55</f>
        <v>852642742</v>
      </c>
      <c r="H55" s="264"/>
    </row>
    <row r="56" spans="2:8">
      <c r="B56" s="262" t="s">
        <v>716</v>
      </c>
      <c r="C56" s="264">
        <v>0</v>
      </c>
      <c r="D56" s="264" t="s">
        <v>110</v>
      </c>
      <c r="E56" s="264"/>
      <c r="F56" s="264"/>
      <c r="G56" s="264">
        <f>C56</f>
        <v>0</v>
      </c>
      <c r="H56" s="264"/>
    </row>
    <row r="57" spans="2:8">
      <c r="B57" s="259" t="s">
        <v>790</v>
      </c>
      <c r="C57" s="260" t="s">
        <v>110</v>
      </c>
      <c r="D57" s="261">
        <v>1758219055</v>
      </c>
      <c r="E57" s="260"/>
      <c r="F57" s="261"/>
      <c r="G57" s="260"/>
      <c r="H57" s="261">
        <f>H50-H52</f>
        <v>1758219055</v>
      </c>
    </row>
    <row r="58" spans="2:8">
      <c r="B58" s="259" t="s">
        <v>718</v>
      </c>
      <c r="C58" s="260" t="s">
        <v>110</v>
      </c>
      <c r="D58" s="261">
        <f>SUM(C59:C80)</f>
        <v>1437178903</v>
      </c>
      <c r="E58" s="260"/>
      <c r="F58" s="261"/>
      <c r="G58" s="260"/>
      <c r="H58" s="261">
        <f>SUM(G59:G80)</f>
        <v>1558885940</v>
      </c>
    </row>
    <row r="59" spans="2:8">
      <c r="B59" s="262" t="s">
        <v>719</v>
      </c>
      <c r="C59" s="263">
        <v>446559125</v>
      </c>
      <c r="D59" s="264" t="s">
        <v>110</v>
      </c>
      <c r="E59" s="245">
        <f>SUMIF('수정사항 집계'!$C:$C,RIGHT($B59,LEN($B59)-11),'수정사항 집계'!F:F)</f>
        <v>0</v>
      </c>
      <c r="F59" s="245">
        <f>SUMIF('수정사항 집계'!$C:$C,RIGHT($B59,LEN($B59)-11),'수정사항 집계'!G:G)</f>
        <v>0</v>
      </c>
      <c r="G59" s="263">
        <f t="shared" ref="G59:G80" si="3">C59+E59-F59</f>
        <v>446559125</v>
      </c>
      <c r="H59" s="264"/>
    </row>
    <row r="60" spans="2:8">
      <c r="B60" s="262" t="s">
        <v>721</v>
      </c>
      <c r="C60" s="263">
        <v>126608711</v>
      </c>
      <c r="D60" s="264" t="s">
        <v>110</v>
      </c>
      <c r="E60" s="245">
        <f>SUMIF('수정사항 집계'!$C:$C,RIGHT($B60,LEN($B60)-11),'수정사항 집계'!F:F)</f>
        <v>0</v>
      </c>
      <c r="F60" s="245">
        <f>SUMIF('수정사항 집계'!$C:$C,RIGHT($B60,LEN($B60)-11),'수정사항 집계'!G:G)</f>
        <v>0</v>
      </c>
      <c r="G60" s="263">
        <f t="shared" si="3"/>
        <v>126608711</v>
      </c>
      <c r="H60" s="264"/>
    </row>
    <row r="61" spans="2:8">
      <c r="B61" s="262" t="s">
        <v>722</v>
      </c>
      <c r="C61" s="263">
        <v>37006944</v>
      </c>
      <c r="D61" s="264" t="s">
        <v>110</v>
      </c>
      <c r="E61" s="245">
        <f>SUMIF('수정사항 집계'!$C:$C,RIGHT($B61,LEN($B61)-11),'수정사항 집계'!F:F)</f>
        <v>2525524</v>
      </c>
      <c r="F61" s="245">
        <f>SUMIF('수정사항 집계'!$C:$C,RIGHT($B61,LEN($B61)-11),'수정사항 집계'!G:G)</f>
        <v>0</v>
      </c>
      <c r="G61" s="263">
        <f t="shared" si="3"/>
        <v>39532468</v>
      </c>
      <c r="H61" s="264"/>
    </row>
    <row r="62" spans="2:8">
      <c r="B62" s="262" t="s">
        <v>723</v>
      </c>
      <c r="C62" s="263">
        <v>684697</v>
      </c>
      <c r="D62" s="264" t="s">
        <v>110</v>
      </c>
      <c r="E62" s="245">
        <f>SUMIF('수정사항 집계'!$C:$C,RIGHT($B62,LEN($B62)-11),'수정사항 집계'!F:F)</f>
        <v>43112760</v>
      </c>
      <c r="F62" s="245">
        <f>SUMIF('수정사항 집계'!$C:$C,RIGHT($B62,LEN($B62)-11),'수정사항 집계'!G:G)</f>
        <v>0</v>
      </c>
      <c r="G62" s="263">
        <f t="shared" si="3"/>
        <v>43797457</v>
      </c>
      <c r="H62" s="264"/>
    </row>
    <row r="63" spans="2:8">
      <c r="B63" s="262" t="s">
        <v>724</v>
      </c>
      <c r="C63" s="263">
        <v>25000</v>
      </c>
      <c r="D63" s="264" t="s">
        <v>110</v>
      </c>
      <c r="E63" s="245">
        <f>SUMIF('수정사항 집계'!$C:$C,RIGHT($B63,LEN($B63)-11),'수정사항 집계'!F:F)</f>
        <v>0</v>
      </c>
      <c r="F63" s="245">
        <f>SUMIF('수정사항 집계'!$C:$C,RIGHT($B63,LEN($B63)-11),'수정사항 집계'!G:G)</f>
        <v>0</v>
      </c>
      <c r="G63" s="263">
        <f t="shared" si="3"/>
        <v>25000</v>
      </c>
      <c r="H63" s="264"/>
    </row>
    <row r="64" spans="2:8">
      <c r="B64" s="262" t="s">
        <v>725</v>
      </c>
      <c r="C64" s="263">
        <v>369000</v>
      </c>
      <c r="D64" s="264" t="s">
        <v>110</v>
      </c>
      <c r="E64" s="245">
        <f>SUMIF('수정사항 집계'!$C:$C,RIGHT($B64,LEN($B64)-11),'수정사항 집계'!F:F)</f>
        <v>0</v>
      </c>
      <c r="F64" s="245">
        <f>SUMIF('수정사항 집계'!$C:$C,RIGHT($B64,LEN($B64)-11),'수정사항 집계'!G:G)</f>
        <v>0</v>
      </c>
      <c r="G64" s="263">
        <f t="shared" si="3"/>
        <v>369000</v>
      </c>
      <c r="H64" s="264"/>
    </row>
    <row r="65" spans="2:8">
      <c r="B65" s="262" t="s">
        <v>726</v>
      </c>
      <c r="C65" s="263">
        <v>682031</v>
      </c>
      <c r="D65" s="264" t="s">
        <v>110</v>
      </c>
      <c r="E65" s="245">
        <f>SUMIF('수정사항 집계'!$C:$C,RIGHT($B65,LEN($B65)-11),'수정사항 집계'!F:F)</f>
        <v>0</v>
      </c>
      <c r="F65" s="245">
        <f>SUMIF('수정사항 집계'!$C:$C,RIGHT($B65,LEN($B65)-11),'수정사항 집계'!G:G)</f>
        <v>0</v>
      </c>
      <c r="G65" s="263">
        <f t="shared" si="3"/>
        <v>682031</v>
      </c>
      <c r="H65" s="264"/>
    </row>
    <row r="66" spans="2:8">
      <c r="B66" s="262" t="s">
        <v>728</v>
      </c>
      <c r="C66" s="263">
        <v>6169665</v>
      </c>
      <c r="D66" s="264" t="s">
        <v>110</v>
      </c>
      <c r="E66" s="245">
        <f>SUMIF('수정사항 집계'!$C:$C,RIGHT($B66,LEN($B66)-11),'수정사항 집계'!F:F)</f>
        <v>0</v>
      </c>
      <c r="F66" s="245">
        <f>SUMIF('수정사항 집계'!$C:$C,RIGHT($B66,LEN($B66)-11),'수정사항 집계'!G:G)</f>
        <v>0</v>
      </c>
      <c r="G66" s="263">
        <f t="shared" si="3"/>
        <v>6169665</v>
      </c>
      <c r="H66" s="264"/>
    </row>
    <row r="67" spans="2:8">
      <c r="B67" s="262" t="s">
        <v>729</v>
      </c>
      <c r="C67" s="263">
        <v>13935290</v>
      </c>
      <c r="D67" s="264" t="s">
        <v>110</v>
      </c>
      <c r="E67" s="245">
        <f>SUMIF('수정사항 집계'!$C:$C,RIGHT($B67,LEN($B67)-11),'수정사항 집계'!F:F)</f>
        <v>0</v>
      </c>
      <c r="F67" s="245">
        <f>SUMIF('수정사항 집계'!$C:$C,RIGHT($B67,LEN($B67)-11),'수정사항 집계'!G:G)</f>
        <v>13935290</v>
      </c>
      <c r="G67" s="263">
        <f t="shared" si="3"/>
        <v>0</v>
      </c>
      <c r="H67" s="264"/>
    </row>
    <row r="68" spans="2:8">
      <c r="B68" s="262" t="s">
        <v>730</v>
      </c>
      <c r="C68" s="263">
        <v>122614506</v>
      </c>
      <c r="D68" s="264" t="s">
        <v>110</v>
      </c>
      <c r="E68" s="245">
        <f>SUMIF('수정사항 집계'!$C:$C,RIGHT($B68,LEN($B68)-11),'수정사항 집계'!F:F)</f>
        <v>167282295</v>
      </c>
      <c r="F68" s="245">
        <f>SUMIF('수정사항 집계'!$C:$C,RIGHT($B68,LEN($B68)-11),'수정사항 집계'!G:G)</f>
        <v>122614506</v>
      </c>
      <c r="G68" s="263">
        <f t="shared" si="3"/>
        <v>167282295</v>
      </c>
      <c r="H68" s="264"/>
    </row>
    <row r="69" spans="2:8">
      <c r="B69" s="262" t="s">
        <v>731</v>
      </c>
      <c r="C69" s="263">
        <v>342758541</v>
      </c>
      <c r="D69" s="264" t="s">
        <v>110</v>
      </c>
      <c r="E69" s="245">
        <f>SUMIF('수정사항 집계'!$C:$C,RIGHT($B69,LEN($B69)-11),'수정사항 집계'!F:F)</f>
        <v>0</v>
      </c>
      <c r="F69" s="245">
        <f>SUMIF('수정사항 집계'!$C:$C,RIGHT($B69,LEN($B69)-11),'수정사항 집계'!G:G)</f>
        <v>0</v>
      </c>
      <c r="G69" s="263">
        <f t="shared" si="3"/>
        <v>342758541</v>
      </c>
      <c r="H69" s="264"/>
    </row>
    <row r="70" spans="2:8">
      <c r="B70" s="262" t="s">
        <v>732</v>
      </c>
      <c r="C70" s="263">
        <v>4179000</v>
      </c>
      <c r="D70" s="264" t="s">
        <v>110</v>
      </c>
      <c r="E70" s="245">
        <f>SUMIF('수정사항 집계'!$C:$C,RIGHT($B70,LEN($B70)-11),'수정사항 집계'!F:F)</f>
        <v>0</v>
      </c>
      <c r="F70" s="245">
        <f>SUMIF('수정사항 집계'!$C:$C,RIGHT($B70,LEN($B70)-11),'수정사항 집계'!G:G)</f>
        <v>0</v>
      </c>
      <c r="G70" s="263">
        <f t="shared" si="3"/>
        <v>4179000</v>
      </c>
      <c r="H70" s="264"/>
    </row>
    <row r="71" spans="2:8">
      <c r="B71" s="262" t="s">
        <v>733</v>
      </c>
      <c r="C71" s="263">
        <v>19339582</v>
      </c>
      <c r="D71" s="264" t="s">
        <v>110</v>
      </c>
      <c r="E71" s="245">
        <f>SUMIF('수정사항 집계'!$C:$C,RIGHT($B71,LEN($B71)-11),'수정사항 집계'!F:F)</f>
        <v>0</v>
      </c>
      <c r="F71" s="245">
        <f>SUMIF('수정사항 집계'!$C:$C,RIGHT($B71,LEN($B71)-11),'수정사항 집계'!G:G)</f>
        <v>17512880</v>
      </c>
      <c r="G71" s="263">
        <f t="shared" si="3"/>
        <v>1826702</v>
      </c>
      <c r="H71" s="264"/>
    </row>
    <row r="72" spans="2:8">
      <c r="B72" s="262" t="s">
        <v>734</v>
      </c>
      <c r="C72" s="263">
        <v>14474</v>
      </c>
      <c r="D72" s="264" t="s">
        <v>110</v>
      </c>
      <c r="E72" s="245">
        <f>SUMIF('수정사항 집계'!$C:$C,RIGHT($B72,LEN($B72)-11),'수정사항 집계'!F:F)</f>
        <v>0</v>
      </c>
      <c r="F72" s="245">
        <f>SUMIF('수정사항 집계'!$C:$C,RIGHT($B72,LEN($B72)-11),'수정사항 집계'!G:G)</f>
        <v>0</v>
      </c>
      <c r="G72" s="263">
        <f t="shared" si="3"/>
        <v>14474</v>
      </c>
      <c r="H72" s="264"/>
    </row>
    <row r="73" spans="2:8">
      <c r="B73" s="262" t="s">
        <v>735</v>
      </c>
      <c r="C73" s="263">
        <v>5893064</v>
      </c>
      <c r="D73" s="264" t="s">
        <v>110</v>
      </c>
      <c r="E73" s="245">
        <f>SUMIF('수정사항 집계'!$C:$C,RIGHT($B73,LEN($B73)-11),'수정사항 집계'!F:F)</f>
        <v>0</v>
      </c>
      <c r="F73" s="245">
        <f>SUMIF('수정사항 집계'!$C:$C,RIGHT($B73,LEN($B73)-11),'수정사항 집계'!G:G)</f>
        <v>0</v>
      </c>
      <c r="G73" s="263">
        <f t="shared" si="3"/>
        <v>5893064</v>
      </c>
      <c r="H73" s="264"/>
    </row>
    <row r="74" spans="2:8">
      <c r="B74" s="262" t="s">
        <v>736</v>
      </c>
      <c r="C74" s="263">
        <v>65000</v>
      </c>
      <c r="D74" s="264" t="s">
        <v>110</v>
      </c>
      <c r="E74" s="245">
        <f>SUMIF('수정사항 집계'!$C:$C,RIGHT($B74,LEN($B74)-11),'수정사항 집계'!F:F)</f>
        <v>0</v>
      </c>
      <c r="F74" s="245">
        <f>SUMIF('수정사항 집계'!$C:$C,RIGHT($B74,LEN($B74)-11),'수정사항 집계'!G:G)</f>
        <v>0</v>
      </c>
      <c r="G74" s="263">
        <f t="shared" si="3"/>
        <v>65000</v>
      </c>
      <c r="H74" s="264"/>
    </row>
    <row r="75" spans="2:8">
      <c r="B75" s="262" t="s">
        <v>738</v>
      </c>
      <c r="C75" s="263">
        <v>18277609</v>
      </c>
      <c r="D75" s="264" t="s">
        <v>110</v>
      </c>
      <c r="E75" s="245">
        <f>SUMIF('수정사항 집계'!$C:$C,RIGHT($B75,LEN($B75)-11),'수정사항 집계'!F:F)</f>
        <v>0</v>
      </c>
      <c r="F75" s="245">
        <f>SUMIF('수정사항 집계'!$C:$C,RIGHT($B75,LEN($B75)-11),'수정사항 집계'!G:G)</f>
        <v>0</v>
      </c>
      <c r="G75" s="263">
        <f t="shared" si="3"/>
        <v>18277609</v>
      </c>
      <c r="H75" s="264"/>
    </row>
    <row r="76" spans="2:8">
      <c r="B76" s="262" t="s">
        <v>739</v>
      </c>
      <c r="C76" s="263">
        <v>80603213</v>
      </c>
      <c r="D76" s="264" t="s">
        <v>110</v>
      </c>
      <c r="E76" s="245">
        <f>SUMIF('수정사항 집계'!$C:$C,RIGHT($B76,LEN($B76)-11),'수정사항 집계'!F:F)</f>
        <v>0</v>
      </c>
      <c r="F76" s="245">
        <f>SUMIF('수정사항 집계'!$C:$C,RIGHT($B76,LEN($B76)-11),'수정사항 집계'!G:G)</f>
        <v>0</v>
      </c>
      <c r="G76" s="263">
        <f t="shared" si="3"/>
        <v>80603213</v>
      </c>
      <c r="H76" s="264"/>
    </row>
    <row r="77" spans="2:8">
      <c r="B77" s="262" t="s">
        <v>740</v>
      </c>
      <c r="C77" s="263">
        <v>19980000</v>
      </c>
      <c r="D77" s="264" t="s">
        <v>110</v>
      </c>
      <c r="E77" s="245">
        <f>SUMIF('수정사항 집계'!$C:$C,RIGHT($B77,LEN($B77)-11),'수정사항 집계'!F:F)</f>
        <v>0</v>
      </c>
      <c r="F77" s="245">
        <f>SUMIF('수정사항 집계'!$C:$C,RIGHT($B77,LEN($B77)-11),'수정사항 집계'!G:G)</f>
        <v>0</v>
      </c>
      <c r="G77" s="263">
        <f t="shared" si="3"/>
        <v>19980000</v>
      </c>
      <c r="H77" s="264"/>
    </row>
    <row r="78" spans="2:8">
      <c r="B78" s="262" t="s">
        <v>742</v>
      </c>
      <c r="C78" s="263">
        <v>8585450</v>
      </c>
      <c r="D78" s="264" t="s">
        <v>110</v>
      </c>
      <c r="E78" s="245">
        <f>SUMIF('수정사항 집계'!$C:$C,RIGHT($B78,LEN($B78)-11),'수정사항 집계'!F:F)</f>
        <v>0</v>
      </c>
      <c r="F78" s="245">
        <f>SUMIF('수정사항 집계'!$C:$C,RIGHT($B78,LEN($B78)-11),'수정사항 집계'!G:G)</f>
        <v>0</v>
      </c>
      <c r="G78" s="263">
        <f t="shared" si="3"/>
        <v>8585450</v>
      </c>
      <c r="H78" s="264"/>
    </row>
    <row r="79" spans="2:8">
      <c r="B79" s="262" t="s">
        <v>743</v>
      </c>
      <c r="C79" s="263">
        <v>153268001</v>
      </c>
      <c r="D79" s="264" t="s">
        <v>110</v>
      </c>
      <c r="E79" s="245">
        <f>SUMIF('수정사항 집계'!$C:$C,RIGHT($B79,LEN($B79)-11),'수정사항 집계'!F:F)</f>
        <v>62849134</v>
      </c>
      <c r="F79" s="245">
        <f>SUMIF('수정사항 집계'!$C:$C,RIGHT($B79,LEN($B79)-11),'수정사항 집계'!G:G)</f>
        <v>0</v>
      </c>
      <c r="G79" s="263">
        <f t="shared" si="3"/>
        <v>216117135</v>
      </c>
      <c r="H79" s="264"/>
    </row>
    <row r="80" spans="2:8">
      <c r="B80" s="262" t="s">
        <v>744</v>
      </c>
      <c r="C80" s="263">
        <v>29560000</v>
      </c>
      <c r="D80" s="264" t="s">
        <v>110</v>
      </c>
      <c r="E80" s="245">
        <f>SUMIF('수정사항 집계'!$C:$C,RIGHT($B80,LEN($B80)-11),'수정사항 집계'!F:F)</f>
        <v>0</v>
      </c>
      <c r="F80" s="245">
        <f>SUMIF('수정사항 집계'!$C:$C,RIGHT($B80,LEN($B80)-11),'수정사항 집계'!G:G)</f>
        <v>0</v>
      </c>
      <c r="G80" s="263">
        <f t="shared" si="3"/>
        <v>29560000</v>
      </c>
      <c r="H80" s="264"/>
    </row>
    <row r="81" spans="2:9">
      <c r="B81" s="259" t="s">
        <v>745</v>
      </c>
      <c r="C81" s="260" t="s">
        <v>110</v>
      </c>
      <c r="D81" s="261">
        <f>D57-D58</f>
        <v>321040152</v>
      </c>
      <c r="E81" s="260"/>
      <c r="F81" s="261"/>
      <c r="G81" s="260"/>
      <c r="H81" s="261">
        <f>H57-H58</f>
        <v>199333115</v>
      </c>
    </row>
    <row r="82" spans="2:9">
      <c r="B82" s="259" t="s">
        <v>746</v>
      </c>
      <c r="C82" s="260" t="s">
        <v>110</v>
      </c>
      <c r="D82" s="261">
        <f>SUM(C83:C84)</f>
        <v>46999</v>
      </c>
      <c r="E82" s="260"/>
      <c r="F82" s="261"/>
      <c r="G82" s="260"/>
      <c r="H82" s="261">
        <f>SUM(G83:G84)</f>
        <v>17914464</v>
      </c>
    </row>
    <row r="83" spans="2:9">
      <c r="B83" s="262" t="s">
        <v>747</v>
      </c>
      <c r="C83" s="263">
        <v>46467</v>
      </c>
      <c r="D83" s="264" t="s">
        <v>110</v>
      </c>
      <c r="E83" s="245">
        <f>SUMIF('수정사항 집계'!$C:$C,RIGHT($B83,LEN($B83)-11),'수정사항 집계'!F:F)</f>
        <v>0</v>
      </c>
      <c r="F83" s="245">
        <f>SUMIF('수정사항 집계'!$C:$C,RIGHT($B83,LEN($B83)-11),'수정사항 집계'!G:G)</f>
        <v>17867465</v>
      </c>
      <c r="G83" s="263">
        <f t="shared" ref="G83:G84" si="4">C83-E83+F83</f>
        <v>17913932</v>
      </c>
      <c r="H83" s="264"/>
    </row>
    <row r="84" spans="2:9">
      <c r="B84" s="262" t="s">
        <v>748</v>
      </c>
      <c r="C84" s="263">
        <v>532</v>
      </c>
      <c r="D84" s="264" t="s">
        <v>110</v>
      </c>
      <c r="E84" s="263"/>
      <c r="F84" s="264"/>
      <c r="G84" s="263">
        <f t="shared" si="4"/>
        <v>532</v>
      </c>
      <c r="H84" s="264"/>
    </row>
    <row r="85" spans="2:9">
      <c r="B85" s="259" t="s">
        <v>749</v>
      </c>
      <c r="C85" s="260" t="s">
        <v>110</v>
      </c>
      <c r="D85" s="261">
        <f>C87</f>
        <v>394820</v>
      </c>
      <c r="E85" s="260"/>
      <c r="F85" s="261"/>
      <c r="G85" s="260"/>
      <c r="H85" s="261">
        <f>SUM(G86:G87)</f>
        <v>7771210</v>
      </c>
    </row>
    <row r="86" spans="2:9">
      <c r="B86" s="268" t="s">
        <v>753</v>
      </c>
      <c r="C86" s="269"/>
      <c r="D86" s="270" t="s">
        <v>110</v>
      </c>
      <c r="E86" s="251">
        <f>SUMIF('수정사항 집계'!$C:$C,RIGHT($B86,LEN($B86)-11),'수정사항 집계'!F:F)</f>
        <v>7376390</v>
      </c>
      <c r="F86" s="251">
        <f>SUMIF('수정사항 집계'!$C:$C,RIGHT($B86,LEN($B86)-11),'수정사항 집계'!G:G)</f>
        <v>0</v>
      </c>
      <c r="G86" s="269">
        <f t="shared" ref="G86" si="5">C86+E86-F86</f>
        <v>7376390</v>
      </c>
      <c r="H86" s="270"/>
      <c r="I86" s="271" t="s">
        <v>763</v>
      </c>
    </row>
    <row r="87" spans="2:9">
      <c r="B87" s="262" t="s">
        <v>754</v>
      </c>
      <c r="C87" s="263">
        <v>394820</v>
      </c>
      <c r="D87" s="264" t="s">
        <v>110</v>
      </c>
      <c r="E87" s="263"/>
      <c r="F87" s="264"/>
      <c r="G87" s="263">
        <f>C87</f>
        <v>394820</v>
      </c>
      <c r="H87" s="264"/>
    </row>
    <row r="88" spans="2:9">
      <c r="B88" s="259" t="s">
        <v>755</v>
      </c>
      <c r="C88" s="260" t="s">
        <v>110</v>
      </c>
      <c r="D88" s="261">
        <f>D81+D82-D85</f>
        <v>320692331</v>
      </c>
      <c r="E88" s="260"/>
      <c r="F88" s="261"/>
      <c r="G88" s="260"/>
      <c r="H88" s="261">
        <f>H81+H82-H85</f>
        <v>209476369</v>
      </c>
    </row>
    <row r="89" spans="2:9">
      <c r="B89" s="259" t="s">
        <v>756</v>
      </c>
      <c r="C89" s="260" t="s">
        <v>110</v>
      </c>
      <c r="D89" s="260">
        <v>0</v>
      </c>
      <c r="E89" s="260"/>
      <c r="F89" s="260"/>
      <c r="G89" s="260"/>
      <c r="H89" s="260">
        <f>D89</f>
        <v>0</v>
      </c>
    </row>
    <row r="90" spans="2:9">
      <c r="B90" s="259" t="s">
        <v>788</v>
      </c>
      <c r="C90" s="260" t="s">
        <v>110</v>
      </c>
      <c r="D90" s="273">
        <f>D88-D89</f>
        <v>320692331</v>
      </c>
      <c r="E90" s="260"/>
      <c r="F90" s="261"/>
      <c r="G90" s="260"/>
      <c r="H90" s="273">
        <f>H88-H89</f>
        <v>209476369</v>
      </c>
      <c r="I90" s="274">
        <f>D90-H90</f>
        <v>111215962</v>
      </c>
    </row>
    <row r="92" spans="2:9">
      <c r="B92" s="258" t="s">
        <v>791</v>
      </c>
    </row>
    <row r="93" spans="2:9">
      <c r="B93" s="379" t="s">
        <v>645</v>
      </c>
      <c r="C93" s="379" t="s">
        <v>759</v>
      </c>
      <c r="D93" s="379"/>
      <c r="E93" s="368" t="s">
        <v>647</v>
      </c>
      <c r="F93" s="368"/>
      <c r="G93" s="370" t="s">
        <v>648</v>
      </c>
      <c r="H93" s="371"/>
    </row>
    <row r="94" spans="2:9">
      <c r="B94" s="379"/>
      <c r="C94" s="379" t="s">
        <v>760</v>
      </c>
      <c r="D94" s="379"/>
      <c r="E94" s="228" t="s">
        <v>649</v>
      </c>
      <c r="F94" s="228" t="s">
        <v>650</v>
      </c>
      <c r="G94" s="372"/>
      <c r="H94" s="373"/>
    </row>
    <row r="95" spans="2:9">
      <c r="B95" s="259" t="s">
        <v>708</v>
      </c>
      <c r="C95" s="260" t="s">
        <v>110</v>
      </c>
      <c r="D95" s="261">
        <v>243444447</v>
      </c>
      <c r="E95" s="260"/>
      <c r="F95" s="261"/>
      <c r="G95" s="260"/>
      <c r="H95" s="261">
        <f>D95</f>
        <v>243444447</v>
      </c>
    </row>
    <row r="96" spans="2:9">
      <c r="B96" s="262" t="s">
        <v>709</v>
      </c>
      <c r="C96" s="263">
        <v>243444447</v>
      </c>
      <c r="D96" s="264" t="s">
        <v>110</v>
      </c>
      <c r="E96" s="263"/>
      <c r="F96" s="264"/>
      <c r="G96" s="263">
        <f>C96</f>
        <v>243444447</v>
      </c>
      <c r="H96" s="264"/>
    </row>
    <row r="97" spans="2:8">
      <c r="B97" s="259" t="s">
        <v>712</v>
      </c>
      <c r="C97" s="260" t="s">
        <v>110</v>
      </c>
      <c r="D97" s="261">
        <v>92050944</v>
      </c>
      <c r="E97" s="260"/>
      <c r="F97" s="261"/>
      <c r="G97" s="260"/>
      <c r="H97" s="261">
        <f>H98</f>
        <v>92050944</v>
      </c>
    </row>
    <row r="98" spans="2:8">
      <c r="B98" s="265" t="s">
        <v>713</v>
      </c>
      <c r="C98" s="266" t="s">
        <v>110</v>
      </c>
      <c r="D98" s="267">
        <v>92050944</v>
      </c>
      <c r="E98" s="266"/>
      <c r="F98" s="267"/>
      <c r="G98" s="266"/>
      <c r="H98" s="267">
        <f>D98</f>
        <v>92050944</v>
      </c>
    </row>
    <row r="99" spans="2:8">
      <c r="B99" s="262" t="s">
        <v>714</v>
      </c>
      <c r="C99" s="264">
        <v>0</v>
      </c>
      <c r="D99" s="264" t="s">
        <v>110</v>
      </c>
      <c r="E99" s="264"/>
      <c r="F99" s="264"/>
      <c r="G99" s="264">
        <f>C99</f>
        <v>0</v>
      </c>
      <c r="H99" s="264"/>
    </row>
    <row r="100" spans="2:8">
      <c r="B100" s="262" t="s">
        <v>715</v>
      </c>
      <c r="C100" s="263">
        <v>92050944</v>
      </c>
      <c r="D100" s="264" t="s">
        <v>110</v>
      </c>
      <c r="E100" s="263"/>
      <c r="F100" s="264"/>
      <c r="G100" s="263">
        <f>C100</f>
        <v>92050944</v>
      </c>
      <c r="H100" s="264"/>
    </row>
    <row r="101" spans="2:8">
      <c r="B101" s="262" t="s">
        <v>716</v>
      </c>
      <c r="C101" s="264">
        <v>0</v>
      </c>
      <c r="D101" s="264" t="s">
        <v>110</v>
      </c>
      <c r="E101" s="264"/>
      <c r="F101" s="264"/>
      <c r="G101" s="264">
        <f>C101</f>
        <v>0</v>
      </c>
      <c r="H101" s="264"/>
    </row>
    <row r="102" spans="2:8">
      <c r="B102" s="259" t="s">
        <v>790</v>
      </c>
      <c r="C102" s="260" t="s">
        <v>110</v>
      </c>
      <c r="D102" s="261">
        <v>151393503</v>
      </c>
      <c r="E102" s="260"/>
      <c r="F102" s="261"/>
      <c r="G102" s="260"/>
      <c r="H102" s="261">
        <f>H95-H97</f>
        <v>151393503</v>
      </c>
    </row>
    <row r="103" spans="2:8">
      <c r="B103" s="259" t="s">
        <v>718</v>
      </c>
      <c r="C103" s="260" t="s">
        <v>110</v>
      </c>
      <c r="D103" s="261">
        <f>SUM(C104:C120)</f>
        <v>679486225</v>
      </c>
      <c r="E103" s="260"/>
      <c r="F103" s="261"/>
      <c r="G103" s="260"/>
      <c r="H103" s="261">
        <f>SUM(G104:G120)</f>
        <v>679486225</v>
      </c>
    </row>
    <row r="104" spans="2:8">
      <c r="B104" s="262" t="s">
        <v>719</v>
      </c>
      <c r="C104" s="263">
        <v>122219248</v>
      </c>
      <c r="D104" s="264" t="s">
        <v>110</v>
      </c>
      <c r="E104" s="245">
        <f>SUMIF('수정사항 집계'!$C:$C,RIGHT($B104,LEN($B104)-11),'수정사항 집계'!H:H)</f>
        <v>0</v>
      </c>
      <c r="F104" s="245">
        <f>SUMIF('수정사항 집계'!$C:$C,RIGHT($B104,LEN($B104)-11),'수정사항 집계'!I:I)</f>
        <v>0</v>
      </c>
      <c r="G104" s="263">
        <f t="shared" ref="G104:G120" si="6">C104+E104-F104</f>
        <v>122219248</v>
      </c>
      <c r="H104" s="264"/>
    </row>
    <row r="105" spans="2:8">
      <c r="B105" s="262" t="s">
        <v>721</v>
      </c>
      <c r="C105" s="263">
        <v>10404000</v>
      </c>
      <c r="D105" s="264" t="s">
        <v>110</v>
      </c>
      <c r="E105" s="245">
        <f>SUMIF('수정사항 집계'!$C:$C,RIGHT($B105,LEN($B105)-11),'수정사항 집계'!H:H)</f>
        <v>0</v>
      </c>
      <c r="F105" s="245">
        <f>SUMIF('수정사항 집계'!$C:$C,RIGHT($B105,LEN($B105)-11),'수정사항 집계'!I:I)</f>
        <v>0</v>
      </c>
      <c r="G105" s="263">
        <f t="shared" si="6"/>
        <v>10404000</v>
      </c>
      <c r="H105" s="264"/>
    </row>
    <row r="106" spans="2:8">
      <c r="B106" s="262" t="s">
        <v>722</v>
      </c>
      <c r="C106" s="263">
        <v>11573519</v>
      </c>
      <c r="D106" s="264" t="s">
        <v>110</v>
      </c>
      <c r="E106" s="245">
        <f>SUMIF('수정사항 집계'!$C:$C,RIGHT($B106,LEN($B106)-11),'수정사항 집계'!H:H)</f>
        <v>0</v>
      </c>
      <c r="F106" s="245">
        <f>SUMIF('수정사항 집계'!$C:$C,RIGHT($B106,LEN($B106)-11),'수정사항 집계'!I:I)</f>
        <v>0</v>
      </c>
      <c r="G106" s="263">
        <f t="shared" si="6"/>
        <v>11573519</v>
      </c>
      <c r="H106" s="264"/>
    </row>
    <row r="107" spans="2:8">
      <c r="B107" s="262" t="s">
        <v>723</v>
      </c>
      <c r="C107" s="263">
        <v>316752</v>
      </c>
      <c r="D107" s="264" t="s">
        <v>110</v>
      </c>
      <c r="E107" s="245">
        <f>SUMIF('수정사항 집계'!$C:$C,RIGHT($B107,LEN($B107)-11),'수정사항 집계'!H:H)</f>
        <v>11878710</v>
      </c>
      <c r="F107" s="245">
        <f>SUMIF('수정사항 집계'!$C:$C,RIGHT($B107,LEN($B107)-11),'수정사항 집계'!I:I)</f>
        <v>0</v>
      </c>
      <c r="G107" s="263">
        <f t="shared" si="6"/>
        <v>12195462</v>
      </c>
      <c r="H107" s="264"/>
    </row>
    <row r="108" spans="2:8">
      <c r="B108" s="262" t="s">
        <v>726</v>
      </c>
      <c r="C108" s="263">
        <v>785569</v>
      </c>
      <c r="D108" s="264" t="s">
        <v>110</v>
      </c>
      <c r="E108" s="245">
        <f>SUMIF('수정사항 집계'!$C:$C,RIGHT($B108,LEN($B108)-11),'수정사항 집계'!H:H)</f>
        <v>0</v>
      </c>
      <c r="F108" s="245">
        <f>SUMIF('수정사항 집계'!$C:$C,RIGHT($B108,LEN($B108)-11),'수정사항 집계'!I:I)</f>
        <v>0</v>
      </c>
      <c r="G108" s="263">
        <f t="shared" si="6"/>
        <v>785569</v>
      </c>
      <c r="H108" s="264"/>
    </row>
    <row r="109" spans="2:8">
      <c r="B109" s="262" t="s">
        <v>728</v>
      </c>
      <c r="C109" s="263">
        <v>5025555</v>
      </c>
      <c r="D109" s="264" t="s">
        <v>110</v>
      </c>
      <c r="E109" s="245">
        <f>SUMIF('수정사항 집계'!$C:$C,RIGHT($B109,LEN($B109)-11),'수정사항 집계'!H:H)</f>
        <v>0</v>
      </c>
      <c r="F109" s="245">
        <f>SUMIF('수정사항 집계'!$C:$C,RIGHT($B109,LEN($B109)-11),'수정사항 집계'!I:I)</f>
        <v>0</v>
      </c>
      <c r="G109" s="263">
        <f t="shared" si="6"/>
        <v>5025555</v>
      </c>
      <c r="H109" s="264"/>
    </row>
    <row r="110" spans="2:8">
      <c r="B110" s="262" t="s">
        <v>727</v>
      </c>
      <c r="C110" s="263">
        <v>9732178</v>
      </c>
      <c r="D110" s="264" t="s">
        <v>110</v>
      </c>
      <c r="E110" s="245">
        <f>SUMIF('수정사항 집계'!$C:$C,RIGHT($B110,LEN($B110)-11),'수정사항 집계'!H:H)</f>
        <v>0</v>
      </c>
      <c r="F110" s="245">
        <f>SUMIF('수정사항 집계'!$C:$C,RIGHT($B110,LEN($B110)-11),'수정사항 집계'!I:I)</f>
        <v>0</v>
      </c>
      <c r="G110" s="263">
        <f t="shared" si="6"/>
        <v>9732178</v>
      </c>
      <c r="H110" s="264"/>
    </row>
    <row r="111" spans="2:8">
      <c r="B111" s="262" t="s">
        <v>729</v>
      </c>
      <c r="C111" s="263">
        <v>5160410</v>
      </c>
      <c r="D111" s="264" t="s">
        <v>110</v>
      </c>
      <c r="E111" s="245">
        <f>SUMIF('수정사항 집계'!$C:$C,RIGHT($B111,LEN($B111)-11),'수정사항 집계'!H:H)</f>
        <v>0</v>
      </c>
      <c r="F111" s="245">
        <f>SUMIF('수정사항 집계'!$C:$C,RIGHT($B111,LEN($B111)-11),'수정사항 집계'!I:I)</f>
        <v>5158120</v>
      </c>
      <c r="G111" s="263">
        <f t="shared" si="6"/>
        <v>2290</v>
      </c>
      <c r="H111" s="264"/>
    </row>
    <row r="112" spans="2:8">
      <c r="B112" s="262" t="s">
        <v>730</v>
      </c>
      <c r="C112" s="263">
        <v>43940541</v>
      </c>
      <c r="D112" s="264" t="s">
        <v>110</v>
      </c>
      <c r="E112" s="245">
        <f>SUMIF('수정사항 집계'!$C:$C,RIGHT($B112,LEN($B112)-11),'수정사항 집계'!H:H)</f>
        <v>0</v>
      </c>
      <c r="F112" s="245">
        <f>SUMIF('수정사항 집계'!$C:$C,RIGHT($B112,LEN($B112)-11),'수정사항 집계'!I:I)</f>
        <v>0</v>
      </c>
      <c r="G112" s="263">
        <f t="shared" si="6"/>
        <v>43940541</v>
      </c>
      <c r="H112" s="264"/>
    </row>
    <row r="113" spans="2:8">
      <c r="B113" s="262" t="s">
        <v>731</v>
      </c>
      <c r="C113" s="263">
        <v>130495645</v>
      </c>
      <c r="D113" s="264" t="s">
        <v>110</v>
      </c>
      <c r="E113" s="245">
        <f>SUMIF('수정사항 집계'!$C:$C,RIGHT($B113,LEN($B113)-11),'수정사항 집계'!H:H)</f>
        <v>0</v>
      </c>
      <c r="F113" s="245">
        <f>SUMIF('수정사항 집계'!$C:$C,RIGHT($B113,LEN($B113)-11),'수정사항 집계'!I:I)</f>
        <v>0</v>
      </c>
      <c r="G113" s="263">
        <f t="shared" si="6"/>
        <v>130495645</v>
      </c>
      <c r="H113" s="264"/>
    </row>
    <row r="114" spans="2:8">
      <c r="B114" s="262" t="s">
        <v>732</v>
      </c>
      <c r="C114" s="263">
        <v>360000</v>
      </c>
      <c r="D114" s="264" t="s">
        <v>110</v>
      </c>
      <c r="E114" s="245">
        <f>SUMIF('수정사항 집계'!$C:$C,RIGHT($B114,LEN($B114)-11),'수정사항 집계'!H:H)</f>
        <v>0</v>
      </c>
      <c r="F114" s="245">
        <f>SUMIF('수정사항 집계'!$C:$C,RIGHT($B114,LEN($B114)-11),'수정사항 집계'!I:I)</f>
        <v>0</v>
      </c>
      <c r="G114" s="263">
        <f t="shared" si="6"/>
        <v>360000</v>
      </c>
      <c r="H114" s="264"/>
    </row>
    <row r="115" spans="2:8">
      <c r="B115" s="262" t="s">
        <v>733</v>
      </c>
      <c r="C115" s="263">
        <v>8160584</v>
      </c>
      <c r="D115" s="264" t="s">
        <v>110</v>
      </c>
      <c r="E115" s="245">
        <f>SUMIF('수정사항 집계'!$C:$C,RIGHT($B115,LEN($B115)-11),'수정사항 집계'!H:H)</f>
        <v>0</v>
      </c>
      <c r="F115" s="245">
        <f>SUMIF('수정사항 집계'!$C:$C,RIGHT($B115,LEN($B115)-11),'수정사항 집계'!I:I)</f>
        <v>6720590</v>
      </c>
      <c r="G115" s="263">
        <f t="shared" si="6"/>
        <v>1439994</v>
      </c>
      <c r="H115" s="264"/>
    </row>
    <row r="116" spans="2:8">
      <c r="B116" s="262" t="s">
        <v>738</v>
      </c>
      <c r="C116" s="263">
        <v>1330000</v>
      </c>
      <c r="D116" s="264" t="s">
        <v>110</v>
      </c>
      <c r="E116" s="245">
        <f>SUMIF('수정사항 집계'!$C:$C,RIGHT($B116,LEN($B116)-11),'수정사항 집계'!H:H)</f>
        <v>0</v>
      </c>
      <c r="F116" s="245">
        <f>SUMIF('수정사항 집계'!$C:$C,RIGHT($B116,LEN($B116)-11),'수정사항 집계'!I:I)</f>
        <v>0</v>
      </c>
      <c r="G116" s="263">
        <f t="shared" si="6"/>
        <v>1330000</v>
      </c>
      <c r="H116" s="264"/>
    </row>
    <row r="117" spans="2:8">
      <c r="B117" s="262" t="s">
        <v>739</v>
      </c>
      <c r="C117" s="263">
        <v>165587377</v>
      </c>
      <c r="D117" s="264" t="s">
        <v>110</v>
      </c>
      <c r="E117" s="245">
        <f>SUMIF('수정사항 집계'!$C:$C,RIGHT($B117,LEN($B117)-11),'수정사항 집계'!H:H)</f>
        <v>0</v>
      </c>
      <c r="F117" s="245">
        <f>SUMIF('수정사항 집계'!$C:$C,RIGHT($B117,LEN($B117)-11),'수정사항 집계'!I:I)</f>
        <v>0</v>
      </c>
      <c r="G117" s="263">
        <f t="shared" si="6"/>
        <v>165587377</v>
      </c>
      <c r="H117" s="264"/>
    </row>
    <row r="118" spans="2:8">
      <c r="B118" s="262" t="s">
        <v>742</v>
      </c>
      <c r="C118" s="263">
        <v>2100300</v>
      </c>
      <c r="D118" s="264" t="s">
        <v>110</v>
      </c>
      <c r="E118" s="245">
        <f>SUMIF('수정사항 집계'!$C:$C,RIGHT($B118,LEN($B118)-11),'수정사항 집계'!H:H)</f>
        <v>0</v>
      </c>
      <c r="F118" s="245">
        <f>SUMIF('수정사항 집계'!$C:$C,RIGHT($B118,LEN($B118)-11),'수정사항 집계'!I:I)</f>
        <v>0</v>
      </c>
      <c r="G118" s="263">
        <f t="shared" si="6"/>
        <v>2100300</v>
      </c>
      <c r="H118" s="264"/>
    </row>
    <row r="119" spans="2:8">
      <c r="B119" s="262" t="s">
        <v>743</v>
      </c>
      <c r="C119" s="263">
        <v>139334547</v>
      </c>
      <c r="D119" s="264" t="s">
        <v>110</v>
      </c>
      <c r="E119" s="245">
        <f>SUMIF('수정사항 집계'!$C:$C,RIGHT($B119,LEN($B119)-11),'수정사항 집계'!H:H)</f>
        <v>0</v>
      </c>
      <c r="F119" s="245">
        <f>SUMIF('수정사항 집계'!$C:$C,RIGHT($B119,LEN($B119)-11),'수정사항 집계'!I:I)</f>
        <v>0</v>
      </c>
      <c r="G119" s="263">
        <f t="shared" si="6"/>
        <v>139334547</v>
      </c>
      <c r="H119" s="264"/>
    </row>
    <row r="120" spans="2:8">
      <c r="B120" s="262" t="s">
        <v>744</v>
      </c>
      <c r="C120" s="263">
        <v>22960000</v>
      </c>
      <c r="D120" s="264" t="s">
        <v>110</v>
      </c>
      <c r="E120" s="245">
        <f>SUMIF('수정사항 집계'!$C:$C,RIGHT($B120,LEN($B120)-11),'수정사항 집계'!H:H)</f>
        <v>0</v>
      </c>
      <c r="F120" s="245">
        <f>SUMIF('수정사항 집계'!$C:$C,RIGHT($B120,LEN($B120)-11),'수정사항 집계'!I:I)</f>
        <v>0</v>
      </c>
      <c r="G120" s="263">
        <f t="shared" si="6"/>
        <v>22960000</v>
      </c>
      <c r="H120" s="264"/>
    </row>
    <row r="121" spans="2:8">
      <c r="B121" s="259" t="s">
        <v>785</v>
      </c>
      <c r="C121" s="260" t="s">
        <v>110</v>
      </c>
      <c r="D121" s="261">
        <f>D102-D103</f>
        <v>-528092722</v>
      </c>
      <c r="E121" s="260"/>
      <c r="F121" s="261"/>
      <c r="G121" s="260"/>
      <c r="H121" s="261">
        <f>H102-H103</f>
        <v>-528092722</v>
      </c>
    </row>
    <row r="122" spans="2:8">
      <c r="B122" s="259" t="s">
        <v>746</v>
      </c>
      <c r="C122" s="260" t="s">
        <v>110</v>
      </c>
      <c r="D122" s="261">
        <v>93119</v>
      </c>
      <c r="E122" s="260"/>
      <c r="F122" s="261"/>
      <c r="G122" s="260"/>
      <c r="H122" s="261">
        <f>SUM(G123:G124)</f>
        <v>93119</v>
      </c>
    </row>
    <row r="123" spans="2:8">
      <c r="B123" s="262" t="s">
        <v>747</v>
      </c>
      <c r="C123" s="263">
        <v>6861</v>
      </c>
      <c r="D123" s="264" t="s">
        <v>110</v>
      </c>
      <c r="E123" s="263"/>
      <c r="F123" s="264"/>
      <c r="G123" s="263">
        <f t="shared" ref="G123:G124" si="7">C123-E123+F123</f>
        <v>6861</v>
      </c>
      <c r="H123" s="264"/>
    </row>
    <row r="124" spans="2:8">
      <c r="B124" s="262" t="s">
        <v>748</v>
      </c>
      <c r="C124" s="263">
        <v>86258</v>
      </c>
      <c r="D124" s="264" t="s">
        <v>110</v>
      </c>
      <c r="E124" s="263"/>
      <c r="F124" s="264"/>
      <c r="G124" s="263">
        <f t="shared" si="7"/>
        <v>86258</v>
      </c>
      <c r="H124" s="264"/>
    </row>
    <row r="125" spans="2:8">
      <c r="B125" s="259" t="s">
        <v>749</v>
      </c>
      <c r="C125" s="260" t="s">
        <v>110</v>
      </c>
      <c r="D125" s="261">
        <f>SUM(C126:C128)</f>
        <v>859120256</v>
      </c>
      <c r="E125" s="260"/>
      <c r="F125" s="261"/>
      <c r="G125" s="260"/>
      <c r="H125" s="261">
        <f>SUM(G126:G128)</f>
        <v>950329991</v>
      </c>
    </row>
    <row r="126" spans="2:8">
      <c r="B126" s="262" t="s">
        <v>751</v>
      </c>
      <c r="C126" s="263">
        <v>859120251</v>
      </c>
      <c r="D126" s="264" t="s">
        <v>110</v>
      </c>
      <c r="E126" s="245">
        <f>SUMIF('수정사항 집계'!$C:$C,RIGHT($B126,LEN($B126)-11),'수정사항 집계'!H:H)</f>
        <v>-859120251</v>
      </c>
      <c r="F126" s="245">
        <f>SUMIF('수정사항 집계'!$C:$C,RIGHT($B126,LEN($B126)-11),'수정사항 집계'!I:I)</f>
        <v>0</v>
      </c>
      <c r="G126" s="263">
        <f t="shared" ref="G126:G128" si="8">C126+E126-F126</f>
        <v>0</v>
      </c>
      <c r="H126" s="264"/>
    </row>
    <row r="127" spans="2:8">
      <c r="B127" s="262" t="s">
        <v>752</v>
      </c>
      <c r="C127" s="263">
        <v>0</v>
      </c>
      <c r="D127" s="264"/>
      <c r="E127" s="245">
        <f>SUMIF('수정사항 집계'!$C:$C,RIGHT($B127,LEN($B127)-11),'수정사항 집계'!H:H)</f>
        <v>859120251</v>
      </c>
      <c r="F127" s="245">
        <f>SUMIF('수정사항 집계'!$C:$C,RIGHT($B127,LEN($B127)-11),'수정사항 집계'!I:I)</f>
        <v>0</v>
      </c>
      <c r="G127" s="263">
        <f t="shared" si="8"/>
        <v>859120251</v>
      </c>
      <c r="H127" s="264"/>
    </row>
    <row r="128" spans="2:8">
      <c r="B128" s="262" t="s">
        <v>754</v>
      </c>
      <c r="C128" s="263">
        <v>5</v>
      </c>
      <c r="D128" s="264" t="s">
        <v>110</v>
      </c>
      <c r="E128" s="245">
        <f>SUMIF('수정사항 집계'!$C:$C,RIGHT($B128,LEN($B128)-11),'수정사항 집계'!H:H)</f>
        <v>91209735</v>
      </c>
      <c r="F128" s="245">
        <f>SUMIF('수정사항 집계'!$C:$C,RIGHT($B128,LEN($B128)-11),'수정사항 집계'!I:I)</f>
        <v>0</v>
      </c>
      <c r="G128" s="263">
        <f t="shared" si="8"/>
        <v>91209740</v>
      </c>
      <c r="H128" s="264"/>
    </row>
    <row r="129" spans="2:9">
      <c r="B129" s="259" t="s">
        <v>787</v>
      </c>
      <c r="C129" s="260" t="s">
        <v>110</v>
      </c>
      <c r="D129" s="261">
        <f>D121+D122-D125</f>
        <v>-1387119859</v>
      </c>
      <c r="E129" s="260"/>
      <c r="F129" s="261"/>
      <c r="G129" s="260"/>
      <c r="H129" s="261">
        <f>H121+H122-H125</f>
        <v>-1478329594</v>
      </c>
    </row>
    <row r="130" spans="2:9">
      <c r="B130" s="259" t="s">
        <v>756</v>
      </c>
      <c r="C130" s="260" t="s">
        <v>110</v>
      </c>
      <c r="D130" s="260">
        <v>0</v>
      </c>
      <c r="E130" s="260"/>
      <c r="F130" s="260"/>
      <c r="G130" s="260"/>
      <c r="H130" s="260">
        <f>D130</f>
        <v>0</v>
      </c>
    </row>
    <row r="131" spans="2:9">
      <c r="B131" s="259" t="s">
        <v>757</v>
      </c>
      <c r="C131" s="260" t="s">
        <v>110</v>
      </c>
      <c r="D131" s="273">
        <f>D129-D130</f>
        <v>-1387119859</v>
      </c>
      <c r="E131" s="260"/>
      <c r="F131" s="273"/>
      <c r="G131" s="260"/>
      <c r="H131" s="273">
        <f>H129-H130</f>
        <v>-1478329594</v>
      </c>
      <c r="I131" s="274">
        <f>D131-H131</f>
        <v>91209735</v>
      </c>
    </row>
    <row r="133" spans="2:9">
      <c r="B133" s="258" t="s">
        <v>792</v>
      </c>
    </row>
    <row r="134" spans="2:9">
      <c r="B134" s="379" t="s">
        <v>645</v>
      </c>
      <c r="C134" s="379" t="s">
        <v>759</v>
      </c>
      <c r="D134" s="379"/>
      <c r="E134" s="368" t="s">
        <v>647</v>
      </c>
      <c r="F134" s="368"/>
      <c r="G134" s="370" t="s">
        <v>648</v>
      </c>
      <c r="H134" s="371"/>
    </row>
    <row r="135" spans="2:9">
      <c r="B135" s="379"/>
      <c r="C135" s="379" t="s">
        <v>760</v>
      </c>
      <c r="D135" s="379"/>
      <c r="E135" s="228" t="s">
        <v>649</v>
      </c>
      <c r="F135" s="228" t="s">
        <v>650</v>
      </c>
      <c r="G135" s="372"/>
      <c r="H135" s="373"/>
    </row>
    <row r="136" spans="2:9">
      <c r="B136" s="259" t="s">
        <v>708</v>
      </c>
      <c r="C136" s="260" t="s">
        <v>110</v>
      </c>
      <c r="D136" s="261">
        <v>1080550589</v>
      </c>
      <c r="E136" s="260"/>
      <c r="F136" s="261"/>
      <c r="G136" s="260"/>
      <c r="H136" s="261">
        <f>D136</f>
        <v>1080550589</v>
      </c>
    </row>
    <row r="137" spans="2:9">
      <c r="B137" s="262" t="s">
        <v>709</v>
      </c>
      <c r="C137" s="263">
        <v>1080550589</v>
      </c>
      <c r="D137" s="264" t="s">
        <v>110</v>
      </c>
      <c r="E137" s="263"/>
      <c r="F137" s="264"/>
      <c r="G137" s="263">
        <f>C137</f>
        <v>1080550589</v>
      </c>
      <c r="H137" s="264"/>
    </row>
    <row r="138" spans="2:9">
      <c r="B138" s="259" t="s">
        <v>712</v>
      </c>
      <c r="C138" s="260" t="s">
        <v>110</v>
      </c>
      <c r="D138" s="261">
        <v>380825704</v>
      </c>
      <c r="E138" s="260"/>
      <c r="F138" s="261"/>
      <c r="G138" s="260"/>
      <c r="H138" s="261">
        <f>H139</f>
        <v>380825704</v>
      </c>
    </row>
    <row r="139" spans="2:9">
      <c r="B139" s="265" t="s">
        <v>713</v>
      </c>
      <c r="C139" s="266" t="s">
        <v>110</v>
      </c>
      <c r="D139" s="267">
        <v>380825704</v>
      </c>
      <c r="E139" s="266"/>
      <c r="F139" s="267"/>
      <c r="G139" s="266"/>
      <c r="H139" s="267">
        <f>D139</f>
        <v>380825704</v>
      </c>
    </row>
    <row r="140" spans="2:9">
      <c r="B140" s="262" t="s">
        <v>714</v>
      </c>
      <c r="C140" s="264">
        <v>0</v>
      </c>
      <c r="D140" s="264" t="s">
        <v>110</v>
      </c>
      <c r="E140" s="264"/>
      <c r="F140" s="264"/>
      <c r="G140" s="264">
        <f>C140</f>
        <v>0</v>
      </c>
      <c r="H140" s="264"/>
    </row>
    <row r="141" spans="2:9">
      <c r="B141" s="262" t="s">
        <v>715</v>
      </c>
      <c r="C141" s="263">
        <v>380825704</v>
      </c>
      <c r="D141" s="264" t="s">
        <v>110</v>
      </c>
      <c r="E141" s="263"/>
      <c r="F141" s="264"/>
      <c r="G141" s="263">
        <f>C141</f>
        <v>380825704</v>
      </c>
      <c r="H141" s="264"/>
    </row>
    <row r="142" spans="2:9">
      <c r="B142" s="262" t="s">
        <v>716</v>
      </c>
      <c r="C142" s="264">
        <v>0</v>
      </c>
      <c r="D142" s="264" t="s">
        <v>110</v>
      </c>
      <c r="E142" s="264"/>
      <c r="F142" s="264"/>
      <c r="G142" s="264">
        <f>C142</f>
        <v>0</v>
      </c>
      <c r="H142" s="264"/>
    </row>
    <row r="143" spans="2:9">
      <c r="B143" s="259" t="s">
        <v>790</v>
      </c>
      <c r="C143" s="260" t="s">
        <v>110</v>
      </c>
      <c r="D143" s="261">
        <v>699724885</v>
      </c>
      <c r="E143" s="260"/>
      <c r="F143" s="261"/>
      <c r="G143" s="260"/>
      <c r="H143" s="261">
        <f>H136-H138</f>
        <v>699724885</v>
      </c>
    </row>
    <row r="144" spans="2:9">
      <c r="B144" s="259" t="s">
        <v>718</v>
      </c>
      <c r="C144" s="260" t="s">
        <v>110</v>
      </c>
      <c r="D144" s="261">
        <f>SUM(C145:C161)</f>
        <v>799898497</v>
      </c>
      <c r="E144" s="260"/>
      <c r="F144" s="261"/>
      <c r="G144" s="260"/>
      <c r="H144" s="261">
        <f>SUM(G145:G161)</f>
        <v>838162068</v>
      </c>
    </row>
    <row r="145" spans="2:8">
      <c r="B145" s="262" t="s">
        <v>719</v>
      </c>
      <c r="C145" s="263">
        <v>332118705</v>
      </c>
      <c r="D145" s="264" t="s">
        <v>110</v>
      </c>
      <c r="E145" s="245">
        <f>SUMIF('수정사항 집계'!$C:$C,RIGHT($B145,LEN($B145)-11),'수정사항 집계'!J:J)</f>
        <v>0</v>
      </c>
      <c r="F145" s="245">
        <f>SUMIF('수정사항 집계'!$C:$C,RIGHT($B145,LEN($B145)-11),'수정사항 집계'!K:K)</f>
        <v>0</v>
      </c>
      <c r="G145" s="263">
        <f t="shared" ref="G145:G161" si="9">C145+E145-F145</f>
        <v>332118705</v>
      </c>
      <c r="H145" s="264"/>
    </row>
    <row r="146" spans="2:8">
      <c r="B146" s="262" t="s">
        <v>721</v>
      </c>
      <c r="C146" s="263">
        <v>11499000</v>
      </c>
      <c r="D146" s="264" t="s">
        <v>110</v>
      </c>
      <c r="E146" s="245">
        <f>SUMIF('수정사항 집계'!$C:$C,RIGHT($B146,LEN($B146)-11),'수정사항 집계'!J:J)</f>
        <v>0</v>
      </c>
      <c r="F146" s="245">
        <f>SUMIF('수정사항 집계'!$C:$C,RIGHT($B146,LEN($B146)-11),'수정사항 집계'!K:K)</f>
        <v>0</v>
      </c>
      <c r="G146" s="263">
        <f t="shared" si="9"/>
        <v>11499000</v>
      </c>
      <c r="H146" s="264"/>
    </row>
    <row r="147" spans="2:8">
      <c r="B147" s="262" t="s">
        <v>722</v>
      </c>
      <c r="C147" s="263">
        <v>33791538</v>
      </c>
      <c r="D147" s="264" t="s">
        <v>110</v>
      </c>
      <c r="E147" s="245">
        <f>SUMIF('수정사항 집계'!$C:$C,RIGHT($B147,LEN($B147)-11),'수정사항 집계'!J:J)</f>
        <v>15156397</v>
      </c>
      <c r="F147" s="245">
        <f>SUMIF('수정사항 집계'!$C:$C,RIGHT($B147,LEN($B147)-11),'수정사항 집계'!K:K)</f>
        <v>0</v>
      </c>
      <c r="G147" s="263">
        <f t="shared" si="9"/>
        <v>48947935</v>
      </c>
      <c r="H147" s="264"/>
    </row>
    <row r="148" spans="2:8">
      <c r="B148" s="262" t="s">
        <v>723</v>
      </c>
      <c r="C148" s="263">
        <v>141900</v>
      </c>
      <c r="D148" s="264" t="s">
        <v>110</v>
      </c>
      <c r="E148" s="245">
        <f>SUMIF('수정사항 집계'!$C:$C,RIGHT($B148,LEN($B148)-11),'수정사항 집계'!J:J)</f>
        <v>28859510</v>
      </c>
      <c r="F148" s="245">
        <f>SUMIF('수정사항 집계'!$C:$C,RIGHT($B148,LEN($B148)-11),'수정사항 집계'!K:K)</f>
        <v>0</v>
      </c>
      <c r="G148" s="263">
        <f t="shared" si="9"/>
        <v>29001410</v>
      </c>
      <c r="H148" s="264"/>
    </row>
    <row r="149" spans="2:8">
      <c r="B149" s="262" t="s">
        <v>724</v>
      </c>
      <c r="C149" s="263">
        <v>235000</v>
      </c>
      <c r="D149" s="264" t="s">
        <v>110</v>
      </c>
      <c r="E149" s="245">
        <f>SUMIF('수정사항 집계'!$C:$C,RIGHT($B149,LEN($B149)-11),'수정사항 집계'!J:J)</f>
        <v>0</v>
      </c>
      <c r="F149" s="245">
        <f>SUMIF('수정사항 집계'!$C:$C,RIGHT($B149,LEN($B149)-11),'수정사항 집계'!K:K)</f>
        <v>0</v>
      </c>
      <c r="G149" s="263">
        <f t="shared" si="9"/>
        <v>235000</v>
      </c>
      <c r="H149" s="264"/>
    </row>
    <row r="150" spans="2:8">
      <c r="B150" s="262" t="s">
        <v>729</v>
      </c>
      <c r="C150" s="263">
        <v>10827930</v>
      </c>
      <c r="D150" s="264" t="s">
        <v>110</v>
      </c>
      <c r="E150" s="245">
        <f>SUMIF('수정사항 집계'!$C:$C,RIGHT($B150,LEN($B150)-11),'수정사항 집계'!J:J)</f>
        <v>0</v>
      </c>
      <c r="F150" s="245">
        <f>SUMIF('수정사항 집계'!$C:$C,RIGHT($B150,LEN($B150)-11),'수정사항 집계'!K:K)</f>
        <v>10792430</v>
      </c>
      <c r="G150" s="263">
        <f t="shared" si="9"/>
        <v>35500</v>
      </c>
      <c r="H150" s="264"/>
    </row>
    <row r="151" spans="2:8">
      <c r="B151" s="262" t="s">
        <v>730</v>
      </c>
      <c r="C151" s="263">
        <v>83618544</v>
      </c>
      <c r="D151" s="264" t="s">
        <v>110</v>
      </c>
      <c r="E151" s="245">
        <f>SUMIF('수정사항 집계'!$C:$C,RIGHT($B151,LEN($B151)-11),'수정사항 집계'!J:J)</f>
        <v>95599497</v>
      </c>
      <c r="F151" s="245">
        <f>SUMIF('수정사항 집계'!$C:$C,RIGHT($B151,LEN($B151)-11),'수정사항 집계'!K:K)</f>
        <v>83618544</v>
      </c>
      <c r="G151" s="263">
        <f t="shared" si="9"/>
        <v>95599497</v>
      </c>
      <c r="H151" s="264"/>
    </row>
    <row r="152" spans="2:8">
      <c r="B152" s="262" t="s">
        <v>731</v>
      </c>
      <c r="C152" s="263">
        <v>14485224</v>
      </c>
      <c r="D152" s="264" t="s">
        <v>110</v>
      </c>
      <c r="E152" s="245">
        <f>SUMIF('수정사항 집계'!$C:$C,RIGHT($B152,LEN($B152)-11),'수정사항 집계'!J:J)</f>
        <v>0</v>
      </c>
      <c r="F152" s="245">
        <f>SUMIF('수정사항 집계'!$C:$C,RIGHT($B152,LEN($B152)-11),'수정사항 집계'!K:K)</f>
        <v>0</v>
      </c>
      <c r="G152" s="263">
        <f t="shared" si="9"/>
        <v>14485224</v>
      </c>
      <c r="H152" s="264"/>
    </row>
    <row r="153" spans="2:8">
      <c r="B153" s="262" t="s">
        <v>733</v>
      </c>
      <c r="C153" s="263">
        <v>14803398</v>
      </c>
      <c r="D153" s="264" t="s">
        <v>110</v>
      </c>
      <c r="E153" s="245">
        <f>SUMIF('수정사항 집계'!$C:$C,RIGHT($B153,LEN($B153)-11),'수정사항 집계'!J:J)</f>
        <v>0</v>
      </c>
      <c r="F153" s="245">
        <f>SUMIF('수정사항 집계'!$C:$C,RIGHT($B153,LEN($B153)-11),'수정사항 집계'!K:K)</f>
        <v>13107130</v>
      </c>
      <c r="G153" s="263">
        <f t="shared" si="9"/>
        <v>1696268</v>
      </c>
      <c r="H153" s="264"/>
    </row>
    <row r="154" spans="2:8">
      <c r="B154" s="262" t="s">
        <v>735</v>
      </c>
      <c r="C154" s="263">
        <v>720000</v>
      </c>
      <c r="D154" s="264" t="s">
        <v>110</v>
      </c>
      <c r="E154" s="245">
        <f>SUMIF('수정사항 집계'!$C:$C,RIGHT($B154,LEN($B154)-11),'수정사항 집계'!J:J)</f>
        <v>0</v>
      </c>
      <c r="F154" s="245">
        <f>SUMIF('수정사항 집계'!$C:$C,RIGHT($B154,LEN($B154)-11),'수정사항 집계'!K:K)</f>
        <v>0</v>
      </c>
      <c r="G154" s="263">
        <f t="shared" si="9"/>
        <v>720000</v>
      </c>
      <c r="H154" s="264"/>
    </row>
    <row r="155" spans="2:8">
      <c r="B155" s="262" t="s">
        <v>738</v>
      </c>
      <c r="C155" s="263">
        <v>7584425</v>
      </c>
      <c r="D155" s="264" t="s">
        <v>110</v>
      </c>
      <c r="E155" s="245">
        <f>SUMIF('수정사항 집계'!$C:$C,RIGHT($B155,LEN($B155)-11),'수정사항 집계'!J:J)</f>
        <v>0</v>
      </c>
      <c r="F155" s="245">
        <f>SUMIF('수정사항 집계'!$C:$C,RIGHT($B155,LEN($B155)-11),'수정사항 집계'!K:K)</f>
        <v>0</v>
      </c>
      <c r="G155" s="263">
        <f t="shared" si="9"/>
        <v>7584425</v>
      </c>
      <c r="H155" s="264"/>
    </row>
    <row r="156" spans="2:8">
      <c r="B156" s="262" t="s">
        <v>739</v>
      </c>
      <c r="C156" s="263">
        <v>41073799</v>
      </c>
      <c r="D156" s="264" t="s">
        <v>110</v>
      </c>
      <c r="E156" s="245">
        <f>SUMIF('수정사항 집계'!$C:$C,RIGHT($B156,LEN($B156)-11),'수정사항 집계'!J:J)</f>
        <v>0</v>
      </c>
      <c r="F156" s="245">
        <f>SUMIF('수정사항 집계'!$C:$C,RIGHT($B156,LEN($B156)-11),'수정사항 집계'!K:K)</f>
        <v>0</v>
      </c>
      <c r="G156" s="263">
        <f t="shared" si="9"/>
        <v>41073799</v>
      </c>
      <c r="H156" s="264"/>
    </row>
    <row r="157" spans="2:8">
      <c r="B157" s="262" t="s">
        <v>740</v>
      </c>
      <c r="C157" s="263">
        <v>18400000</v>
      </c>
      <c r="D157" s="264" t="s">
        <v>110</v>
      </c>
      <c r="E157" s="245">
        <f>SUMIF('수정사항 집계'!$C:$C,RIGHT($B157,LEN($B157)-11),'수정사항 집계'!J:J)</f>
        <v>0</v>
      </c>
      <c r="F157" s="245">
        <f>SUMIF('수정사항 집계'!$C:$C,RIGHT($B157,LEN($B157)-11),'수정사항 집계'!K:K)</f>
        <v>0</v>
      </c>
      <c r="G157" s="263">
        <f t="shared" si="9"/>
        <v>18400000</v>
      </c>
      <c r="H157" s="264"/>
    </row>
    <row r="158" spans="2:8">
      <c r="B158" s="262" t="s">
        <v>784</v>
      </c>
      <c r="C158" s="263">
        <v>37131937</v>
      </c>
      <c r="D158" s="264" t="s">
        <v>110</v>
      </c>
      <c r="E158" s="245">
        <f>SUMIF('수정사항 집계'!$C:$C,RIGHT($B158,LEN($B158)-11),'수정사항 집계'!J:J)</f>
        <v>31827375</v>
      </c>
      <c r="F158" s="245">
        <f>SUMIF('수정사항 집계'!$C:$C,RIGHT($B158,LEN($B158)-11),'수정사항 집계'!K:K)</f>
        <v>37131937</v>
      </c>
      <c r="G158" s="263">
        <f t="shared" si="9"/>
        <v>31827375</v>
      </c>
      <c r="H158" s="264"/>
    </row>
    <row r="159" spans="2:8">
      <c r="B159" s="262" t="s">
        <v>742</v>
      </c>
      <c r="C159" s="263">
        <v>5682550</v>
      </c>
      <c r="D159" s="264" t="s">
        <v>110</v>
      </c>
      <c r="E159" s="245">
        <f>SUMIF('수정사항 집계'!$C:$C,RIGHT($B159,LEN($B159)-11),'수정사항 집계'!J:J)</f>
        <v>0</v>
      </c>
      <c r="F159" s="245">
        <f>SUMIF('수정사항 집계'!$C:$C,RIGHT($B159,LEN($B159)-11),'수정사항 집계'!K:K)</f>
        <v>0</v>
      </c>
      <c r="G159" s="263">
        <f t="shared" si="9"/>
        <v>5682550</v>
      </c>
      <c r="H159" s="264"/>
    </row>
    <row r="160" spans="2:8">
      <c r="B160" s="262" t="s">
        <v>743</v>
      </c>
      <c r="C160" s="263">
        <v>139334547</v>
      </c>
      <c r="D160" s="264" t="s">
        <v>110</v>
      </c>
      <c r="E160" s="245">
        <f>SUMIF('수정사항 집계'!$C:$C,RIGHT($B160,LEN($B160)-11),'수정사항 집계'!J:J)</f>
        <v>11470833</v>
      </c>
      <c r="F160" s="245">
        <f>SUMIF('수정사항 집계'!$C:$C,RIGHT($B160,LEN($B160)-11),'수정사항 집계'!K:K)</f>
        <v>0</v>
      </c>
      <c r="G160" s="263">
        <f t="shared" si="9"/>
        <v>150805380</v>
      </c>
      <c r="H160" s="264"/>
    </row>
    <row r="161" spans="2:9">
      <c r="B161" s="262" t="s">
        <v>744</v>
      </c>
      <c r="C161" s="263">
        <v>48450000</v>
      </c>
      <c r="D161" s="264" t="s">
        <v>110</v>
      </c>
      <c r="E161" s="245">
        <f>SUMIF('수정사항 집계'!$C:$C,RIGHT($B161,LEN($B161)-11),'수정사항 집계'!J:J)</f>
        <v>0</v>
      </c>
      <c r="F161" s="245">
        <f>SUMIF('수정사항 집계'!$C:$C,RIGHT($B161,LEN($B161)-11),'수정사항 집계'!K:K)</f>
        <v>0</v>
      </c>
      <c r="G161" s="263">
        <f t="shared" si="9"/>
        <v>48450000</v>
      </c>
      <c r="H161" s="264"/>
    </row>
    <row r="162" spans="2:9">
      <c r="B162" s="259" t="s">
        <v>785</v>
      </c>
      <c r="C162" s="260" t="s">
        <v>110</v>
      </c>
      <c r="D162" s="261">
        <f>D143-D144</f>
        <v>-100173612</v>
      </c>
      <c r="E162" s="260"/>
      <c r="F162" s="261"/>
      <c r="G162" s="260"/>
      <c r="H162" s="261">
        <f>H143-H144</f>
        <v>-138437183</v>
      </c>
    </row>
    <row r="163" spans="2:9">
      <c r="B163" s="259" t="s">
        <v>746</v>
      </c>
      <c r="C163" s="260" t="s">
        <v>110</v>
      </c>
      <c r="D163" s="261">
        <f>SUM(C164:C165)</f>
        <v>65660</v>
      </c>
      <c r="E163" s="260"/>
      <c r="F163" s="261"/>
      <c r="G163" s="260"/>
      <c r="H163" s="261">
        <f>SUM(G164:G165)</f>
        <v>65660</v>
      </c>
    </row>
    <row r="164" spans="2:9">
      <c r="B164" s="262" t="s">
        <v>747</v>
      </c>
      <c r="C164" s="263">
        <v>17645</v>
      </c>
      <c r="D164" s="264" t="s">
        <v>110</v>
      </c>
      <c r="E164" s="263"/>
      <c r="F164" s="264"/>
      <c r="G164" s="263">
        <f t="shared" ref="G164:G165" si="10">C164-E164+F164</f>
        <v>17645</v>
      </c>
      <c r="H164" s="264"/>
    </row>
    <row r="165" spans="2:9">
      <c r="B165" s="262" t="s">
        <v>748</v>
      </c>
      <c r="C165" s="263">
        <v>48015</v>
      </c>
      <c r="D165" s="264" t="s">
        <v>110</v>
      </c>
      <c r="E165" s="263"/>
      <c r="F165" s="264"/>
      <c r="G165" s="263">
        <f t="shared" si="10"/>
        <v>48015</v>
      </c>
      <c r="H165" s="264"/>
    </row>
    <row r="166" spans="2:9">
      <c r="B166" s="259" t="s">
        <v>749</v>
      </c>
      <c r="C166" s="260" t="s">
        <v>110</v>
      </c>
      <c r="D166" s="260">
        <v>0</v>
      </c>
      <c r="E166" s="260"/>
      <c r="F166" s="260"/>
      <c r="G166" s="260"/>
      <c r="H166" s="261">
        <f>G167</f>
        <v>5524762</v>
      </c>
    </row>
    <row r="167" spans="2:9">
      <c r="B167" s="268" t="s">
        <v>753</v>
      </c>
      <c r="C167" s="269"/>
      <c r="D167" s="270" t="s">
        <v>110</v>
      </c>
      <c r="E167" s="251">
        <f>SUMIF('수정사항 집계'!$C:$C,RIGHT($B167,LEN($B167)-11),'수정사항 집계'!J:J)</f>
        <v>5524762</v>
      </c>
      <c r="F167" s="251">
        <f>SUMIF('수정사항 집계'!$C:$C,RIGHT($B167,LEN($B167)-11),'수정사항 집계'!K:K)</f>
        <v>0</v>
      </c>
      <c r="G167" s="269">
        <f t="shared" ref="G167" si="11">C167+E167-F167</f>
        <v>5524762</v>
      </c>
      <c r="H167" s="270"/>
      <c r="I167" s="271" t="s">
        <v>763</v>
      </c>
    </row>
    <row r="168" spans="2:9">
      <c r="B168" s="259" t="s">
        <v>787</v>
      </c>
      <c r="C168" s="260" t="s">
        <v>110</v>
      </c>
      <c r="D168" s="261">
        <f>D162+D163-D166</f>
        <v>-100107952</v>
      </c>
      <c r="E168" s="260"/>
      <c r="F168" s="261"/>
      <c r="G168" s="260"/>
      <c r="H168" s="261">
        <f>H162+H163-H166</f>
        <v>-143896285</v>
      </c>
    </row>
    <row r="169" spans="2:9">
      <c r="B169" s="259" t="s">
        <v>756</v>
      </c>
      <c r="C169" s="260" t="s">
        <v>110</v>
      </c>
      <c r="D169" s="260">
        <v>0</v>
      </c>
      <c r="E169" s="260"/>
      <c r="F169" s="260"/>
      <c r="G169" s="260"/>
      <c r="H169" s="260">
        <f>D169</f>
        <v>0</v>
      </c>
    </row>
    <row r="170" spans="2:9">
      <c r="B170" s="259" t="s">
        <v>757</v>
      </c>
      <c r="C170" s="260" t="s">
        <v>110</v>
      </c>
      <c r="D170" s="273">
        <f>D168-D169</f>
        <v>-100107952</v>
      </c>
      <c r="E170" s="260"/>
      <c r="F170" s="273"/>
      <c r="G170" s="260"/>
      <c r="H170" s="273">
        <f>H168-H169</f>
        <v>-143896285</v>
      </c>
      <c r="I170" s="274">
        <f>D170-H170</f>
        <v>43788333</v>
      </c>
    </row>
    <row r="171" spans="2:9">
      <c r="D171" s="274"/>
    </row>
    <row r="172" spans="2:9">
      <c r="B172" s="258" t="s">
        <v>793</v>
      </c>
    </row>
    <row r="173" spans="2:9">
      <c r="B173" s="379" t="s">
        <v>645</v>
      </c>
      <c r="C173" s="379" t="s">
        <v>759</v>
      </c>
      <c r="D173" s="379"/>
      <c r="E173" s="368" t="s">
        <v>647</v>
      </c>
      <c r="F173" s="368"/>
      <c r="G173" s="370" t="s">
        <v>648</v>
      </c>
      <c r="H173" s="371"/>
    </row>
    <row r="174" spans="2:9">
      <c r="B174" s="379"/>
      <c r="C174" s="379" t="s">
        <v>760</v>
      </c>
      <c r="D174" s="379"/>
      <c r="E174" s="228" t="s">
        <v>649</v>
      </c>
      <c r="F174" s="228" t="s">
        <v>650</v>
      </c>
      <c r="G174" s="372"/>
      <c r="H174" s="373"/>
    </row>
    <row r="175" spans="2:9">
      <c r="B175" s="259" t="s">
        <v>708</v>
      </c>
      <c r="C175" s="260" t="s">
        <v>110</v>
      </c>
      <c r="D175" s="261">
        <v>1174380430</v>
      </c>
      <c r="E175" s="260"/>
      <c r="F175" s="261"/>
      <c r="G175" s="260"/>
      <c r="H175" s="261">
        <f>D175</f>
        <v>1174380430</v>
      </c>
    </row>
    <row r="176" spans="2:9">
      <c r="B176" s="262" t="s">
        <v>709</v>
      </c>
      <c r="C176" s="263">
        <v>1174380430</v>
      </c>
      <c r="D176" s="264" t="s">
        <v>110</v>
      </c>
      <c r="E176" s="263"/>
      <c r="F176" s="264"/>
      <c r="G176" s="263">
        <f>C176</f>
        <v>1174380430</v>
      </c>
      <c r="H176" s="264"/>
    </row>
    <row r="177" spans="2:9">
      <c r="B177" s="259" t="s">
        <v>712</v>
      </c>
      <c r="C177" s="260" t="s">
        <v>110</v>
      </c>
      <c r="D177" s="261">
        <v>385146184</v>
      </c>
      <c r="E177" s="260"/>
      <c r="F177" s="261"/>
      <c r="G177" s="260"/>
      <c r="H177" s="261">
        <f>H178</f>
        <v>385146184</v>
      </c>
    </row>
    <row r="178" spans="2:9">
      <c r="B178" s="265" t="s">
        <v>713</v>
      </c>
      <c r="C178" s="266" t="s">
        <v>110</v>
      </c>
      <c r="D178" s="267">
        <v>385146184</v>
      </c>
      <c r="E178" s="266"/>
      <c r="F178" s="267"/>
      <c r="G178" s="266"/>
      <c r="H178" s="267">
        <f>D178</f>
        <v>385146184</v>
      </c>
    </row>
    <row r="179" spans="2:9">
      <c r="B179" s="262" t="s">
        <v>714</v>
      </c>
      <c r="C179" s="264">
        <v>0</v>
      </c>
      <c r="D179" s="264" t="s">
        <v>110</v>
      </c>
      <c r="E179" s="264"/>
      <c r="F179" s="264"/>
      <c r="G179" s="264">
        <f>C179</f>
        <v>0</v>
      </c>
      <c r="H179" s="264"/>
    </row>
    <row r="180" spans="2:9">
      <c r="B180" s="262" t="s">
        <v>715</v>
      </c>
      <c r="C180" s="263">
        <v>385146184</v>
      </c>
      <c r="D180" s="264" t="s">
        <v>110</v>
      </c>
      <c r="E180" s="263"/>
      <c r="F180" s="264"/>
      <c r="G180" s="263">
        <f>C180</f>
        <v>385146184</v>
      </c>
      <c r="H180" s="264"/>
    </row>
    <row r="181" spans="2:9">
      <c r="B181" s="262" t="s">
        <v>716</v>
      </c>
      <c r="C181" s="264">
        <v>0</v>
      </c>
      <c r="D181" s="264" t="s">
        <v>110</v>
      </c>
      <c r="E181" s="264"/>
      <c r="F181" s="264"/>
      <c r="G181" s="264">
        <f>C181</f>
        <v>0</v>
      </c>
      <c r="H181" s="264"/>
    </row>
    <row r="182" spans="2:9">
      <c r="B182" s="259" t="s">
        <v>790</v>
      </c>
      <c r="C182" s="260" t="s">
        <v>110</v>
      </c>
      <c r="D182" s="261">
        <v>789234246</v>
      </c>
      <c r="E182" s="260"/>
      <c r="F182" s="261"/>
      <c r="G182" s="260"/>
      <c r="H182" s="261">
        <f>H175-H177</f>
        <v>789234246</v>
      </c>
    </row>
    <row r="183" spans="2:9">
      <c r="B183" s="259" t="s">
        <v>718</v>
      </c>
      <c r="C183" s="260" t="s">
        <v>110</v>
      </c>
      <c r="D183" s="261">
        <f>SUM(C184:C205)</f>
        <v>1155815710</v>
      </c>
      <c r="E183" s="260"/>
      <c r="F183" s="261"/>
      <c r="G183" s="260"/>
      <c r="H183" s="261">
        <f>SUM(G184:G205)</f>
        <v>1224761017</v>
      </c>
    </row>
    <row r="184" spans="2:9">
      <c r="B184" s="262" t="s">
        <v>719</v>
      </c>
      <c r="C184" s="263">
        <v>492943461</v>
      </c>
      <c r="D184" s="264" t="s">
        <v>110</v>
      </c>
      <c r="E184" s="245">
        <f>SUMIF('수정사항 집계'!$C:$C,RIGHT($B184,LEN($B184)-11),'수정사항 집계'!L:L)</f>
        <v>0</v>
      </c>
      <c r="F184" s="245">
        <f>SUMIF('수정사항 집계'!$C:$C,RIGHT($B184,LEN($B184)-11),'수정사항 집계'!M:M)</f>
        <v>0</v>
      </c>
      <c r="G184" s="263">
        <f t="shared" ref="G184:G205" si="12">C184+E184-F184</f>
        <v>492943461</v>
      </c>
      <c r="H184" s="264"/>
    </row>
    <row r="185" spans="2:9">
      <c r="B185" s="262" t="s">
        <v>721</v>
      </c>
      <c r="C185" s="263">
        <v>1582000</v>
      </c>
      <c r="D185" s="264" t="s">
        <v>110</v>
      </c>
      <c r="E185" s="245">
        <f>SUMIF('수정사항 집계'!$C:$C,RIGHT($B185,LEN($B185)-11),'수정사항 집계'!L:L)</f>
        <v>0</v>
      </c>
      <c r="F185" s="245">
        <f>SUMIF('수정사항 집계'!$C:$C,RIGHT($B185,LEN($B185)-11),'수정사항 집계'!M:M)</f>
        <v>0</v>
      </c>
      <c r="G185" s="263">
        <f t="shared" si="12"/>
        <v>1582000</v>
      </c>
      <c r="H185" s="264"/>
    </row>
    <row r="186" spans="2:9">
      <c r="B186" s="262" t="s">
        <v>722</v>
      </c>
      <c r="C186" s="263">
        <v>27055305</v>
      </c>
      <c r="D186" s="264" t="s">
        <v>110</v>
      </c>
      <c r="E186" s="245">
        <f>SUMIF('수정사항 집계'!$C:$C,RIGHT($B186,LEN($B186)-11),'수정사항 집계'!L:L)</f>
        <v>38320134</v>
      </c>
      <c r="F186" s="245">
        <f>SUMIF('수정사항 집계'!$C:$C,RIGHT($B186,LEN($B186)-11),'수정사항 집계'!M:M)</f>
        <v>0</v>
      </c>
      <c r="G186" s="263">
        <f t="shared" si="12"/>
        <v>65375439</v>
      </c>
      <c r="H186" s="264"/>
    </row>
    <row r="187" spans="2:9">
      <c r="B187" s="268" t="s">
        <v>723</v>
      </c>
      <c r="C187" s="269">
        <v>0</v>
      </c>
      <c r="D187" s="270"/>
      <c r="E187" s="251">
        <f>SUMIF('수정사항 집계'!$C:$C,RIGHT($B187,LEN($B187)-11),'수정사항 집계'!L:L)</f>
        <v>44895100</v>
      </c>
      <c r="F187" s="251">
        <f>SUMIF('수정사항 집계'!$C:$C,RIGHT($B187,LEN($B187)-11),'수정사항 집계'!M:M)</f>
        <v>0</v>
      </c>
      <c r="G187" s="269">
        <f t="shared" si="12"/>
        <v>44895100</v>
      </c>
      <c r="H187" s="270"/>
      <c r="I187" s="271" t="s">
        <v>763</v>
      </c>
    </row>
    <row r="188" spans="2:9">
      <c r="B188" s="262" t="s">
        <v>724</v>
      </c>
      <c r="C188" s="263">
        <v>628950</v>
      </c>
      <c r="D188" s="264" t="s">
        <v>110</v>
      </c>
      <c r="E188" s="245">
        <f>SUMIF('수정사항 집계'!$C:$C,RIGHT($B188,LEN($B188)-11),'수정사항 집계'!L:L)</f>
        <v>0</v>
      </c>
      <c r="F188" s="245">
        <f>SUMIF('수정사항 집계'!$C:$C,RIGHT($B188,LEN($B188)-11),'수정사항 집계'!M:M)</f>
        <v>0</v>
      </c>
      <c r="G188" s="263">
        <f t="shared" si="12"/>
        <v>628950</v>
      </c>
      <c r="H188" s="264"/>
    </row>
    <row r="189" spans="2:9">
      <c r="B189" s="262" t="s">
        <v>726</v>
      </c>
      <c r="C189" s="263">
        <v>193900</v>
      </c>
      <c r="D189" s="264" t="s">
        <v>110</v>
      </c>
      <c r="E189" s="245">
        <f>SUMIF('수정사항 집계'!$C:$C,RIGHT($B189,LEN($B189)-11),'수정사항 집계'!L:L)</f>
        <v>0</v>
      </c>
      <c r="F189" s="245">
        <f>SUMIF('수정사항 집계'!$C:$C,RIGHT($B189,LEN($B189)-11),'수정사항 집계'!M:M)</f>
        <v>0</v>
      </c>
      <c r="G189" s="263">
        <f t="shared" si="12"/>
        <v>193900</v>
      </c>
      <c r="H189" s="264"/>
    </row>
    <row r="190" spans="2:9">
      <c r="B190" s="262" t="s">
        <v>728</v>
      </c>
      <c r="C190" s="263">
        <v>7973395</v>
      </c>
      <c r="D190" s="264" t="s">
        <v>110</v>
      </c>
      <c r="E190" s="245">
        <f>SUMIF('수정사항 집계'!$C:$C,RIGHT($B190,LEN($B190)-11),'수정사항 집계'!L:L)</f>
        <v>0</v>
      </c>
      <c r="F190" s="245">
        <f>SUMIF('수정사항 집계'!$C:$C,RIGHT($B190,LEN($B190)-11),'수정사항 집계'!M:M)</f>
        <v>0</v>
      </c>
      <c r="G190" s="263">
        <f t="shared" si="12"/>
        <v>7973395</v>
      </c>
      <c r="H190" s="264"/>
    </row>
    <row r="191" spans="2:9">
      <c r="B191" s="262" t="s">
        <v>727</v>
      </c>
      <c r="C191" s="263">
        <v>477000</v>
      </c>
      <c r="D191" s="264" t="s">
        <v>110</v>
      </c>
      <c r="E191" s="245">
        <f>SUMIF('수정사항 집계'!$C:$C,RIGHT($B191,LEN($B191)-11),'수정사항 집계'!L:L)</f>
        <v>0</v>
      </c>
      <c r="F191" s="245">
        <f>SUMIF('수정사항 집계'!$C:$C,RIGHT($B191,LEN($B191)-11),'수정사항 집계'!M:M)</f>
        <v>0</v>
      </c>
      <c r="G191" s="263">
        <f t="shared" si="12"/>
        <v>477000</v>
      </c>
      <c r="H191" s="264"/>
    </row>
    <row r="192" spans="2:9">
      <c r="B192" s="262" t="s">
        <v>729</v>
      </c>
      <c r="C192" s="263">
        <v>16516830</v>
      </c>
      <c r="D192" s="264" t="s">
        <v>110</v>
      </c>
      <c r="E192" s="245">
        <f>SUMIF('수정사항 집계'!$C:$C,RIGHT($B192,LEN($B192)-11),'수정사항 집계'!L:L)</f>
        <v>0</v>
      </c>
      <c r="F192" s="245">
        <f>SUMIF('수정사항 집계'!$C:$C,RIGHT($B192,LEN($B192)-11),'수정사항 집계'!M:M)</f>
        <v>16516830</v>
      </c>
      <c r="G192" s="263">
        <f t="shared" si="12"/>
        <v>0</v>
      </c>
      <c r="H192" s="264"/>
    </row>
    <row r="193" spans="2:8">
      <c r="B193" s="262" t="s">
        <v>730</v>
      </c>
      <c r="C193" s="263">
        <v>120959317</v>
      </c>
      <c r="D193" s="264" t="s">
        <v>110</v>
      </c>
      <c r="E193" s="245">
        <f>SUMIF('수정사항 집계'!$C:$C,RIGHT($B193,LEN($B193)-11),'수정사항 집계'!L:L)</f>
        <v>140137302</v>
      </c>
      <c r="F193" s="245">
        <f>SUMIF('수정사항 집계'!$C:$C,RIGHT($B193,LEN($B193)-11),'수정사항 집계'!M:M)</f>
        <v>120959317</v>
      </c>
      <c r="G193" s="263">
        <f t="shared" si="12"/>
        <v>140137302</v>
      </c>
      <c r="H193" s="264"/>
    </row>
    <row r="194" spans="2:8">
      <c r="B194" s="262" t="s">
        <v>731</v>
      </c>
      <c r="C194" s="263">
        <v>113132251</v>
      </c>
      <c r="D194" s="264" t="s">
        <v>110</v>
      </c>
      <c r="E194" s="245">
        <f>SUMIF('수정사항 집계'!$C:$C,RIGHT($B194,LEN($B194)-11),'수정사항 집계'!L:L)</f>
        <v>0</v>
      </c>
      <c r="F194" s="245">
        <f>SUMIF('수정사항 집계'!$C:$C,RIGHT($B194,LEN($B194)-11),'수정사항 집계'!M:M)</f>
        <v>0</v>
      </c>
      <c r="G194" s="263">
        <f t="shared" si="12"/>
        <v>113132251</v>
      </c>
      <c r="H194" s="264"/>
    </row>
    <row r="195" spans="2:8">
      <c r="B195" s="262" t="s">
        <v>732</v>
      </c>
      <c r="C195" s="263">
        <v>150000</v>
      </c>
      <c r="D195" s="264" t="s">
        <v>110</v>
      </c>
      <c r="E195" s="245">
        <f>SUMIF('수정사항 집계'!$C:$C,RIGHT($B195,LEN($B195)-11),'수정사항 집계'!L:L)</f>
        <v>0</v>
      </c>
      <c r="F195" s="245">
        <f>SUMIF('수정사항 집계'!$C:$C,RIGHT($B195,LEN($B195)-11),'수정사항 집계'!M:M)</f>
        <v>0</v>
      </c>
      <c r="G195" s="263">
        <f t="shared" si="12"/>
        <v>150000</v>
      </c>
      <c r="H195" s="264"/>
    </row>
    <row r="196" spans="2:8">
      <c r="B196" s="262" t="s">
        <v>733</v>
      </c>
      <c r="C196" s="263">
        <v>24019560</v>
      </c>
      <c r="D196" s="264" t="s">
        <v>110</v>
      </c>
      <c r="E196" s="245">
        <f>SUMIF('수정사항 집계'!$C:$C,RIGHT($B196,LEN($B196)-11),'수정사항 집계'!L:L)</f>
        <v>0</v>
      </c>
      <c r="F196" s="245">
        <f>SUMIF('수정사항 집계'!$C:$C,RIGHT($B196,LEN($B196)-11),'수정사항 집계'!M:M)</f>
        <v>22002020</v>
      </c>
      <c r="G196" s="263">
        <f t="shared" si="12"/>
        <v>2017540</v>
      </c>
      <c r="H196" s="264"/>
    </row>
    <row r="197" spans="2:8">
      <c r="B197" s="262" t="s">
        <v>734</v>
      </c>
      <c r="C197" s="263">
        <v>15000</v>
      </c>
      <c r="D197" s="264" t="s">
        <v>110</v>
      </c>
      <c r="E197" s="245">
        <f>SUMIF('수정사항 집계'!$C:$C,RIGHT($B197,LEN($B197)-11),'수정사항 집계'!L:L)</f>
        <v>0</v>
      </c>
      <c r="F197" s="245">
        <f>SUMIF('수정사항 집계'!$C:$C,RIGHT($B197,LEN($B197)-11),'수정사항 집계'!M:M)</f>
        <v>0</v>
      </c>
      <c r="G197" s="263">
        <f t="shared" si="12"/>
        <v>15000</v>
      </c>
      <c r="H197" s="264"/>
    </row>
    <row r="198" spans="2:8">
      <c r="B198" s="262" t="s">
        <v>735</v>
      </c>
      <c r="C198" s="263">
        <v>3796638</v>
      </c>
      <c r="D198" s="264" t="s">
        <v>110</v>
      </c>
      <c r="E198" s="245">
        <f>SUMIF('수정사항 집계'!$C:$C,RIGHT($B198,LEN($B198)-11),'수정사항 집계'!L:L)</f>
        <v>0</v>
      </c>
      <c r="F198" s="245">
        <f>SUMIF('수정사항 집계'!$C:$C,RIGHT($B198,LEN($B198)-11),'수정사항 집계'!M:M)</f>
        <v>0</v>
      </c>
      <c r="G198" s="263">
        <f t="shared" si="12"/>
        <v>3796638</v>
      </c>
      <c r="H198" s="264"/>
    </row>
    <row r="199" spans="2:8">
      <c r="B199" s="262" t="s">
        <v>736</v>
      </c>
      <c r="C199" s="263">
        <v>220909</v>
      </c>
      <c r="D199" s="264" t="s">
        <v>110</v>
      </c>
      <c r="E199" s="245">
        <f>SUMIF('수정사항 집계'!$C:$C,RIGHT($B199,LEN($B199)-11),'수정사항 집계'!L:L)</f>
        <v>0</v>
      </c>
      <c r="F199" s="245">
        <f>SUMIF('수정사항 집계'!$C:$C,RIGHT($B199,LEN($B199)-11),'수정사항 집계'!M:M)</f>
        <v>0</v>
      </c>
      <c r="G199" s="263">
        <f t="shared" si="12"/>
        <v>220909</v>
      </c>
      <c r="H199" s="264"/>
    </row>
    <row r="200" spans="2:8">
      <c r="B200" s="262" t="s">
        <v>738</v>
      </c>
      <c r="C200" s="263">
        <v>8436558</v>
      </c>
      <c r="D200" s="264" t="s">
        <v>110</v>
      </c>
      <c r="E200" s="245">
        <f>SUMIF('수정사항 집계'!$C:$C,RIGHT($B200,LEN($B200)-11),'수정사항 집계'!L:L)</f>
        <v>0</v>
      </c>
      <c r="F200" s="245">
        <f>SUMIF('수정사항 집계'!$C:$C,RIGHT($B200,LEN($B200)-11),'수정사항 집계'!M:M)</f>
        <v>0</v>
      </c>
      <c r="G200" s="263">
        <f t="shared" si="12"/>
        <v>8436558</v>
      </c>
      <c r="H200" s="264"/>
    </row>
    <row r="201" spans="2:8">
      <c r="B201" s="262" t="s">
        <v>739</v>
      </c>
      <c r="C201" s="263">
        <v>73316890</v>
      </c>
      <c r="D201" s="264" t="s">
        <v>110</v>
      </c>
      <c r="E201" s="245">
        <f>SUMIF('수정사항 집계'!$C:$C,RIGHT($B201,LEN($B201)-11),'수정사항 집계'!L:L)</f>
        <v>0</v>
      </c>
      <c r="F201" s="245">
        <f>SUMIF('수정사항 집계'!$C:$C,RIGHT($B201,LEN($B201)-11),'수정사항 집계'!M:M)</f>
        <v>0</v>
      </c>
      <c r="G201" s="263">
        <f t="shared" si="12"/>
        <v>73316890</v>
      </c>
      <c r="H201" s="264"/>
    </row>
    <row r="202" spans="2:8">
      <c r="B202" s="262" t="s">
        <v>740</v>
      </c>
      <c r="C202" s="263">
        <v>45700000</v>
      </c>
      <c r="D202" s="264" t="s">
        <v>110</v>
      </c>
      <c r="E202" s="245">
        <f>SUMIF('수정사항 집계'!$C:$C,RIGHT($B202,LEN($B202)-11),'수정사항 집계'!L:L)</f>
        <v>0</v>
      </c>
      <c r="F202" s="245">
        <f>SUMIF('수정사항 집계'!$C:$C,RIGHT($B202,LEN($B202)-11),'수정사항 집계'!M:M)</f>
        <v>0</v>
      </c>
      <c r="G202" s="263">
        <f t="shared" si="12"/>
        <v>45700000</v>
      </c>
      <c r="H202" s="264"/>
    </row>
    <row r="203" spans="2:8">
      <c r="B203" s="262" t="s">
        <v>784</v>
      </c>
      <c r="C203" s="263">
        <v>61256145</v>
      </c>
      <c r="D203" s="264" t="s">
        <v>110</v>
      </c>
      <c r="E203" s="245">
        <f>SUMIF('수정사항 집계'!$C:$C,RIGHT($B203,LEN($B203)-11),'수정사항 집계'!L:L)</f>
        <v>54856250</v>
      </c>
      <c r="F203" s="245">
        <f>SUMIF('수정사항 집계'!$C:$C,RIGHT($B203,LEN($B203)-11),'수정사항 집계'!M:M)</f>
        <v>61256145</v>
      </c>
      <c r="G203" s="263">
        <f t="shared" si="12"/>
        <v>54856250</v>
      </c>
      <c r="H203" s="264"/>
    </row>
    <row r="204" spans="2:8">
      <c r="B204" s="262" t="s">
        <v>742</v>
      </c>
      <c r="C204" s="263">
        <v>4173600</v>
      </c>
      <c r="D204" s="264" t="s">
        <v>110</v>
      </c>
      <c r="E204" s="245">
        <f>SUMIF('수정사항 집계'!$C:$C,RIGHT($B204,LEN($B204)-11),'수정사항 집계'!L:L)</f>
        <v>0</v>
      </c>
      <c r="F204" s="245">
        <f>SUMIF('수정사항 집계'!$C:$C,RIGHT($B204,LEN($B204)-11),'수정사항 집계'!M:M)</f>
        <v>0</v>
      </c>
      <c r="G204" s="263">
        <f t="shared" si="12"/>
        <v>4173600</v>
      </c>
      <c r="H204" s="264"/>
    </row>
    <row r="205" spans="2:8">
      <c r="B205" s="262" t="s">
        <v>743</v>
      </c>
      <c r="C205" s="263">
        <v>153268001</v>
      </c>
      <c r="D205" s="264" t="s">
        <v>110</v>
      </c>
      <c r="E205" s="245">
        <f>SUMIF('수정사항 집계'!$C:$C,RIGHT($B205,LEN($B205)-11),'수정사항 집계'!L:L)</f>
        <v>11470833</v>
      </c>
      <c r="F205" s="245">
        <f>SUMIF('수정사항 집계'!$C:$C,RIGHT($B205,LEN($B205)-11),'수정사항 집계'!M:M)</f>
        <v>0</v>
      </c>
      <c r="G205" s="263">
        <f t="shared" si="12"/>
        <v>164738834</v>
      </c>
      <c r="H205" s="264"/>
    </row>
    <row r="206" spans="2:8">
      <c r="B206" s="259" t="s">
        <v>785</v>
      </c>
      <c r="C206" s="260" t="s">
        <v>110</v>
      </c>
      <c r="D206" s="261">
        <f>D182-D183</f>
        <v>-366581464</v>
      </c>
      <c r="E206" s="260"/>
      <c r="F206" s="261"/>
      <c r="G206" s="260"/>
      <c r="H206" s="261">
        <f>H182-H183</f>
        <v>-435526771</v>
      </c>
    </row>
    <row r="207" spans="2:8">
      <c r="B207" s="259" t="s">
        <v>746</v>
      </c>
      <c r="C207" s="260" t="s">
        <v>110</v>
      </c>
      <c r="D207" s="261">
        <v>7264</v>
      </c>
      <c r="E207" s="260"/>
      <c r="F207" s="261"/>
      <c r="G207" s="260"/>
      <c r="H207" s="261">
        <f>SUM(G208:G209)</f>
        <v>3440697</v>
      </c>
    </row>
    <row r="208" spans="2:8">
      <c r="B208" s="262" t="s">
        <v>747</v>
      </c>
      <c r="C208" s="263">
        <v>7241</v>
      </c>
      <c r="D208" s="264" t="s">
        <v>110</v>
      </c>
      <c r="E208" s="245">
        <f>SUMIF('수정사항 집계'!$C:$C,RIGHT($B208,LEN($B208)-11),'수정사항 집계'!L:L)</f>
        <v>0</v>
      </c>
      <c r="F208" s="245">
        <f>SUMIF('수정사항 집계'!$C:$C,RIGHT($B208,LEN($B208)-11),'수정사항 집계'!M:M)</f>
        <v>3433433</v>
      </c>
      <c r="G208" s="263">
        <f t="shared" ref="G208:G209" si="13">C208-E208+F208</f>
        <v>3440674</v>
      </c>
      <c r="H208" s="264"/>
    </row>
    <row r="209" spans="2:9">
      <c r="B209" s="262" t="s">
        <v>748</v>
      </c>
      <c r="C209" s="263">
        <v>23</v>
      </c>
      <c r="D209" s="264" t="s">
        <v>110</v>
      </c>
      <c r="E209" s="263"/>
      <c r="F209" s="264"/>
      <c r="G209" s="263">
        <f t="shared" si="13"/>
        <v>23</v>
      </c>
      <c r="H209" s="264"/>
    </row>
    <row r="210" spans="2:9">
      <c r="B210" s="259" t="s">
        <v>749</v>
      </c>
      <c r="C210" s="260" t="s">
        <v>110</v>
      </c>
      <c r="D210" s="261">
        <v>50000</v>
      </c>
      <c r="E210" s="260"/>
      <c r="F210" s="261"/>
      <c r="G210" s="260"/>
      <c r="H210" s="261">
        <f>SUM(G211:G212)</f>
        <v>7300829</v>
      </c>
    </row>
    <row r="211" spans="2:9">
      <c r="B211" s="268" t="s">
        <v>753</v>
      </c>
      <c r="C211" s="269"/>
      <c r="D211" s="270" t="s">
        <v>110</v>
      </c>
      <c r="E211" s="251">
        <f>SUMIF('수정사항 집계'!$C:$C,RIGHT($B211,LEN($B211)-11),'수정사항 집계'!L:L)</f>
        <v>7250829</v>
      </c>
      <c r="F211" s="251">
        <f>SUMIF('수정사항 집계'!$C:$C,RIGHT($B211,LEN($B211)-11),'수정사항 집계'!M:M)</f>
        <v>0</v>
      </c>
      <c r="G211" s="269">
        <f t="shared" ref="G211:G212" si="14">C211+E211-F211</f>
        <v>7250829</v>
      </c>
      <c r="H211" s="270"/>
      <c r="I211" s="271" t="s">
        <v>763</v>
      </c>
    </row>
    <row r="212" spans="2:9">
      <c r="B212" s="262" t="s">
        <v>754</v>
      </c>
      <c r="C212" s="263">
        <v>50000</v>
      </c>
      <c r="D212" s="264" t="s">
        <v>110</v>
      </c>
      <c r="E212" s="263"/>
      <c r="F212" s="264"/>
      <c r="G212" s="263">
        <f t="shared" si="14"/>
        <v>50000</v>
      </c>
      <c r="H212" s="264"/>
    </row>
    <row r="213" spans="2:9">
      <c r="B213" s="259" t="s">
        <v>787</v>
      </c>
      <c r="C213" s="260" t="s">
        <v>110</v>
      </c>
      <c r="D213" s="261">
        <f>D206+D207-D210</f>
        <v>-366624200</v>
      </c>
      <c r="E213" s="260"/>
      <c r="F213" s="261"/>
      <c r="G213" s="260"/>
      <c r="H213" s="261">
        <f>H206+H207-H210</f>
        <v>-439386903</v>
      </c>
    </row>
    <row r="214" spans="2:9">
      <c r="B214" s="259" t="s">
        <v>756</v>
      </c>
      <c r="C214" s="260" t="s">
        <v>110</v>
      </c>
      <c r="D214" s="260">
        <v>0</v>
      </c>
      <c r="E214" s="260"/>
      <c r="F214" s="260"/>
      <c r="G214" s="260"/>
      <c r="H214" s="260">
        <f>D214</f>
        <v>0</v>
      </c>
    </row>
    <row r="215" spans="2:9">
      <c r="B215" s="259" t="s">
        <v>757</v>
      </c>
      <c r="C215" s="260" t="s">
        <v>110</v>
      </c>
      <c r="D215" s="273">
        <f>D213-D214</f>
        <v>-366624200</v>
      </c>
      <c r="E215" s="260"/>
      <c r="F215" s="273"/>
      <c r="G215" s="260"/>
      <c r="H215" s="273">
        <f>H213-H214</f>
        <v>-439386903</v>
      </c>
      <c r="I215" s="274">
        <f>D215-H215</f>
        <v>72762703</v>
      </c>
    </row>
    <row r="217" spans="2:9">
      <c r="B217" s="258" t="s">
        <v>794</v>
      </c>
    </row>
    <row r="218" spans="2:9">
      <c r="B218" s="379" t="s">
        <v>645</v>
      </c>
      <c r="C218" s="379" t="s">
        <v>759</v>
      </c>
      <c r="D218" s="379"/>
      <c r="E218" s="368" t="s">
        <v>647</v>
      </c>
      <c r="F218" s="368"/>
      <c r="G218" s="370" t="s">
        <v>648</v>
      </c>
      <c r="H218" s="371"/>
    </row>
    <row r="219" spans="2:9">
      <c r="B219" s="379"/>
      <c r="C219" s="379" t="s">
        <v>760</v>
      </c>
      <c r="D219" s="379"/>
      <c r="E219" s="228" t="s">
        <v>649</v>
      </c>
      <c r="F219" s="228" t="s">
        <v>650</v>
      </c>
      <c r="G219" s="372"/>
      <c r="H219" s="373"/>
    </row>
    <row r="220" spans="2:9">
      <c r="B220" s="259" t="s">
        <v>708</v>
      </c>
      <c r="C220" s="260" t="s">
        <v>110</v>
      </c>
      <c r="D220" s="261">
        <v>1496114200</v>
      </c>
      <c r="E220" s="260"/>
      <c r="F220" s="261"/>
      <c r="G220" s="260"/>
      <c r="H220" s="261">
        <f>D220</f>
        <v>1496114200</v>
      </c>
    </row>
    <row r="221" spans="2:9">
      <c r="B221" s="262" t="s">
        <v>709</v>
      </c>
      <c r="C221" s="263">
        <v>1496114200</v>
      </c>
      <c r="D221" s="264" t="s">
        <v>110</v>
      </c>
      <c r="E221" s="263"/>
      <c r="F221" s="264"/>
      <c r="G221" s="263">
        <f>C221</f>
        <v>1496114200</v>
      </c>
      <c r="H221" s="264"/>
    </row>
    <row r="222" spans="2:9">
      <c r="B222" s="259" t="s">
        <v>712</v>
      </c>
      <c r="C222" s="260" t="s">
        <v>110</v>
      </c>
      <c r="D222" s="261">
        <v>467936664</v>
      </c>
      <c r="E222" s="260"/>
      <c r="F222" s="261"/>
      <c r="G222" s="260"/>
      <c r="H222" s="261">
        <f>H223</f>
        <v>467936664</v>
      </c>
    </row>
    <row r="223" spans="2:9">
      <c r="B223" s="265" t="s">
        <v>713</v>
      </c>
      <c r="C223" s="266" t="s">
        <v>110</v>
      </c>
      <c r="D223" s="267">
        <v>467936664</v>
      </c>
      <c r="E223" s="266"/>
      <c r="F223" s="267"/>
      <c r="G223" s="266"/>
      <c r="H223" s="267">
        <f>D223</f>
        <v>467936664</v>
      </c>
    </row>
    <row r="224" spans="2:9">
      <c r="B224" s="262" t="s">
        <v>714</v>
      </c>
      <c r="C224" s="264">
        <v>0</v>
      </c>
      <c r="D224" s="264" t="s">
        <v>110</v>
      </c>
      <c r="E224" s="264"/>
      <c r="F224" s="264"/>
      <c r="G224" s="264">
        <f>C224</f>
        <v>0</v>
      </c>
      <c r="H224" s="264"/>
    </row>
    <row r="225" spans="2:8">
      <c r="B225" s="262" t="s">
        <v>715</v>
      </c>
      <c r="C225" s="263">
        <v>467936664</v>
      </c>
      <c r="D225" s="264" t="s">
        <v>110</v>
      </c>
      <c r="E225" s="263"/>
      <c r="F225" s="264"/>
      <c r="G225" s="263">
        <f>C225</f>
        <v>467936664</v>
      </c>
      <c r="H225" s="264"/>
    </row>
    <row r="226" spans="2:8">
      <c r="B226" s="262" t="s">
        <v>716</v>
      </c>
      <c r="C226" s="264">
        <v>0</v>
      </c>
      <c r="D226" s="264" t="s">
        <v>110</v>
      </c>
      <c r="E226" s="264"/>
      <c r="F226" s="264"/>
      <c r="G226" s="264">
        <f>C226</f>
        <v>0</v>
      </c>
      <c r="H226" s="264"/>
    </row>
    <row r="227" spans="2:8">
      <c r="B227" s="259" t="s">
        <v>790</v>
      </c>
      <c r="C227" s="260" t="s">
        <v>110</v>
      </c>
      <c r="D227" s="261">
        <f>D220-D222</f>
        <v>1028177536</v>
      </c>
      <c r="E227" s="260"/>
      <c r="F227" s="261"/>
      <c r="G227" s="260"/>
      <c r="H227" s="261">
        <f>H220-H222</f>
        <v>1028177536</v>
      </c>
    </row>
    <row r="228" spans="2:8">
      <c r="B228" s="259" t="s">
        <v>718</v>
      </c>
      <c r="C228" s="260" t="s">
        <v>110</v>
      </c>
      <c r="D228" s="261">
        <f>SUM(C229:C247)</f>
        <v>877184149</v>
      </c>
      <c r="E228" s="260"/>
      <c r="F228" s="261"/>
      <c r="G228" s="260"/>
      <c r="H228" s="261">
        <f>SUM(G229:G247)</f>
        <v>904523720</v>
      </c>
    </row>
    <row r="229" spans="2:8">
      <c r="B229" s="262" t="s">
        <v>719</v>
      </c>
      <c r="C229" s="263">
        <v>316760544</v>
      </c>
      <c r="D229" s="264" t="s">
        <v>110</v>
      </c>
      <c r="E229" s="245">
        <f>SUMIF('수정사항 집계'!$C:$C,RIGHT($B229,LEN($B229)-11),'수정사항 집계'!N:N)</f>
        <v>0</v>
      </c>
      <c r="F229" s="245">
        <f>SUMIF('수정사항 집계'!$C:$C,RIGHT($B229,LEN($B229)-11),'수정사항 집계'!O:O)</f>
        <v>0</v>
      </c>
      <c r="G229" s="263">
        <f t="shared" ref="G229:G247" si="15">C229+E229-F229</f>
        <v>316760544</v>
      </c>
      <c r="H229" s="264"/>
    </row>
    <row r="230" spans="2:8">
      <c r="B230" s="262" t="s">
        <v>721</v>
      </c>
      <c r="C230" s="263">
        <v>61659000</v>
      </c>
      <c r="D230" s="264" t="s">
        <v>110</v>
      </c>
      <c r="E230" s="245">
        <f>SUMIF('수정사항 집계'!$C:$C,RIGHT($B230,LEN($B230)-11),'수정사항 집계'!N:N)</f>
        <v>0</v>
      </c>
      <c r="F230" s="245">
        <f>SUMIF('수정사항 집계'!$C:$C,RIGHT($B230,LEN($B230)-11),'수정사항 집계'!O:O)</f>
        <v>0</v>
      </c>
      <c r="G230" s="263">
        <f t="shared" si="15"/>
        <v>61659000</v>
      </c>
      <c r="H230" s="264"/>
    </row>
    <row r="231" spans="2:8">
      <c r="B231" s="262" t="s">
        <v>722</v>
      </c>
      <c r="C231" s="263">
        <v>586521</v>
      </c>
      <c r="D231" s="264" t="s">
        <v>110</v>
      </c>
      <c r="E231" s="245">
        <f>SUMIF('수정사항 집계'!$C:$C,RIGHT($B231,LEN($B231)-11),'수정사항 집계'!N:N)</f>
        <v>0</v>
      </c>
      <c r="F231" s="245">
        <f>SUMIF('수정사항 집계'!$C:$C,RIGHT($B231,LEN($B231)-11),'수정사항 집계'!O:O)</f>
        <v>0</v>
      </c>
      <c r="G231" s="263">
        <f t="shared" si="15"/>
        <v>586521</v>
      </c>
      <c r="H231" s="264"/>
    </row>
    <row r="232" spans="2:8">
      <c r="B232" s="262" t="s">
        <v>723</v>
      </c>
      <c r="C232" s="263">
        <v>341020</v>
      </c>
      <c r="D232" s="264" t="s">
        <v>110</v>
      </c>
      <c r="E232" s="245">
        <f>SUMIF('수정사항 집계'!$C:$C,RIGHT($B232,LEN($B232)-11),'수정사항 집계'!N:N)</f>
        <v>29792290</v>
      </c>
      <c r="F232" s="245">
        <f>SUMIF('수정사항 집계'!$C:$C,RIGHT($B232,LEN($B232)-11),'수정사항 집계'!O:O)</f>
        <v>0</v>
      </c>
      <c r="G232" s="263">
        <f t="shared" si="15"/>
        <v>30133310</v>
      </c>
      <c r="H232" s="264"/>
    </row>
    <row r="233" spans="2:8">
      <c r="B233" s="262" t="s">
        <v>724</v>
      </c>
      <c r="C233" s="263">
        <v>59800</v>
      </c>
      <c r="D233" s="264" t="s">
        <v>110</v>
      </c>
      <c r="E233" s="245">
        <f>SUMIF('수정사항 집계'!$C:$C,RIGHT($B233,LEN($B233)-11),'수정사항 집계'!N:N)</f>
        <v>0</v>
      </c>
      <c r="F233" s="245">
        <f>SUMIF('수정사항 집계'!$C:$C,RIGHT($B233,LEN($B233)-11),'수정사항 집계'!O:O)</f>
        <v>0</v>
      </c>
      <c r="G233" s="263">
        <f t="shared" si="15"/>
        <v>59800</v>
      </c>
      <c r="H233" s="264"/>
    </row>
    <row r="234" spans="2:8">
      <c r="B234" s="262" t="s">
        <v>726</v>
      </c>
      <c r="C234" s="263">
        <v>357510</v>
      </c>
      <c r="D234" s="264" t="s">
        <v>110</v>
      </c>
      <c r="E234" s="245">
        <f>SUMIF('수정사항 집계'!$C:$C,RIGHT($B234,LEN($B234)-11),'수정사항 집계'!N:N)</f>
        <v>0</v>
      </c>
      <c r="F234" s="245">
        <f>SUMIF('수정사항 집계'!$C:$C,RIGHT($B234,LEN($B234)-11),'수정사항 집계'!O:O)</f>
        <v>0</v>
      </c>
      <c r="G234" s="263">
        <f t="shared" si="15"/>
        <v>357510</v>
      </c>
      <c r="H234" s="264"/>
    </row>
    <row r="235" spans="2:8">
      <c r="B235" s="262" t="s">
        <v>728</v>
      </c>
      <c r="C235" s="263">
        <v>8019989</v>
      </c>
      <c r="D235" s="264" t="s">
        <v>110</v>
      </c>
      <c r="E235" s="245">
        <f>SUMIF('수정사항 집계'!$C:$C,RIGHT($B235,LEN($B235)-11),'수정사항 집계'!N:N)</f>
        <v>0</v>
      </c>
      <c r="F235" s="245">
        <f>SUMIF('수정사항 집계'!$C:$C,RIGHT($B235,LEN($B235)-11),'수정사항 집계'!O:O)</f>
        <v>0</v>
      </c>
      <c r="G235" s="263">
        <f t="shared" si="15"/>
        <v>8019989</v>
      </c>
      <c r="H235" s="264"/>
    </row>
    <row r="236" spans="2:8">
      <c r="B236" s="262" t="s">
        <v>727</v>
      </c>
      <c r="C236" s="263">
        <v>1041340</v>
      </c>
      <c r="D236" s="264" t="s">
        <v>110</v>
      </c>
      <c r="E236" s="245">
        <f>SUMIF('수정사항 집계'!$C:$C,RIGHT($B236,LEN($B236)-11),'수정사항 집계'!N:N)</f>
        <v>0</v>
      </c>
      <c r="F236" s="245">
        <f>SUMIF('수정사항 집계'!$C:$C,RIGHT($B236,LEN($B236)-11),'수정사항 집계'!O:O)</f>
        <v>0</v>
      </c>
      <c r="G236" s="263">
        <f t="shared" si="15"/>
        <v>1041340</v>
      </c>
      <c r="H236" s="264"/>
    </row>
    <row r="237" spans="2:8">
      <c r="B237" s="262" t="s">
        <v>729</v>
      </c>
      <c r="C237" s="263">
        <v>12157460</v>
      </c>
      <c r="D237" s="264" t="s">
        <v>110</v>
      </c>
      <c r="E237" s="245">
        <f>SUMIF('수정사항 집계'!$C:$C,RIGHT($B237,LEN($B237)-11),'수정사항 집계'!N:N)</f>
        <v>0</v>
      </c>
      <c r="F237" s="245">
        <f>SUMIF('수정사항 집계'!$C:$C,RIGHT($B237,LEN($B237)-11),'수정사항 집계'!O:O)</f>
        <v>12157460</v>
      </c>
      <c r="G237" s="263">
        <f t="shared" si="15"/>
        <v>0</v>
      </c>
      <c r="H237" s="264"/>
    </row>
    <row r="238" spans="2:8">
      <c r="B238" s="262" t="s">
        <v>730</v>
      </c>
      <c r="C238" s="263">
        <v>66311519</v>
      </c>
      <c r="D238" s="264" t="s">
        <v>110</v>
      </c>
      <c r="E238" s="245">
        <f>SUMIF('수정사항 집계'!$C:$C,RIGHT($B238,LEN($B238)-11),'수정사항 집계'!N:N)</f>
        <v>78493894</v>
      </c>
      <c r="F238" s="245">
        <f>SUMIF('수정사항 집계'!$C:$C,RIGHT($B238,LEN($B238)-11),'수정사항 집계'!O:O)</f>
        <v>66311519</v>
      </c>
      <c r="G238" s="263">
        <f t="shared" si="15"/>
        <v>78493894</v>
      </c>
      <c r="H238" s="264"/>
    </row>
    <row r="239" spans="2:8">
      <c r="B239" s="262" t="s">
        <v>731</v>
      </c>
      <c r="C239" s="263">
        <v>121491172</v>
      </c>
      <c r="D239" s="264" t="s">
        <v>110</v>
      </c>
      <c r="E239" s="245">
        <f>SUMIF('수정사항 집계'!$C:$C,RIGHT($B239,LEN($B239)-11),'수정사항 집계'!N:N)</f>
        <v>0</v>
      </c>
      <c r="F239" s="245">
        <f>SUMIF('수정사항 집계'!$C:$C,RIGHT($B239,LEN($B239)-11),'수정사항 집계'!O:O)</f>
        <v>0</v>
      </c>
      <c r="G239" s="263">
        <f t="shared" si="15"/>
        <v>121491172</v>
      </c>
      <c r="H239" s="264"/>
    </row>
    <row r="240" spans="2:8">
      <c r="B240" s="262" t="s">
        <v>733</v>
      </c>
      <c r="C240" s="263">
        <v>14374674</v>
      </c>
      <c r="D240" s="264" t="s">
        <v>110</v>
      </c>
      <c r="E240" s="245">
        <f>SUMIF('수정사항 집계'!$C:$C,RIGHT($B240,LEN($B240)-11),'수정사항 집계'!N:N)</f>
        <v>0</v>
      </c>
      <c r="F240" s="245">
        <f>SUMIF('수정사항 집계'!$C:$C,RIGHT($B240,LEN($B240)-11),'수정사항 집계'!O:O)</f>
        <v>12920330</v>
      </c>
      <c r="G240" s="263">
        <f t="shared" si="15"/>
        <v>1454344</v>
      </c>
      <c r="H240" s="264"/>
    </row>
    <row r="241" spans="2:9">
      <c r="B241" s="262" t="s">
        <v>735</v>
      </c>
      <c r="C241" s="263">
        <v>1215000</v>
      </c>
      <c r="D241" s="264" t="s">
        <v>110</v>
      </c>
      <c r="E241" s="245">
        <f>SUMIF('수정사항 집계'!$C:$C,RIGHT($B241,LEN($B241)-11),'수정사항 집계'!N:N)</f>
        <v>0</v>
      </c>
      <c r="F241" s="245">
        <f>SUMIF('수정사항 집계'!$C:$C,RIGHT($B241,LEN($B241)-11),'수정사항 집계'!O:O)</f>
        <v>0</v>
      </c>
      <c r="G241" s="263">
        <f t="shared" si="15"/>
        <v>1215000</v>
      </c>
      <c r="H241" s="264"/>
    </row>
    <row r="242" spans="2:9">
      <c r="B242" s="262" t="s">
        <v>738</v>
      </c>
      <c r="C242" s="263">
        <v>7088115</v>
      </c>
      <c r="D242" s="264" t="s">
        <v>110</v>
      </c>
      <c r="E242" s="245">
        <f>SUMIF('수정사항 집계'!$C:$C,RIGHT($B242,LEN($B242)-11),'수정사항 집계'!N:N)</f>
        <v>0</v>
      </c>
      <c r="F242" s="245">
        <f>SUMIF('수정사항 집계'!$C:$C,RIGHT($B242,LEN($B242)-11),'수정사항 집계'!O:O)</f>
        <v>0</v>
      </c>
      <c r="G242" s="263">
        <f t="shared" si="15"/>
        <v>7088115</v>
      </c>
      <c r="H242" s="264"/>
    </row>
    <row r="243" spans="2:9">
      <c r="B243" s="262" t="s">
        <v>739</v>
      </c>
      <c r="C243" s="263">
        <v>15859781</v>
      </c>
      <c r="D243" s="264" t="s">
        <v>110</v>
      </c>
      <c r="E243" s="245">
        <f>SUMIF('수정사항 집계'!$C:$C,RIGHT($B243,LEN($B243)-11),'수정사항 집계'!N:N)</f>
        <v>0</v>
      </c>
      <c r="F243" s="245">
        <f>SUMIF('수정사항 집계'!$C:$C,RIGHT($B243,LEN($B243)-11),'수정사항 집계'!O:O)</f>
        <v>0</v>
      </c>
      <c r="G243" s="263">
        <f t="shared" si="15"/>
        <v>15859781</v>
      </c>
      <c r="H243" s="264"/>
    </row>
    <row r="244" spans="2:9">
      <c r="B244" s="262" t="s">
        <v>784</v>
      </c>
      <c r="C244" s="263">
        <v>31872262</v>
      </c>
      <c r="D244" s="264" t="s">
        <v>110</v>
      </c>
      <c r="E244" s="245">
        <f>SUMIF('수정사항 집계'!$C:$C,RIGHT($B244,LEN($B244)-11),'수정사항 집계'!N:N)</f>
        <v>30844125</v>
      </c>
      <c r="F244" s="245">
        <f>SUMIF('수정사항 집계'!$C:$C,RIGHT($B244,LEN($B244)-11),'수정사항 집계'!O:O)</f>
        <v>31872262</v>
      </c>
      <c r="G244" s="263">
        <f t="shared" si="15"/>
        <v>30844125</v>
      </c>
      <c r="H244" s="264"/>
    </row>
    <row r="245" spans="2:9">
      <c r="B245" s="262" t="s">
        <v>742</v>
      </c>
      <c r="C245" s="263">
        <v>5440800</v>
      </c>
      <c r="D245" s="264" t="s">
        <v>110</v>
      </c>
      <c r="E245" s="245">
        <f>SUMIF('수정사항 집계'!$C:$C,RIGHT($B245,LEN($B245)-11),'수정사항 집계'!N:N)</f>
        <v>0</v>
      </c>
      <c r="F245" s="245">
        <f>SUMIF('수정사항 집계'!$C:$C,RIGHT($B245,LEN($B245)-11),'수정사항 집계'!O:O)</f>
        <v>0</v>
      </c>
      <c r="G245" s="263">
        <f t="shared" si="15"/>
        <v>5440800</v>
      </c>
      <c r="H245" s="264"/>
    </row>
    <row r="246" spans="2:9">
      <c r="B246" s="262" t="s">
        <v>795</v>
      </c>
      <c r="C246" s="263">
        <v>155577642</v>
      </c>
      <c r="D246" s="264" t="s">
        <v>110</v>
      </c>
      <c r="E246" s="245">
        <f>SUMIF('수정사항 집계'!$C:$C,RIGHT($B246,LEN($B246)-11),'수정사항 집계'!N:N)</f>
        <v>11470833</v>
      </c>
      <c r="F246" s="245">
        <f>SUMIF('수정사항 집계'!$C:$C,RIGHT($B246,LEN($B246)-11),'수정사항 집계'!O:O)</f>
        <v>0</v>
      </c>
      <c r="G246" s="263">
        <f t="shared" si="15"/>
        <v>167048475</v>
      </c>
      <c r="H246" s="264"/>
    </row>
    <row r="247" spans="2:9">
      <c r="B247" s="262" t="s">
        <v>744</v>
      </c>
      <c r="C247" s="263">
        <v>56970000</v>
      </c>
      <c r="D247" s="264" t="s">
        <v>110</v>
      </c>
      <c r="E247" s="245">
        <f>SUMIF('수정사항 집계'!$C:$C,RIGHT($B247,LEN($B247)-11),'수정사항 집계'!N:N)</f>
        <v>0</v>
      </c>
      <c r="F247" s="245">
        <f>SUMIF('수정사항 집계'!$C:$C,RIGHT($B247,LEN($B247)-11),'수정사항 집계'!O:O)</f>
        <v>0</v>
      </c>
      <c r="G247" s="263">
        <f t="shared" si="15"/>
        <v>56970000</v>
      </c>
      <c r="H247" s="264"/>
    </row>
    <row r="248" spans="2:9">
      <c r="B248" s="259" t="s">
        <v>745</v>
      </c>
      <c r="C248" s="260" t="s">
        <v>110</v>
      </c>
      <c r="D248" s="261">
        <f>D227-D228</f>
        <v>150993387</v>
      </c>
      <c r="E248" s="260"/>
      <c r="F248" s="261"/>
      <c r="G248" s="260"/>
      <c r="H248" s="261">
        <f>H227-H228</f>
        <v>123653816</v>
      </c>
    </row>
    <row r="249" spans="2:9">
      <c r="B249" s="259" t="s">
        <v>746</v>
      </c>
      <c r="C249" s="260" t="s">
        <v>110</v>
      </c>
      <c r="D249" s="261">
        <f>SUM(C250:C251)</f>
        <v>285126</v>
      </c>
      <c r="E249" s="260"/>
      <c r="F249" s="261"/>
      <c r="G249" s="260"/>
      <c r="H249" s="261">
        <f>SUM(G250:G251)</f>
        <v>982402</v>
      </c>
    </row>
    <row r="250" spans="2:9">
      <c r="B250" s="262" t="s">
        <v>747</v>
      </c>
      <c r="C250" s="263">
        <v>35096</v>
      </c>
      <c r="D250" s="264" t="s">
        <v>110</v>
      </c>
      <c r="E250" s="245">
        <f>SUMIF('수정사항 집계'!$C:$C,RIGHT($B250,LEN($B250)-11),'수정사항 집계'!N:N)</f>
        <v>0</v>
      </c>
      <c r="F250" s="245">
        <f>SUMIF('수정사항 집계'!$C:$C,RIGHT($B250,LEN($B250)-11),'수정사항 집계'!O:O)</f>
        <v>697276</v>
      </c>
      <c r="G250" s="263">
        <f t="shared" ref="G250:G251" si="16">C250-E250+F250</f>
        <v>732372</v>
      </c>
      <c r="H250" s="264"/>
    </row>
    <row r="251" spans="2:9">
      <c r="B251" s="262" t="s">
        <v>748</v>
      </c>
      <c r="C251" s="263">
        <v>250030</v>
      </c>
      <c r="D251" s="264" t="s">
        <v>110</v>
      </c>
      <c r="E251" s="263"/>
      <c r="F251" s="264"/>
      <c r="G251" s="263">
        <f t="shared" si="16"/>
        <v>250030</v>
      </c>
      <c r="H251" s="264"/>
    </row>
    <row r="252" spans="2:9">
      <c r="B252" s="259" t="s">
        <v>749</v>
      </c>
      <c r="C252" s="260" t="s">
        <v>110</v>
      </c>
      <c r="D252" s="260">
        <v>0</v>
      </c>
      <c r="E252" s="260"/>
      <c r="F252" s="260"/>
      <c r="G252" s="260"/>
      <c r="H252" s="261">
        <f>G253</f>
        <v>5104995</v>
      </c>
    </row>
    <row r="253" spans="2:9">
      <c r="B253" s="268" t="s">
        <v>753</v>
      </c>
      <c r="C253" s="269"/>
      <c r="D253" s="270" t="s">
        <v>110</v>
      </c>
      <c r="E253" s="251">
        <f>SUMIF('수정사항 집계'!$C:$C,RIGHT($B253,LEN($B253)-11),'수정사항 집계'!N:N)</f>
        <v>5104995</v>
      </c>
      <c r="F253" s="251">
        <f>SUMIF('수정사항 집계'!$C:$C,RIGHT($B253,LEN($B253)-11),'수정사항 집계'!O:O)</f>
        <v>0</v>
      </c>
      <c r="G253" s="269">
        <f t="shared" ref="G253" si="17">C253+E253-F253</f>
        <v>5104995</v>
      </c>
      <c r="H253" s="270"/>
      <c r="I253" s="271" t="s">
        <v>763</v>
      </c>
    </row>
    <row r="254" spans="2:9">
      <c r="B254" s="259" t="s">
        <v>755</v>
      </c>
      <c r="C254" s="260" t="s">
        <v>110</v>
      </c>
      <c r="D254" s="261">
        <v>151278513</v>
      </c>
      <c r="E254" s="260"/>
      <c r="F254" s="261"/>
      <c r="G254" s="260"/>
      <c r="H254" s="261">
        <f>H248+H249-H252</f>
        <v>119531223</v>
      </c>
    </row>
    <row r="255" spans="2:9">
      <c r="B255" s="259" t="s">
        <v>756</v>
      </c>
      <c r="C255" s="260" t="s">
        <v>110</v>
      </c>
      <c r="D255" s="260">
        <v>0</v>
      </c>
      <c r="E255" s="260"/>
      <c r="F255" s="260"/>
      <c r="G255" s="260"/>
      <c r="H255" s="260">
        <f>D255</f>
        <v>0</v>
      </c>
    </row>
    <row r="256" spans="2:9">
      <c r="B256" s="259" t="s">
        <v>788</v>
      </c>
      <c r="C256" s="260" t="s">
        <v>110</v>
      </c>
      <c r="D256" s="261">
        <f>D254-D255</f>
        <v>151278513</v>
      </c>
      <c r="E256" s="260"/>
      <c r="F256" s="261"/>
      <c r="G256" s="260"/>
      <c r="H256" s="261">
        <f>H254-H255</f>
        <v>119531223</v>
      </c>
      <c r="I256" s="58">
        <f>D256-H256</f>
        <v>31747290</v>
      </c>
    </row>
    <row r="258" spans="2:8">
      <c r="B258" s="258" t="s">
        <v>796</v>
      </c>
    </row>
    <row r="259" spans="2:8">
      <c r="B259" s="379" t="s">
        <v>645</v>
      </c>
      <c r="C259" s="379" t="s">
        <v>779</v>
      </c>
      <c r="D259" s="379"/>
      <c r="E259" s="368" t="s">
        <v>647</v>
      </c>
      <c r="F259" s="368"/>
      <c r="G259" s="370" t="s">
        <v>648</v>
      </c>
      <c r="H259" s="371"/>
    </row>
    <row r="260" spans="2:8">
      <c r="B260" s="379"/>
      <c r="C260" s="379" t="s">
        <v>760</v>
      </c>
      <c r="D260" s="379"/>
      <c r="E260" s="228" t="s">
        <v>649</v>
      </c>
      <c r="F260" s="228" t="s">
        <v>650</v>
      </c>
      <c r="G260" s="372"/>
      <c r="H260" s="373"/>
    </row>
    <row r="261" spans="2:8">
      <c r="B261" s="259" t="s">
        <v>708</v>
      </c>
      <c r="C261" s="260" t="s">
        <v>110</v>
      </c>
      <c r="D261" s="261">
        <v>19007273</v>
      </c>
      <c r="E261" s="260"/>
      <c r="F261" s="261"/>
      <c r="G261" s="260"/>
      <c r="H261" s="261">
        <f>D261</f>
        <v>19007273</v>
      </c>
    </row>
    <row r="262" spans="2:8">
      <c r="B262" s="262" t="s">
        <v>709</v>
      </c>
      <c r="C262" s="263">
        <v>19007273</v>
      </c>
      <c r="D262" s="264" t="s">
        <v>110</v>
      </c>
      <c r="E262" s="263"/>
      <c r="F262" s="264"/>
      <c r="G262" s="263">
        <f>C262</f>
        <v>19007273</v>
      </c>
      <c r="H262" s="264"/>
    </row>
    <row r="263" spans="2:8">
      <c r="B263" s="259" t="s">
        <v>712</v>
      </c>
      <c r="C263" s="260" t="s">
        <v>110</v>
      </c>
      <c r="D263" s="261">
        <v>15917676</v>
      </c>
      <c r="E263" s="260"/>
      <c r="F263" s="261"/>
      <c r="G263" s="260"/>
      <c r="H263" s="261">
        <f>H264</f>
        <v>15917676</v>
      </c>
    </row>
    <row r="264" spans="2:8">
      <c r="B264" s="265" t="s">
        <v>713</v>
      </c>
      <c r="C264" s="266" t="s">
        <v>110</v>
      </c>
      <c r="D264" s="267">
        <v>15917676</v>
      </c>
      <c r="E264" s="266"/>
      <c r="F264" s="267"/>
      <c r="G264" s="266"/>
      <c r="H264" s="267">
        <f>D264</f>
        <v>15917676</v>
      </c>
    </row>
    <row r="265" spans="2:8">
      <c r="B265" s="262" t="s">
        <v>714</v>
      </c>
      <c r="C265" s="264">
        <v>0</v>
      </c>
      <c r="D265" s="264" t="s">
        <v>110</v>
      </c>
      <c r="E265" s="264"/>
      <c r="F265" s="264"/>
      <c r="G265" s="264">
        <f>C265</f>
        <v>0</v>
      </c>
      <c r="H265" s="264"/>
    </row>
    <row r="266" spans="2:8">
      <c r="B266" s="262" t="s">
        <v>715</v>
      </c>
      <c r="C266" s="263">
        <v>15917676</v>
      </c>
      <c r="D266" s="264" t="s">
        <v>110</v>
      </c>
      <c r="E266" s="263"/>
      <c r="F266" s="264"/>
      <c r="G266" s="263">
        <f>C266</f>
        <v>15917676</v>
      </c>
      <c r="H266" s="264"/>
    </row>
    <row r="267" spans="2:8">
      <c r="B267" s="262" t="s">
        <v>716</v>
      </c>
      <c r="C267" s="264">
        <v>0</v>
      </c>
      <c r="D267" s="264" t="s">
        <v>110</v>
      </c>
      <c r="E267" s="264"/>
      <c r="F267" s="264"/>
      <c r="G267" s="264">
        <f>C267</f>
        <v>0</v>
      </c>
      <c r="H267" s="264"/>
    </row>
    <row r="268" spans="2:8">
      <c r="B268" s="259" t="s">
        <v>790</v>
      </c>
      <c r="C268" s="260" t="s">
        <v>110</v>
      </c>
      <c r="D268" s="261">
        <f>D261-D263</f>
        <v>3089597</v>
      </c>
      <c r="E268" s="260"/>
      <c r="F268" s="261"/>
      <c r="G268" s="260"/>
      <c r="H268" s="261">
        <f>H261-H263</f>
        <v>3089597</v>
      </c>
    </row>
    <row r="269" spans="2:8">
      <c r="B269" s="259" t="s">
        <v>718</v>
      </c>
      <c r="C269" s="260" t="s">
        <v>110</v>
      </c>
      <c r="D269" s="261">
        <f>SUM(C270:C277)</f>
        <v>12737540</v>
      </c>
      <c r="E269" s="260"/>
      <c r="F269" s="261"/>
      <c r="G269" s="260"/>
      <c r="H269" s="261">
        <f>SUM(G270:G277)</f>
        <v>15521823</v>
      </c>
    </row>
    <row r="270" spans="2:8">
      <c r="B270" s="262" t="s">
        <v>719</v>
      </c>
      <c r="C270" s="263">
        <v>6612266</v>
      </c>
      <c r="D270" s="264" t="s">
        <v>110</v>
      </c>
      <c r="E270" s="245">
        <f>SUMIF('수정사항 집계'!$C:$C,RIGHT($B270,LEN($B270)-11),'수정사항 집계'!P:P)</f>
        <v>0</v>
      </c>
      <c r="F270" s="245">
        <f>SUMIF('수정사항 집계'!$C:$C,RIGHT($B270,LEN($B270)-11),'수정사항 집계'!Q:Q)</f>
        <v>0</v>
      </c>
      <c r="G270" s="263">
        <f t="shared" ref="G270:G277" si="18">C270+E270-F270</f>
        <v>6612266</v>
      </c>
      <c r="H270" s="264"/>
    </row>
    <row r="271" spans="2:8">
      <c r="B271" s="262" t="s">
        <v>723</v>
      </c>
      <c r="C271" s="263">
        <v>85700</v>
      </c>
      <c r="D271" s="264" t="s">
        <v>110</v>
      </c>
      <c r="E271" s="245">
        <f>SUMIF('수정사항 집계'!$C:$C,RIGHT($B271,LEN($B271)-11),'수정사항 집계'!P:P)</f>
        <v>0</v>
      </c>
      <c r="F271" s="245">
        <f>SUMIF('수정사항 집계'!$C:$C,RIGHT($B271,LEN($B271)-11),'수정사항 집계'!Q:Q)</f>
        <v>0</v>
      </c>
      <c r="G271" s="263">
        <f t="shared" si="18"/>
        <v>85700</v>
      </c>
      <c r="H271" s="264"/>
    </row>
    <row r="272" spans="2:8">
      <c r="B272" s="262" t="s">
        <v>730</v>
      </c>
      <c r="C272" s="263">
        <v>156593</v>
      </c>
      <c r="D272" s="264" t="s">
        <v>110</v>
      </c>
      <c r="E272" s="245">
        <f>SUMIF('수정사항 집계'!$C:$C,RIGHT($B272,LEN($B272)-11),'수정사항 집계'!P:P)</f>
        <v>2930876</v>
      </c>
      <c r="F272" s="245">
        <f>SUMIF('수정사항 집계'!$C:$C,RIGHT($B272,LEN($B272)-11),'수정사항 집계'!Q:Q)</f>
        <v>156593</v>
      </c>
      <c r="G272" s="263">
        <f t="shared" si="18"/>
        <v>2930876</v>
      </c>
      <c r="H272" s="264"/>
    </row>
    <row r="273" spans="2:9">
      <c r="B273" s="262" t="s">
        <v>731</v>
      </c>
      <c r="C273" s="263">
        <v>3459724</v>
      </c>
      <c r="D273" s="264" t="s">
        <v>110</v>
      </c>
      <c r="E273" s="245">
        <f>SUMIF('수정사항 집계'!$C:$C,RIGHT($B273,LEN($B273)-11),'수정사항 집계'!P:P)</f>
        <v>0</v>
      </c>
      <c r="F273" s="245">
        <f>SUMIF('수정사항 집계'!$C:$C,RIGHT($B273,LEN($B273)-11),'수정사항 집계'!Q:Q)</f>
        <v>0</v>
      </c>
      <c r="G273" s="263">
        <f t="shared" si="18"/>
        <v>3459724</v>
      </c>
      <c r="H273" s="264"/>
    </row>
    <row r="274" spans="2:9">
      <c r="B274" s="262" t="s">
        <v>735</v>
      </c>
      <c r="C274" s="263">
        <v>1150000</v>
      </c>
      <c r="D274" s="264" t="s">
        <v>110</v>
      </c>
      <c r="E274" s="245">
        <f>SUMIF('수정사항 집계'!$C:$C,RIGHT($B274,LEN($B274)-11),'수정사항 집계'!P:P)</f>
        <v>0</v>
      </c>
      <c r="F274" s="245">
        <f>SUMIF('수정사항 집계'!$C:$C,RIGHT($B274,LEN($B274)-11),'수정사항 집계'!Q:Q)</f>
        <v>0</v>
      </c>
      <c r="G274" s="263">
        <f t="shared" si="18"/>
        <v>1150000</v>
      </c>
      <c r="H274" s="264"/>
    </row>
    <row r="275" spans="2:9">
      <c r="B275" s="262" t="s">
        <v>738</v>
      </c>
      <c r="C275" s="263">
        <v>488365</v>
      </c>
      <c r="D275" s="264" t="s">
        <v>110</v>
      </c>
      <c r="E275" s="245">
        <f>SUMIF('수정사항 집계'!$C:$C,RIGHT($B275,LEN($B275)-11),'수정사항 집계'!P:P)</f>
        <v>0</v>
      </c>
      <c r="F275" s="245">
        <f>SUMIF('수정사항 집계'!$C:$C,RIGHT($B275,LEN($B275)-11),'수정사항 집계'!Q:Q)</f>
        <v>0</v>
      </c>
      <c r="G275" s="263">
        <f t="shared" si="18"/>
        <v>488365</v>
      </c>
      <c r="H275" s="264"/>
    </row>
    <row r="276" spans="2:9">
      <c r="B276" s="262" t="s">
        <v>739</v>
      </c>
      <c r="C276" s="263">
        <v>648000</v>
      </c>
      <c r="D276" s="264" t="s">
        <v>110</v>
      </c>
      <c r="E276" s="245">
        <f>SUMIF('수정사항 집계'!$C:$C,RIGHT($B276,LEN($B276)-11),'수정사항 집계'!P:P)</f>
        <v>10000</v>
      </c>
      <c r="F276" s="245">
        <f>SUMIF('수정사항 집계'!$C:$C,RIGHT($B276,LEN($B276)-11),'수정사항 집계'!Q:Q)</f>
        <v>0</v>
      </c>
      <c r="G276" s="263">
        <f t="shared" si="18"/>
        <v>658000</v>
      </c>
      <c r="H276" s="264"/>
    </row>
    <row r="277" spans="2:9">
      <c r="B277" s="262" t="s">
        <v>740</v>
      </c>
      <c r="C277" s="263">
        <v>136892</v>
      </c>
      <c r="D277" s="264" t="s">
        <v>110</v>
      </c>
      <c r="E277" s="245">
        <f>SUMIF('수정사항 집계'!$C:$C,RIGHT($B277,LEN($B277)-11),'수정사항 집계'!P:P)</f>
        <v>0</v>
      </c>
      <c r="F277" s="245">
        <f>SUMIF('수정사항 집계'!$C:$C,RIGHT($B277,LEN($B277)-11),'수정사항 집계'!Q:Q)</f>
        <v>0</v>
      </c>
      <c r="G277" s="263">
        <f t="shared" si="18"/>
        <v>136892</v>
      </c>
      <c r="H277" s="264"/>
    </row>
    <row r="278" spans="2:9">
      <c r="B278" s="259" t="s">
        <v>785</v>
      </c>
      <c r="C278" s="260" t="s">
        <v>110</v>
      </c>
      <c r="D278" s="261">
        <f>D268-D269</f>
        <v>-9647943</v>
      </c>
      <c r="E278" s="260"/>
      <c r="F278" s="261"/>
      <c r="G278" s="260"/>
      <c r="H278" s="261">
        <f>H268-H269</f>
        <v>-12432226</v>
      </c>
    </row>
    <row r="279" spans="2:9">
      <c r="B279" s="259" t="s">
        <v>746</v>
      </c>
      <c r="C279" s="260" t="s">
        <v>110</v>
      </c>
      <c r="D279" s="261">
        <f>SUM(C280:C281)</f>
        <v>180622</v>
      </c>
      <c r="E279" s="260"/>
      <c r="F279" s="261"/>
      <c r="G279" s="260"/>
      <c r="H279" s="261">
        <f>SUM(G280:G281)</f>
        <v>575617</v>
      </c>
    </row>
    <row r="280" spans="2:9">
      <c r="B280" s="262" t="s">
        <v>747</v>
      </c>
      <c r="C280" s="263">
        <v>41</v>
      </c>
      <c r="D280" s="264" t="s">
        <v>110</v>
      </c>
      <c r="E280" s="245">
        <f>SUMIF('수정사항 집계'!$C:$C,RIGHT($B280,LEN($B280)-11),'수정사항 집계'!P:P)</f>
        <v>0</v>
      </c>
      <c r="F280" s="245">
        <f>SUMIF('수정사항 집계'!$C:$C,RIGHT($B280,LEN($B280)-11),'수정사항 집계'!Q:Q)</f>
        <v>394995</v>
      </c>
      <c r="G280" s="263">
        <f>C280-E280+F280</f>
        <v>395036</v>
      </c>
      <c r="H280" s="264"/>
    </row>
    <row r="281" spans="2:9">
      <c r="B281" s="262" t="s">
        <v>748</v>
      </c>
      <c r="C281" s="263">
        <v>180581</v>
      </c>
      <c r="D281" s="264" t="s">
        <v>110</v>
      </c>
      <c r="E281" s="263"/>
      <c r="F281" s="264"/>
      <c r="G281" s="263">
        <f>C281-E281+F281</f>
        <v>180581</v>
      </c>
      <c r="H281" s="264"/>
    </row>
    <row r="282" spans="2:9">
      <c r="B282" s="259" t="s">
        <v>749</v>
      </c>
      <c r="C282" s="260" t="s">
        <v>110</v>
      </c>
      <c r="D282" s="261">
        <f>C284</f>
        <v>4</v>
      </c>
      <c r="E282" s="260"/>
      <c r="F282" s="261"/>
      <c r="G282" s="260"/>
      <c r="H282" s="261">
        <f>SUM(G283:G284)</f>
        <v>187725</v>
      </c>
    </row>
    <row r="283" spans="2:9">
      <c r="B283" s="268" t="s">
        <v>753</v>
      </c>
      <c r="C283" s="269"/>
      <c r="D283" s="270" t="s">
        <v>110</v>
      </c>
      <c r="E283" s="251">
        <f>SUMIF('수정사항 집계'!$C:$C,RIGHT($B283,LEN($B283)-11),'수정사항 집계'!P:P)</f>
        <v>187721</v>
      </c>
      <c r="F283" s="251">
        <f>SUMIF('수정사항 집계'!$C:$C,RIGHT($B283,LEN($B283)-11),'수정사항 집계'!Q:Q)</f>
        <v>0</v>
      </c>
      <c r="G283" s="269">
        <f t="shared" ref="G283:G284" si="19">C283+E283-F283</f>
        <v>187721</v>
      </c>
      <c r="H283" s="270"/>
      <c r="I283" s="271" t="s">
        <v>763</v>
      </c>
    </row>
    <row r="284" spans="2:9">
      <c r="B284" s="262" t="s">
        <v>754</v>
      </c>
      <c r="C284" s="263">
        <v>4</v>
      </c>
      <c r="D284" s="264" t="s">
        <v>110</v>
      </c>
      <c r="E284" s="263"/>
      <c r="F284" s="264"/>
      <c r="G284" s="263">
        <f t="shared" si="19"/>
        <v>4</v>
      </c>
      <c r="H284" s="264"/>
    </row>
    <row r="285" spans="2:9">
      <c r="B285" s="259" t="s">
        <v>787</v>
      </c>
      <c r="C285" s="260" t="s">
        <v>110</v>
      </c>
      <c r="D285" s="261">
        <f>D278+D279-D282</f>
        <v>-9467325</v>
      </c>
      <c r="E285" s="260"/>
      <c r="F285" s="261"/>
      <c r="G285" s="260"/>
      <c r="H285" s="261">
        <f>H278+H279-H282</f>
        <v>-12044334</v>
      </c>
    </row>
    <row r="286" spans="2:9">
      <c r="B286" s="259" t="s">
        <v>756</v>
      </c>
      <c r="C286" s="260" t="s">
        <v>110</v>
      </c>
      <c r="D286" s="260">
        <v>0</v>
      </c>
      <c r="E286" s="260"/>
      <c r="F286" s="260"/>
      <c r="G286" s="260"/>
      <c r="H286" s="260">
        <f>D286</f>
        <v>0</v>
      </c>
    </row>
    <row r="287" spans="2:9">
      <c r="B287" s="259" t="s">
        <v>757</v>
      </c>
      <c r="C287" s="260" t="s">
        <v>110</v>
      </c>
      <c r="D287" s="273">
        <f>D285-D286</f>
        <v>-9467325</v>
      </c>
      <c r="E287" s="260"/>
      <c r="F287" s="273"/>
      <c r="G287" s="260"/>
      <c r="H287" s="273">
        <f>H285-H286</f>
        <v>-12044334</v>
      </c>
      <c r="I287" s="274">
        <f>D287-H287</f>
        <v>2577009</v>
      </c>
    </row>
  </sheetData>
  <mergeCells count="35">
    <mergeCell ref="B48:B49"/>
    <mergeCell ref="C48:D48"/>
    <mergeCell ref="E48:F48"/>
    <mergeCell ref="G48:H49"/>
    <mergeCell ref="C49:D49"/>
    <mergeCell ref="B3:B4"/>
    <mergeCell ref="C3:D3"/>
    <mergeCell ref="E3:F3"/>
    <mergeCell ref="G3:H4"/>
    <mergeCell ref="C4:D4"/>
    <mergeCell ref="B134:B135"/>
    <mergeCell ref="C134:D134"/>
    <mergeCell ref="E134:F134"/>
    <mergeCell ref="G134:H135"/>
    <mergeCell ref="C135:D135"/>
    <mergeCell ref="B93:B94"/>
    <mergeCell ref="C93:D93"/>
    <mergeCell ref="E93:F93"/>
    <mergeCell ref="G93:H94"/>
    <mergeCell ref="C94:D94"/>
    <mergeCell ref="B218:B219"/>
    <mergeCell ref="C218:D218"/>
    <mergeCell ref="E218:F218"/>
    <mergeCell ref="G218:H219"/>
    <mergeCell ref="C219:D219"/>
    <mergeCell ref="B173:B174"/>
    <mergeCell ref="C173:D173"/>
    <mergeCell ref="E173:F173"/>
    <mergeCell ref="G173:H174"/>
    <mergeCell ref="C174:D174"/>
    <mergeCell ref="B259:B260"/>
    <mergeCell ref="C259:D259"/>
    <mergeCell ref="E259:F259"/>
    <mergeCell ref="G259:H260"/>
    <mergeCell ref="C260:D260"/>
  </mergeCells>
  <phoneticPr fontId="9" type="noConversion"/>
  <conditionalFormatting sqref="B15:B33 B35">
    <cfRule type="duplicateValues" dxfId="8" priority="8"/>
  </conditionalFormatting>
  <conditionalFormatting sqref="B34">
    <cfRule type="duplicateValues" dxfId="7" priority="2"/>
  </conditionalFormatting>
  <conditionalFormatting sqref="B104:B120">
    <cfRule type="duplicateValues" dxfId="6" priority="7"/>
  </conditionalFormatting>
  <conditionalFormatting sqref="B145:B159 B161">
    <cfRule type="duplicateValues" dxfId="5" priority="6"/>
  </conditionalFormatting>
  <conditionalFormatting sqref="B160">
    <cfRule type="duplicateValues" dxfId="4" priority="5"/>
  </conditionalFormatting>
  <conditionalFormatting sqref="B184:B186 B188:B205">
    <cfRule type="duplicateValues" dxfId="3" priority="9"/>
  </conditionalFormatting>
  <conditionalFormatting sqref="B187">
    <cfRule type="duplicateValues" dxfId="2" priority="1"/>
  </conditionalFormatting>
  <conditionalFormatting sqref="B246">
    <cfRule type="duplicateValues" dxfId="1" priority="4"/>
  </conditionalFormatting>
  <conditionalFormatting sqref="B270:B277">
    <cfRule type="duplicateValues" dxfId="0" priority="3"/>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31F4D7-6FCF-4EC8-B6F2-8AD030DF00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23</vt:i4>
      </vt:variant>
      <vt:variant>
        <vt:lpstr>이름이 지정된 범위</vt:lpstr>
      </vt:variant>
      <vt:variant>
        <vt:i4>2</vt:i4>
      </vt:variant>
    </vt:vector>
  </HeadingPairs>
  <TitlesOfParts>
    <vt:vector size="25" baseType="lpstr">
      <vt:lpstr>DCF</vt:lpstr>
      <vt:lpstr>매출</vt:lpstr>
      <vt:lpstr>매출원가</vt:lpstr>
      <vt:lpstr>판관비</vt:lpstr>
      <vt:lpstr>CAPEX</vt:lpstr>
      <vt:lpstr>매출계획</vt:lpstr>
      <vt:lpstr>매출원가계획</vt:lpstr>
      <vt:lpstr>CAPEX계획</vt:lpstr>
      <vt:lpstr>감가상각집계표</vt:lpstr>
      <vt:lpstr>인건비</vt:lpstr>
      <vt:lpstr>변동비</vt:lpstr>
      <vt:lpstr>고정비</vt:lpstr>
      <vt:lpstr>Index</vt:lpstr>
      <vt:lpstr>Cash Flow</vt:lpstr>
      <vt:lpstr>Pro FS</vt:lpstr>
      <vt:lpstr>PBC&gt;&gt;</vt:lpstr>
      <vt:lpstr>지점별 손익</vt:lpstr>
      <vt:lpstr>분할사업부문 손익(2023년 실적)</vt:lpstr>
      <vt:lpstr>수정사항 집계</vt:lpstr>
      <vt:lpstr>연결BS</vt:lpstr>
      <vt:lpstr>연결IS</vt:lpstr>
      <vt:lpstr>개별BS</vt:lpstr>
      <vt:lpstr>개별IS</vt:lpstr>
      <vt:lpstr>'지점별 손익'!Print_Area</vt:lpstr>
      <vt:lpstr>ㅑ7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YGChoi</dc:creator>
  <cp:lastModifiedBy>다.채동우</cp:lastModifiedBy>
  <cp:lastPrinted>2024-01-11T05:44:27Z</cp:lastPrinted>
  <dcterms:created xsi:type="dcterms:W3CDTF">2019-02-22T16:26:07Z</dcterms:created>
  <dcterms:modified xsi:type="dcterms:W3CDTF">2024-10-17T02:36:08Z</dcterms:modified>
</cp:coreProperties>
</file>