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12월\★키움증권\미래세라텍(채동우)_2412\2. 당기평가\"/>
    </mc:Choice>
  </mc:AlternateContent>
  <bookViews>
    <workbookView xWindow="0" yWindow="0" windowWidth="28800" windowHeight="12285" tabRatio="771" activeTab="1"/>
    <workbookView xWindow="0" yWindow="0" windowWidth="28800" windowHeight="12255"/>
  </bookViews>
  <sheets>
    <sheet name="5개년도 매출추정" sheetId="26" r:id="rId1"/>
    <sheet name="FS정리" sheetId="27" r:id="rId2"/>
    <sheet name="COMPANY" sheetId="1" r:id="rId3"/>
    <sheet name="RATE" sheetId="2" r:id="rId4"/>
    <sheet name="BETA" sheetId="3" state="hidden" r:id="rId5"/>
    <sheet name="Bloomberg" sheetId="17" r:id="rId6"/>
    <sheet name="TABLE" sheetId="16" r:id="rId7"/>
    <sheet name="재무적정보" sheetId="11" state="hidden" r:id="rId8"/>
    <sheet name="WACC" sheetId="4" r:id="rId9"/>
    <sheet name="감가상각추정" sheetId="6" r:id="rId10"/>
    <sheet name="비용추정" sheetId="5" r:id="rId11"/>
    <sheet name="IS추정" sheetId="8" r:id="rId12"/>
    <sheet name="NWC추정" sheetId="10" r:id="rId13"/>
    <sheet name="BS추정" sheetId="9" r:id="rId14"/>
    <sheet name="FCF추정" sheetId="14" r:id="rId15"/>
    <sheet name="성장률추정" sheetId="12" r:id="rId16"/>
    <sheet name="민감도" sheetId="24" r:id="rId17"/>
    <sheet name="보고서(일반)" sheetId="18" r:id="rId18"/>
    <sheet name="백데이터(상세)" sheetId="25" r:id="rId19"/>
    <sheet name="평가요약시트" sheetId="22" r:id="rId20"/>
    <sheet name="Settings" sheetId="23" r:id="rId21"/>
  </sheets>
  <externalReferences>
    <externalReference r:id="rId22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7" l="1"/>
  <c r="E4" i="27"/>
  <c r="F26" i="27"/>
  <c r="F84" i="27"/>
  <c r="F81" i="27"/>
  <c r="F78" i="27"/>
  <c r="F76" i="27"/>
  <c r="F87" i="27" s="1"/>
  <c r="F67" i="27"/>
  <c r="F53" i="27"/>
  <c r="F74" i="27" s="1"/>
  <c r="F48" i="27"/>
  <c r="F44" i="27"/>
  <c r="F23" i="27" s="1"/>
  <c r="F24" i="27"/>
  <c r="F17" i="27"/>
  <c r="F5" i="27"/>
  <c r="E84" i="27"/>
  <c r="E81" i="27"/>
  <c r="E78" i="27"/>
  <c r="E76" i="27"/>
  <c r="E87" i="27" s="1"/>
  <c r="E67" i="27"/>
  <c r="E53" i="27"/>
  <c r="E48" i="27"/>
  <c r="E44" i="27"/>
  <c r="E26" i="27"/>
  <c r="E24" i="27"/>
  <c r="E17" i="27"/>
  <c r="E5" i="27"/>
  <c r="X22" i="8"/>
  <c r="W22" i="8"/>
  <c r="V22" i="8"/>
  <c r="U22" i="8"/>
  <c r="T22" i="8"/>
  <c r="X19" i="8"/>
  <c r="W19" i="8"/>
  <c r="V19" i="8"/>
  <c r="U19" i="8"/>
  <c r="T19" i="8"/>
  <c r="X21" i="8"/>
  <c r="W21" i="8"/>
  <c r="V21" i="8"/>
  <c r="U21" i="8"/>
  <c r="T21" i="8"/>
  <c r="X20" i="8"/>
  <c r="W20" i="8"/>
  <c r="V20" i="8"/>
  <c r="U20" i="8"/>
  <c r="T20" i="8"/>
  <c r="O4" i="8"/>
  <c r="N4" i="8"/>
  <c r="M4" i="8"/>
  <c r="L4" i="8"/>
  <c r="K4" i="8"/>
  <c r="J4" i="8"/>
  <c r="T18" i="8"/>
  <c r="K22" i="12" s="1"/>
  <c r="O22" i="12"/>
  <c r="N22" i="12"/>
  <c r="M22" i="12"/>
  <c r="L22" i="12"/>
  <c r="J22" i="12"/>
  <c r="S18" i="8"/>
  <c r="S17" i="8"/>
  <c r="S16" i="8"/>
  <c r="S15" i="8"/>
  <c r="R17" i="8"/>
  <c r="R16" i="8"/>
  <c r="R15" i="8"/>
  <c r="S14" i="8"/>
  <c r="R14" i="8"/>
  <c r="X18" i="8"/>
  <c r="W18" i="8"/>
  <c r="V18" i="8"/>
  <c r="U18" i="8"/>
  <c r="X17" i="8"/>
  <c r="W17" i="8"/>
  <c r="V17" i="8"/>
  <c r="U17" i="8"/>
  <c r="T17" i="8"/>
  <c r="X16" i="8"/>
  <c r="W16" i="8"/>
  <c r="V16" i="8"/>
  <c r="U16" i="8"/>
  <c r="T16" i="8"/>
  <c r="X15" i="8"/>
  <c r="W15" i="8"/>
  <c r="V15" i="8"/>
  <c r="U15" i="8"/>
  <c r="T15" i="8"/>
  <c r="X14" i="8"/>
  <c r="W14" i="8"/>
  <c r="V14" i="8"/>
  <c r="U14" i="8"/>
  <c r="T14" i="8"/>
  <c r="D17" i="26"/>
  <c r="D16" i="26"/>
  <c r="K15" i="26"/>
  <c r="L17" i="26" s="1"/>
  <c r="I15" i="26"/>
  <c r="J17" i="26" s="1"/>
  <c r="G15" i="26"/>
  <c r="H17" i="26" s="1"/>
  <c r="E15" i="26"/>
  <c r="F17" i="26" s="1"/>
  <c r="C15" i="26"/>
  <c r="D15" i="26" s="1"/>
  <c r="G14" i="26"/>
  <c r="G18" i="26" s="1"/>
  <c r="H18" i="26" s="1"/>
  <c r="E14" i="26"/>
  <c r="E18" i="26" s="1"/>
  <c r="F18" i="26" s="1"/>
  <c r="C14" i="26"/>
  <c r="C18" i="26" s="1"/>
  <c r="D18" i="26" s="1"/>
  <c r="L13" i="26"/>
  <c r="J13" i="26"/>
  <c r="H13" i="26"/>
  <c r="F13" i="26"/>
  <c r="D13" i="26"/>
  <c r="L12" i="26"/>
  <c r="J12" i="26"/>
  <c r="H12" i="26"/>
  <c r="F12" i="26"/>
  <c r="D12" i="26"/>
  <c r="L11" i="26"/>
  <c r="J11" i="26"/>
  <c r="H11" i="26"/>
  <c r="F11" i="26"/>
  <c r="D11" i="26"/>
  <c r="L10" i="26"/>
  <c r="K10" i="26"/>
  <c r="I10" i="26"/>
  <c r="J10" i="26" s="1"/>
  <c r="G10" i="26"/>
  <c r="H10" i="26" s="1"/>
  <c r="E10" i="26"/>
  <c r="F10" i="26" s="1"/>
  <c r="C10" i="26"/>
  <c r="D10" i="26" s="1"/>
  <c r="H9" i="26"/>
  <c r="F9" i="26"/>
  <c r="D9" i="26"/>
  <c r="H8" i="26"/>
  <c r="F8" i="26"/>
  <c r="D8" i="26"/>
  <c r="H7" i="26"/>
  <c r="F7" i="26"/>
  <c r="D7" i="26"/>
  <c r="K6" i="26"/>
  <c r="K14" i="26" s="1"/>
  <c r="I6" i="26"/>
  <c r="I14" i="26" s="1"/>
  <c r="G6" i="26"/>
  <c r="H6" i="26" s="1"/>
  <c r="E6" i="26"/>
  <c r="F6" i="26" s="1"/>
  <c r="C6" i="26"/>
  <c r="D6" i="26" s="1"/>
  <c r="F88" i="27" l="1"/>
  <c r="E74" i="27"/>
  <c r="E88" i="27" s="1"/>
  <c r="F51" i="27"/>
  <c r="E23" i="27"/>
  <c r="E51" i="27" s="1"/>
  <c r="I18" i="26"/>
  <c r="J18" i="26" s="1"/>
  <c r="J14" i="26"/>
  <c r="K18" i="26"/>
  <c r="L18" i="26" s="1"/>
  <c r="L14" i="26"/>
  <c r="J6" i="26"/>
  <c r="F15" i="26"/>
  <c r="L6" i="26"/>
  <c r="H15" i="26"/>
  <c r="J15" i="26"/>
  <c r="J7" i="26"/>
  <c r="L15" i="26"/>
  <c r="L7" i="26"/>
  <c r="F16" i="26"/>
  <c r="H16" i="26"/>
  <c r="J16" i="26"/>
  <c r="J8" i="26"/>
  <c r="L16" i="26"/>
  <c r="L8" i="26"/>
  <c r="J9" i="26"/>
  <c r="D14" i="26"/>
  <c r="L9" i="26"/>
  <c r="F14" i="26"/>
  <c r="H14" i="26"/>
  <c r="E31" i="4" l="1"/>
  <c r="U12" i="17"/>
  <c r="U11" i="17"/>
  <c r="U10" i="17"/>
  <c r="U9" i="17"/>
  <c r="T10" i="17"/>
  <c r="J11" i="17"/>
  <c r="G11" i="17"/>
  <c r="E11" i="17"/>
  <c r="L10" i="17"/>
  <c r="D11" i="17"/>
  <c r="K10" i="17"/>
  <c r="C11" i="17"/>
  <c r="K11" i="17"/>
  <c r="I11" i="17"/>
  <c r="M10" i="17"/>
  <c r="S10" i="17"/>
  <c r="H11" i="17"/>
  <c r="F11" i="17"/>
  <c r="J10" i="17"/>
  <c r="I10" i="17"/>
  <c r="H10" i="17"/>
  <c r="G10" i="17"/>
  <c r="F10" i="17"/>
  <c r="E10" i="17"/>
  <c r="D10" i="17"/>
  <c r="C10" i="17"/>
  <c r="M9" i="17"/>
  <c r="K9" i="17"/>
  <c r="J9" i="17"/>
  <c r="S9" i="17"/>
  <c r="L9" i="17"/>
  <c r="T12" i="17"/>
  <c r="T9" i="17" l="1"/>
  <c r="T11" i="17"/>
  <c r="S12" i="17"/>
  <c r="L12" i="17"/>
  <c r="J12" i="17"/>
  <c r="G12" i="17"/>
  <c r="F12" i="17"/>
  <c r="F9" i="17"/>
  <c r="S11" i="17"/>
  <c r="E9" i="17"/>
  <c r="L11" i="17"/>
  <c r="K12" i="17"/>
  <c r="I12" i="17"/>
  <c r="M11" i="17"/>
  <c r="H12" i="17"/>
  <c r="G9" i="17"/>
  <c r="H9" i="17"/>
  <c r="I9" i="17"/>
  <c r="E12" i="17"/>
  <c r="C12" i="17"/>
  <c r="C9" i="17"/>
  <c r="M12" i="17"/>
  <c r="D12" i="17"/>
  <c r="D9" i="17"/>
  <c r="I3" i="5" l="1"/>
  <c r="I2" i="5"/>
  <c r="B81" i="24"/>
  <c r="B80" i="24"/>
  <c r="B79" i="24"/>
  <c r="B78" i="24"/>
  <c r="B76" i="24"/>
  <c r="B75" i="24"/>
  <c r="B74" i="24"/>
  <c r="R5" i="25" l="1"/>
  <c r="Q5" i="25"/>
  <c r="P5" i="25"/>
  <c r="O5" i="25"/>
  <c r="N5" i="25"/>
  <c r="V118" i="25" l="1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L17" i="25" s="1"/>
  <c r="K14" i="25"/>
  <c r="K11" i="25" s="1"/>
  <c r="W13" i="25"/>
  <c r="V13" i="25"/>
  <c r="U13" i="25"/>
  <c r="X12" i="25"/>
  <c r="M38" i="25" s="1"/>
  <c r="W12" i="25"/>
  <c r="V12" i="25"/>
  <c r="K38" i="25" s="1"/>
  <c r="U12" i="25"/>
  <c r="M12" i="25"/>
  <c r="M11" i="25" s="1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U6" i="25"/>
  <c r="M6" i="25"/>
  <c r="L6" i="25"/>
  <c r="K6" i="25"/>
  <c r="X5" i="25"/>
  <c r="W5" i="25"/>
  <c r="V5" i="25"/>
  <c r="U5" i="25"/>
  <c r="G5" i="25"/>
  <c r="F5" i="25"/>
  <c r="M5" i="25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H19" i="25"/>
  <c r="E5" i="25"/>
  <c r="D5" i="25"/>
  <c r="C5" i="25"/>
  <c r="AC3" i="25"/>
  <c r="R3" i="25"/>
  <c r="AJ3" i="25" s="1"/>
  <c r="L40" i="25" l="1"/>
  <c r="U15" i="25"/>
  <c r="U27" i="25"/>
  <c r="N23" i="25"/>
  <c r="O23" i="25" s="1"/>
  <c r="P23" i="25" s="1"/>
  <c r="W30" i="25"/>
  <c r="K17" i="25"/>
  <c r="V30" i="25"/>
  <c r="V39" i="25" s="1"/>
  <c r="N28" i="25"/>
  <c r="O28" i="25" s="1"/>
  <c r="P28" i="25" s="1"/>
  <c r="Q28" i="25" s="1"/>
  <c r="R28" i="25" s="1"/>
  <c r="V29" i="25"/>
  <c r="K37" i="25"/>
  <c r="L52" i="25"/>
  <c r="L59" i="25" s="1"/>
  <c r="U46" i="25"/>
  <c r="X46" i="25"/>
  <c r="L11" i="25"/>
  <c r="N24" i="25"/>
  <c r="O24" i="25" s="1"/>
  <c r="P24" i="25" s="1"/>
  <c r="Q24" i="25" s="1"/>
  <c r="R24" i="25" s="1"/>
  <c r="N26" i="25"/>
  <c r="O26" i="25" s="1"/>
  <c r="P26" i="25" s="1"/>
  <c r="Q26" i="25" s="1"/>
  <c r="R26" i="25" s="1"/>
  <c r="K56" i="25"/>
  <c r="W46" i="25"/>
  <c r="W49" i="25" s="1"/>
  <c r="M7" i="25"/>
  <c r="M40" i="25" s="1"/>
  <c r="L56" i="25"/>
  <c r="L63" i="25" s="1"/>
  <c r="N29" i="25"/>
  <c r="O29" i="25" s="1"/>
  <c r="P29" i="25" s="1"/>
  <c r="Q29" i="25" s="1"/>
  <c r="R29" i="25" s="1"/>
  <c r="L38" i="25"/>
  <c r="N31" i="25"/>
  <c r="O31" i="25" s="1"/>
  <c r="P31" i="25" s="1"/>
  <c r="Q31" i="25" s="1"/>
  <c r="R31" i="25" s="1"/>
  <c r="N34" i="25"/>
  <c r="O34" i="25" s="1"/>
  <c r="P34" i="25" s="1"/>
  <c r="Q34" i="25" s="1"/>
  <c r="R34" i="25" s="1"/>
  <c r="K7" i="25"/>
  <c r="K40" i="25" s="1"/>
  <c r="W29" i="25"/>
  <c r="N32" i="25"/>
  <c r="O32" i="25" s="1"/>
  <c r="P32" i="25" s="1"/>
  <c r="Q32" i="25" s="1"/>
  <c r="R32" i="25" s="1"/>
  <c r="N33" i="25"/>
  <c r="O33" i="25" s="1"/>
  <c r="P33" i="25" s="1"/>
  <c r="Q33" i="25" s="1"/>
  <c r="R33" i="25" s="1"/>
  <c r="M52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O35" i="25" s="1"/>
  <c r="P35" i="25" s="1"/>
  <c r="Q35" i="25" s="1"/>
  <c r="R35" i="25" s="1"/>
  <c r="V59" i="25"/>
  <c r="V46" i="25"/>
  <c r="V49" i="25" s="1"/>
  <c r="U49" i="25"/>
  <c r="U60" i="25"/>
  <c r="X48" i="25"/>
  <c r="X49" i="25" s="1"/>
  <c r="W58" i="25"/>
  <c r="V58" i="25"/>
  <c r="M21" i="25"/>
  <c r="M36" i="25"/>
  <c r="V4" i="25"/>
  <c r="U57" i="25" s="1"/>
  <c r="V27" i="25"/>
  <c r="K21" i="25"/>
  <c r="L21" i="25"/>
  <c r="W27" i="25"/>
  <c r="V60" i="25"/>
  <c r="V65" i="25" s="1"/>
  <c r="U58" i="25"/>
  <c r="X4" i="25"/>
  <c r="K54" i="25"/>
  <c r="L54" i="25"/>
  <c r="L61" i="25" s="1"/>
  <c r="V57" i="25"/>
  <c r="K51" i="25"/>
  <c r="L51" i="25"/>
  <c r="U30" i="25"/>
  <c r="W59" i="25"/>
  <c r="K63" i="25" l="1"/>
  <c r="K49" i="25" s="1"/>
  <c r="Q39" i="25" s="1"/>
  <c r="F15" i="25" s="1"/>
  <c r="X39" i="25"/>
  <c r="V38" i="25"/>
  <c r="N59" i="25"/>
  <c r="X38" i="25"/>
  <c r="M59" i="25"/>
  <c r="K59" i="25"/>
  <c r="K45" i="25" s="1"/>
  <c r="X64" i="25"/>
  <c r="N63" i="25"/>
  <c r="X36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N39" i="25" l="1"/>
  <c r="C15" i="25" s="1"/>
  <c r="R39" i="25"/>
  <c r="G15" i="25" s="1"/>
  <c r="AC44" i="25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F12" i="17"/>
  <c r="AF9" i="17"/>
  <c r="AF11" i="17"/>
  <c r="AF10" i="17"/>
  <c r="X11" i="17"/>
  <c r="X12" i="17"/>
  <c r="X10" i="17"/>
  <c r="X9" i="17"/>
  <c r="AI12" i="17"/>
  <c r="AI9" i="17"/>
  <c r="AI10" i="17"/>
  <c r="AI11" i="17"/>
  <c r="AK9" i="17"/>
  <c r="AK12" i="17"/>
  <c r="AK10" i="17"/>
  <c r="AK11" i="17"/>
  <c r="AL12" i="17"/>
  <c r="AL9" i="17"/>
  <c r="AL10" i="17"/>
  <c r="AL11" i="17"/>
  <c r="AM12" i="17"/>
  <c r="AM10" i="17"/>
  <c r="AM9" i="17"/>
  <c r="AM11" i="17"/>
  <c r="AA10" i="17"/>
  <c r="AA12" i="17"/>
  <c r="AA9" i="17"/>
  <c r="AA11" i="17"/>
  <c r="AD12" i="17"/>
  <c r="AD10" i="17"/>
  <c r="AD9" i="17"/>
  <c r="AD11" i="17"/>
  <c r="AG9" i="17"/>
  <c r="AG12" i="17"/>
  <c r="AG10" i="17"/>
  <c r="AG11" i="17"/>
  <c r="AH12" i="17"/>
  <c r="AH9" i="17"/>
  <c r="AH10" i="17"/>
  <c r="AH11" i="17"/>
  <c r="V10" i="17"/>
  <c r="V9" i="17"/>
  <c r="V12" i="17"/>
  <c r="V11" i="17"/>
  <c r="Y10" i="17"/>
  <c r="Y12" i="17"/>
  <c r="Y9" i="17"/>
  <c r="Y11" i="17"/>
  <c r="AJ12" i="17"/>
  <c r="AJ9" i="17"/>
  <c r="AJ10" i="17"/>
  <c r="AJ11" i="17"/>
  <c r="AB12" i="17"/>
  <c r="AB10" i="17"/>
  <c r="AB9" i="17"/>
  <c r="AB11" i="17"/>
  <c r="AC10" i="17"/>
  <c r="AC12" i="17"/>
  <c r="AC9" i="17"/>
  <c r="AC11" i="17"/>
  <c r="AE12" i="17"/>
  <c r="AE10" i="17"/>
  <c r="AE9" i="17"/>
  <c r="AE11" i="17"/>
  <c r="W9" i="17"/>
  <c r="W12" i="17"/>
  <c r="W11" i="17"/>
  <c r="W10" i="17"/>
  <c r="Z9" i="17"/>
  <c r="Z12" i="17"/>
  <c r="Z10" i="17"/>
  <c r="Z11" i="17"/>
  <c r="V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AE8" i="17"/>
  <c r="F8" i="17"/>
  <c r="E8" i="17"/>
  <c r="AD8" i="17"/>
  <c r="AF8" i="17"/>
  <c r="I8" i="17"/>
  <c r="W8" i="17"/>
  <c r="M8" i="17"/>
  <c r="AM8" i="17"/>
  <c r="S8" i="17"/>
  <c r="Z8" i="17"/>
  <c r="C8" i="17"/>
  <c r="H8" i="17"/>
  <c r="AK8" i="17"/>
  <c r="AA8" i="17"/>
  <c r="AH8" i="17"/>
  <c r="AG8" i="17"/>
  <c r="X8" i="17"/>
  <c r="G8" i="17"/>
  <c r="AI8" i="17"/>
  <c r="T8" i="17"/>
  <c r="D8" i="17"/>
  <c r="J8" i="17"/>
  <c r="AJ8" i="17"/>
  <c r="AC8" i="17"/>
  <c r="AB8" i="17"/>
  <c r="Y8" i="17"/>
  <c r="L8" i="17"/>
  <c r="AL8" i="17"/>
  <c r="K8" i="17"/>
  <c r="E28" i="23" l="1"/>
  <c r="AR21" i="18"/>
  <c r="AR12" i="18"/>
  <c r="AR8" i="18"/>
  <c r="AR24" i="18"/>
  <c r="AR5" i="18"/>
  <c r="AR4" i="18"/>
  <c r="AR23" i="18"/>
  <c r="AR18" i="18"/>
  <c r="AR22" i="18"/>
  <c r="AR7" i="18"/>
  <c r="AR19" i="18"/>
  <c r="AR13" i="18"/>
  <c r="AR14" i="18"/>
  <c r="AR11" i="18"/>
  <c r="AR10" i="18"/>
  <c r="AR9" i="18"/>
  <c r="AR17" i="18"/>
  <c r="AR15" i="18"/>
  <c r="AR20" i="18"/>
  <c r="AR16" i="18"/>
  <c r="AR6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A52" i="14" l="1"/>
  <c r="A28" i="14"/>
  <c r="A1" i="14"/>
  <c r="B73" i="24" s="1"/>
  <c r="A41" i="9"/>
  <c r="A1" i="9"/>
  <c r="A45" i="10"/>
  <c r="A1" i="10"/>
  <c r="A46" i="8"/>
  <c r="A1" i="8"/>
  <c r="A73" i="5"/>
  <c r="A1" i="5"/>
  <c r="A31" i="6"/>
  <c r="A21" i="6"/>
  <c r="A1" i="6"/>
  <c r="E11" i="23"/>
  <c r="E6" i="23"/>
  <c r="E16" i="23"/>
  <c r="E15" i="23"/>
  <c r="E9" i="23"/>
  <c r="E3" i="23"/>
  <c r="E7" i="23"/>
  <c r="E4" i="23"/>
  <c r="E10" i="23"/>
  <c r="E25" i="23"/>
  <c r="E5" i="23"/>
  <c r="E17" i="23"/>
  <c r="E2" i="23"/>
  <c r="E12" i="23"/>
  <c r="E13" i="23"/>
  <c r="E14" i="23"/>
  <c r="E8" i="23"/>
  <c r="AF5" i="17" l="1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X102" i="25"/>
  <c r="X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AB43" i="25"/>
  <c r="F4" i="25"/>
  <c r="AB4" i="25"/>
  <c r="AA4" i="25"/>
  <c r="AA43" i="25"/>
  <c r="E4" i="25"/>
  <c r="AH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P6" i="4"/>
  <c r="Q6" i="4"/>
  <c r="R6" i="4"/>
  <c r="S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2" i="18" l="1"/>
  <c r="Y14" i="18"/>
  <c r="Y13" i="18"/>
  <c r="Y16" i="18"/>
  <c r="Y15" i="18"/>
  <c r="Y11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1" i="25"/>
  <c r="Y100" i="25"/>
  <c r="Y105" i="25"/>
  <c r="Y102" i="25"/>
  <c r="H36" i="22"/>
  <c r="H39" i="22"/>
  <c r="H40" i="22"/>
  <c r="H37" i="22"/>
  <c r="H41" i="22"/>
  <c r="H38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O70" i="25" s="1"/>
  <c r="Y36" i="5"/>
  <c r="N70" i="25" s="1"/>
  <c r="X36" i="5"/>
  <c r="M70" i="25" s="1"/>
  <c r="W36" i="5"/>
  <c r="V36" i="5"/>
  <c r="AA35" i="5"/>
  <c r="AA31" i="5" s="1"/>
  <c r="Z35" i="5"/>
  <c r="Z31" i="5" s="1"/>
  <c r="O68" i="25" s="1"/>
  <c r="Y35" i="5"/>
  <c r="Y31" i="5" s="1"/>
  <c r="N68" i="25" s="1"/>
  <c r="X35" i="5"/>
  <c r="X31" i="5" s="1"/>
  <c r="M68" i="25" s="1"/>
  <c r="W35" i="5"/>
  <c r="W31" i="5" s="1"/>
  <c r="L68" i="25" s="1"/>
  <c r="V35" i="5"/>
  <c r="V31" i="5" s="1"/>
  <c r="K68" i="25" s="1"/>
  <c r="L70" i="25" l="1"/>
  <c r="V32" i="5"/>
  <c r="W32" i="5" s="1"/>
  <c r="X32" i="5" s="1"/>
  <c r="Y32" i="5" s="1"/>
  <c r="Z32" i="5" s="1"/>
  <c r="AA32" i="5" s="1"/>
  <c r="K70" i="25"/>
  <c r="K69" i="25" s="1"/>
  <c r="M32" i="5"/>
  <c r="L32" i="5"/>
  <c r="J32" i="5"/>
  <c r="O32" i="5"/>
  <c r="K32" i="5"/>
  <c r="N32" i="5"/>
  <c r="O25" i="12"/>
  <c r="O23" i="12"/>
  <c r="N23" i="12"/>
  <c r="M23" i="12"/>
  <c r="L23" i="12"/>
  <c r="K23" i="12"/>
  <c r="J22" i="14"/>
  <c r="I22" i="14"/>
  <c r="F27" i="24" s="1"/>
  <c r="H22" i="14"/>
  <c r="E27" i="24" s="1"/>
  <c r="F28" i="24" s="1"/>
  <c r="G22" i="14"/>
  <c r="D27" i="24" s="1"/>
  <c r="E28" i="24" s="1"/>
  <c r="F22" i="14"/>
  <c r="C27" i="24" s="1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14"/>
  <c r="G27" i="24"/>
  <c r="G28" i="24"/>
  <c r="D28" i="24"/>
  <c r="N12" i="25"/>
  <c r="L69" i="25"/>
  <c r="O12" i="25"/>
  <c r="M69" i="25"/>
  <c r="E29" i="23"/>
  <c r="G14" i="1"/>
  <c r="E27" i="23"/>
  <c r="O59" i="4"/>
  <c r="F2" i="14"/>
  <c r="G23" i="14"/>
  <c r="G2" i="14"/>
  <c r="H23" i="14"/>
  <c r="H2" i="14"/>
  <c r="I23" i="14"/>
  <c r="I2" i="14"/>
  <c r="J23" i="14"/>
  <c r="B6" i="24"/>
  <c r="C28" i="24" s="1"/>
  <c r="C5" i="18"/>
  <c r="AL4" i="18"/>
  <c r="D59" i="4"/>
  <c r="J65" i="6"/>
  <c r="K62" i="6" s="1"/>
  <c r="J53" i="6"/>
  <c r="L8" i="12"/>
  <c r="O24" i="12"/>
  <c r="I2" i="2"/>
  <c r="E22" i="14"/>
  <c r="F23" i="14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G24" i="14"/>
  <c r="D29" i="24" s="1"/>
  <c r="F24" i="14"/>
  <c r="C29" i="24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H24" i="14"/>
  <c r="E29" i="24" s="1"/>
  <c r="L47" i="6"/>
  <c r="M47" i="6"/>
  <c r="K53" i="6"/>
  <c r="L46" i="6"/>
  <c r="L53" i="6" s="1"/>
  <c r="M46" i="6"/>
  <c r="M65" i="6" l="1"/>
  <c r="M53" i="6"/>
  <c r="I24" i="14"/>
  <c r="F29" i="24" s="1"/>
  <c r="J24" i="14" l="1"/>
  <c r="L51" i="8"/>
  <c r="L79" i="5"/>
  <c r="G28" i="6"/>
  <c r="H28" i="6"/>
  <c r="I28" i="6"/>
  <c r="F28" i="6"/>
  <c r="G29" i="24" l="1"/>
  <c r="B15" i="24"/>
  <c r="F6" i="12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AA26" i="25" s="1"/>
  <c r="J27" i="12" l="1"/>
  <c r="K16" i="12"/>
  <c r="J21" i="12"/>
  <c r="L16" i="12" l="1"/>
  <c r="K21" i="12"/>
  <c r="M16" i="12" l="1"/>
  <c r="L21" i="12"/>
  <c r="J19" i="6"/>
  <c r="AA27" i="25" l="1"/>
  <c r="U23" i="25" s="1"/>
  <c r="N16" i="12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O7" i="12"/>
  <c r="U20" i="25" l="1"/>
  <c r="O16" i="12"/>
  <c r="O21" i="12" s="1"/>
  <c r="O20" i="12" s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O18" i="12"/>
  <c r="I17" i="4"/>
  <c r="G37" i="4"/>
  <c r="I16" i="4"/>
  <c r="F84" i="5"/>
  <c r="G84" i="5"/>
  <c r="E84" i="5"/>
  <c r="I3" i="8" l="1"/>
  <c r="O3" i="8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G18" i="12"/>
  <c r="H18" i="12"/>
  <c r="F18" i="12"/>
  <c r="G21" i="12" l="1"/>
  <c r="F21" i="12"/>
  <c r="I30" i="12"/>
  <c r="P30" i="12" s="1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I68" i="11"/>
  <c r="I85" i="11" s="1"/>
  <c r="I84" i="11"/>
  <c r="I83" i="11"/>
  <c r="I76" i="11"/>
  <c r="I73" i="11"/>
  <c r="K24" i="6"/>
  <c r="K27" i="6"/>
  <c r="E48" i="14"/>
  <c r="E45" i="14"/>
  <c r="E37" i="14"/>
  <c r="J18" i="12" l="1"/>
  <c r="J17" i="12" s="1"/>
  <c r="E9" i="12"/>
  <c r="I77" i="11"/>
  <c r="L30" i="12"/>
  <c r="K25" i="12"/>
  <c r="L28" i="12"/>
  <c r="K24" i="12"/>
  <c r="K20" i="12" s="1"/>
  <c r="I87" i="11"/>
  <c r="E54" i="14"/>
  <c r="G37" i="14"/>
  <c r="E56" i="14"/>
  <c r="G45" i="14"/>
  <c r="E57" i="14"/>
  <c r="G48" i="14"/>
  <c r="I86" i="11"/>
  <c r="J2" i="3"/>
  <c r="K18" i="12" l="1"/>
  <c r="F9" i="12"/>
  <c r="J3" i="8"/>
  <c r="V37" i="5"/>
  <c r="V33" i="5" s="1"/>
  <c r="K17" i="12"/>
  <c r="J27" i="18"/>
  <c r="G57" i="14"/>
  <c r="B43" i="24"/>
  <c r="G56" i="14"/>
  <c r="B42" i="24"/>
  <c r="G54" i="14"/>
  <c r="B41" i="24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G9" i="12"/>
  <c r="L17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E76" i="11"/>
  <c r="F73" i="11"/>
  <c r="G73" i="11"/>
  <c r="G77" i="11" s="1"/>
  <c r="E73" i="11"/>
  <c r="F85" i="11"/>
  <c r="G85" i="11"/>
  <c r="E85" i="1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M18" i="12" l="1"/>
  <c r="H9" i="12"/>
  <c r="M17" i="12"/>
  <c r="N18" i="12"/>
  <c r="I9" i="12"/>
  <c r="X37" i="5"/>
  <c r="X33" i="5" s="1"/>
  <c r="L3" i="8"/>
  <c r="L9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3" i="8" l="1"/>
  <c r="Z37" i="5"/>
  <c r="N17" i="12"/>
  <c r="O17" i="12" s="1"/>
  <c r="Y37" i="5"/>
  <c r="Y33" i="5" s="1"/>
  <c r="Z33" i="5" s="1"/>
  <c r="AA33" i="5" s="1"/>
  <c r="M3" i="8"/>
  <c r="H45" i="9"/>
  <c r="G45" i="9"/>
  <c r="F45" i="9"/>
  <c r="O45" i="9" s="1"/>
  <c r="E45" i="9"/>
  <c r="H78" i="5"/>
  <c r="G78" i="5"/>
  <c r="F78" i="5"/>
  <c r="E4" i="10"/>
  <c r="E2" i="10"/>
  <c r="I16" i="8"/>
  <c r="I5" i="4"/>
  <c r="I14" i="4"/>
  <c r="I22" i="4"/>
  <c r="I23" i="4"/>
  <c r="I36" i="4"/>
  <c r="E58" i="10" l="1"/>
  <c r="E56" i="10"/>
  <c r="E46" i="10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E59" i="14"/>
  <c r="B44" i="24" s="1"/>
  <c r="H59" i="4"/>
  <c r="H57" i="4" s="1"/>
  <c r="G59" i="14" l="1"/>
  <c r="I38" i="4"/>
  <c r="I84" i="5"/>
  <c r="I85" i="5"/>
  <c r="H84" i="5"/>
  <c r="H85" i="5"/>
  <c r="H83" i="5"/>
  <c r="I59" i="4" s="1"/>
  <c r="I57" i="4" s="1"/>
  <c r="I19" i="4"/>
  <c r="I15" i="4"/>
  <c r="E61" i="14"/>
  <c r="F61" i="14" s="1"/>
  <c r="I21" i="4"/>
  <c r="I20" i="4"/>
  <c r="G61" i="14" l="1"/>
  <c r="G23" i="6" l="1"/>
  <c r="E11" i="9"/>
  <c r="E3" i="10" l="1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E57" i="10"/>
  <c r="E47" i="10"/>
  <c r="F50" i="10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E6" i="10" l="1"/>
  <c r="O50" i="10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H56" i="10" l="1"/>
  <c r="H58" i="10"/>
  <c r="H46" i="10"/>
  <c r="H48" i="10"/>
  <c r="H57" i="10"/>
  <c r="H47" i="10"/>
  <c r="L60" i="25"/>
  <c r="N60" i="25"/>
  <c r="M60" i="25"/>
  <c r="K60" i="25"/>
  <c r="K46" i="25" s="1"/>
  <c r="Q23" i="6"/>
  <c r="O23" i="6"/>
  <c r="G24" i="8"/>
  <c r="H24" i="8"/>
  <c r="F24" i="8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F56" i="10" l="1"/>
  <c r="F58" i="10"/>
  <c r="F46" i="10"/>
  <c r="F48" i="10"/>
  <c r="F57" i="10"/>
  <c r="F47" i="10"/>
  <c r="G48" i="10"/>
  <c r="P48" i="10" s="1"/>
  <c r="G57" i="10"/>
  <c r="G47" i="10"/>
  <c r="P47" i="10" s="1"/>
  <c r="T48" i="10"/>
  <c r="R48" i="10"/>
  <c r="G56" i="10"/>
  <c r="G58" i="10"/>
  <c r="G46" i="10"/>
  <c r="P46" i="10" s="1"/>
  <c r="T47" i="10"/>
  <c r="R47" i="10"/>
  <c r="T46" i="10"/>
  <c r="R46" i="10"/>
  <c r="F27" i="8"/>
  <c r="F43" i="8" s="1"/>
  <c r="F47" i="8"/>
  <c r="H27" i="8"/>
  <c r="H43" i="8" s="1"/>
  <c r="H47" i="8"/>
  <c r="G27" i="8"/>
  <c r="G43" i="8" s="1"/>
  <c r="G47" i="8"/>
  <c r="O9" i="25"/>
  <c r="D9" i="25" s="1"/>
  <c r="P9" i="25"/>
  <c r="E9" i="25" s="1"/>
  <c r="R9" i="25"/>
  <c r="G9" i="25" s="1"/>
  <c r="N9" i="25"/>
  <c r="C9" i="25" s="1"/>
  <c r="Q9" i="25"/>
  <c r="F9" i="25" s="1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J24" i="6" l="1"/>
  <c r="J27" i="6"/>
  <c r="S47" i="10"/>
  <c r="J47" i="10" s="1"/>
  <c r="O47" i="10"/>
  <c r="K47" i="10"/>
  <c r="N47" i="10"/>
  <c r="Q47" i="10"/>
  <c r="G5" i="10"/>
  <c r="S48" i="10"/>
  <c r="J48" i="10" s="1"/>
  <c r="O48" i="10"/>
  <c r="Q48" i="10"/>
  <c r="N48" i="10"/>
  <c r="K48" i="10"/>
  <c r="S46" i="10"/>
  <c r="J46" i="10" s="1"/>
  <c r="O46" i="10"/>
  <c r="N46" i="10"/>
  <c r="Q46" i="10"/>
  <c r="K46" i="10"/>
  <c r="P47" i="8"/>
  <c r="R47" i="8"/>
  <c r="S47" i="8"/>
  <c r="O47" i="8"/>
  <c r="N47" i="8"/>
  <c r="K47" i="8"/>
  <c r="Q47" i="8"/>
  <c r="AA28" i="25"/>
  <c r="H44" i="10"/>
  <c r="H53" i="10"/>
  <c r="E44" i="10"/>
  <c r="E53" i="10"/>
  <c r="G53" i="10"/>
  <c r="F53" i="10"/>
  <c r="J14" i="8"/>
  <c r="J39" i="8" s="1"/>
  <c r="O42" i="9"/>
  <c r="R49" i="8"/>
  <c r="S49" i="8"/>
  <c r="S51" i="8" s="1"/>
  <c r="H51" i="8"/>
  <c r="P49" i="8"/>
  <c r="G51" i="8"/>
  <c r="O49" i="8"/>
  <c r="F51" i="8"/>
  <c r="Q49" i="8"/>
  <c r="Q51" i="8" s="1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J61" i="18" l="1"/>
  <c r="O5" i="10"/>
  <c r="I13" i="10"/>
  <c r="J63" i="18"/>
  <c r="O7" i="10"/>
  <c r="I18" i="10"/>
  <c r="J62" i="18"/>
  <c r="O6" i="10"/>
  <c r="I15" i="10"/>
  <c r="I4" i="9" s="1"/>
  <c r="P51" i="8"/>
  <c r="R51" i="8"/>
  <c r="H20" i="8"/>
  <c r="M22" i="25"/>
  <c r="M55" i="25" s="1"/>
  <c r="G20" i="8"/>
  <c r="L22" i="25"/>
  <c r="L55" i="25" s="1"/>
  <c r="F20" i="8"/>
  <c r="K22" i="25"/>
  <c r="K55" i="25" s="1"/>
  <c r="Q74" i="5"/>
  <c r="N74" i="5"/>
  <c r="G27" i="6"/>
  <c r="W14" i="25"/>
  <c r="V31" i="25" s="1"/>
  <c r="G22" i="6"/>
  <c r="V9" i="25"/>
  <c r="V26" i="25" s="1"/>
  <c r="W15" i="25"/>
  <c r="V28" i="25"/>
  <c r="F27" i="6"/>
  <c r="V14" i="25"/>
  <c r="U31" i="25" s="1"/>
  <c r="U38" i="25"/>
  <c r="U21" i="25" s="1"/>
  <c r="W38" i="25"/>
  <c r="F22" i="6"/>
  <c r="U26" i="25" s="1"/>
  <c r="U9" i="25"/>
  <c r="V15" i="25"/>
  <c r="U28" i="25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I17" i="10" l="1"/>
  <c r="I2" i="9"/>
  <c r="I21" i="10"/>
  <c r="I6" i="9"/>
  <c r="P75" i="5"/>
  <c r="L62" i="25"/>
  <c r="N62" i="25"/>
  <c r="M62" i="25"/>
  <c r="K62" i="25"/>
  <c r="K48" i="25" s="1"/>
  <c r="N76" i="5"/>
  <c r="Q76" i="5"/>
  <c r="N75" i="5"/>
  <c r="Q75" i="5"/>
  <c r="N79" i="5"/>
  <c r="Q79" i="5"/>
  <c r="V35" i="25"/>
  <c r="X35" i="25"/>
  <c r="P22" i="6"/>
  <c r="U35" i="25"/>
  <c r="U18" i="25" s="1"/>
  <c r="W35" i="2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M7" i="6" s="1"/>
  <c r="S76" i="5"/>
  <c r="J76" i="5" s="1"/>
  <c r="G79" i="5"/>
  <c r="R24" i="6"/>
  <c r="O4" i="6" s="1"/>
  <c r="F79" i="5"/>
  <c r="S79" i="5"/>
  <c r="J74" i="5"/>
  <c r="J31" i="5"/>
  <c r="I27" i="6"/>
  <c r="K30" i="8"/>
  <c r="K29" i="8" s="1"/>
  <c r="J27" i="8"/>
  <c r="J26" i="8" s="1"/>
  <c r="I17" i="8"/>
  <c r="I25" i="8" s="1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I22" i="10" l="1"/>
  <c r="I23" i="10"/>
  <c r="I44" i="10"/>
  <c r="I53" i="10"/>
  <c r="P77" i="5"/>
  <c r="Q77" i="5"/>
  <c r="N77" i="5"/>
  <c r="J15" i="8"/>
  <c r="J40" i="8" s="1"/>
  <c r="K31" i="5"/>
  <c r="L31" i="5" s="1"/>
  <c r="M31" i="5" s="1"/>
  <c r="N31" i="5" s="1"/>
  <c r="O31" i="5" s="1"/>
  <c r="N11" i="25"/>
  <c r="K15" i="8"/>
  <c r="J7" i="6"/>
  <c r="I16" i="6" s="1"/>
  <c r="J14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L66" i="5" s="1"/>
  <c r="M14" i="10"/>
  <c r="M3" i="9" s="1"/>
  <c r="J79" i="5"/>
  <c r="O7" i="6"/>
  <c r="N7" i="6"/>
  <c r="L15" i="8"/>
  <c r="S77" i="5"/>
  <c r="J77" i="5" s="1"/>
  <c r="N2" i="6"/>
  <c r="O2" i="6"/>
  <c r="K33" i="10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O50" i="5"/>
  <c r="L5" i="8"/>
  <c r="L18" i="8" s="1"/>
  <c r="L29" i="5" s="1"/>
  <c r="L37" i="5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J16" i="8"/>
  <c r="J3" i="10" l="1"/>
  <c r="J18" i="10" s="1"/>
  <c r="J6" i="9" s="1"/>
  <c r="J28" i="9" s="1"/>
  <c r="J3" i="5"/>
  <c r="J4" i="5" s="1"/>
  <c r="N6" i="25"/>
  <c r="I23" i="9"/>
  <c r="I48" i="9" s="1"/>
  <c r="X13" i="2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J41" i="10"/>
  <c r="J34" i="10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30" i="9"/>
  <c r="J29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K47" i="5"/>
  <c r="K20" i="8" s="1"/>
  <c r="M37" i="5"/>
  <c r="L40" i="5"/>
  <c r="L41" i="5" s="1"/>
  <c r="U40" i="25" l="1"/>
  <c r="V40" i="25"/>
  <c r="X40" i="25"/>
  <c r="W40" i="25"/>
  <c r="I33" i="6"/>
  <c r="X10" i="25"/>
  <c r="Y11" i="25"/>
  <c r="Y12" i="25" s="1"/>
  <c r="N38" i="25" s="1"/>
  <c r="C14" i="25" s="1"/>
  <c r="J8" i="6"/>
  <c r="J32" i="6" s="1"/>
  <c r="X9" i="25"/>
  <c r="Y5" i="25" s="1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E17" i="14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3" i="9"/>
  <c r="E13" i="14" s="1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J28" i="6" l="1"/>
  <c r="J10" i="6"/>
  <c r="J13" i="6" s="1"/>
  <c r="J33" i="6" s="1"/>
  <c r="W28" i="25"/>
  <c r="X15" i="25"/>
  <c r="Y8" i="25"/>
  <c r="Y6" i="25"/>
  <c r="N37" i="25" s="1"/>
  <c r="C13" i="25" s="1"/>
  <c r="C8" i="25" s="1"/>
  <c r="C16" i="25" s="1"/>
  <c r="C20" i="25"/>
  <c r="Y7" i="25"/>
  <c r="Y13" i="25"/>
  <c r="J11" i="6"/>
  <c r="J12" i="6" s="1"/>
  <c r="K8" i="6" s="1"/>
  <c r="J9" i="6"/>
  <c r="J64" i="5" s="1"/>
  <c r="J22" i="8" s="1"/>
  <c r="J22" i="9"/>
  <c r="Z49" i="25"/>
  <c r="Z50" i="25" s="1"/>
  <c r="D21" i="25" s="1"/>
  <c r="N8" i="25"/>
  <c r="N40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J44" i="8"/>
  <c r="K4" i="9"/>
  <c r="K16" i="9" s="1"/>
  <c r="K17" i="9" s="1"/>
  <c r="L17" i="10"/>
  <c r="K41" i="10"/>
  <c r="K6" i="9"/>
  <c r="K21" i="10"/>
  <c r="L6" i="9"/>
  <c r="L41" i="10"/>
  <c r="L21" i="10"/>
  <c r="F16" i="14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E16" i="14"/>
  <c r="E18" i="14" s="1"/>
  <c r="L16" i="6"/>
  <c r="L17" i="6" s="1"/>
  <c r="L42" i="10"/>
  <c r="K17" i="6"/>
  <c r="L24" i="9"/>
  <c r="L15" i="6"/>
  <c r="L65" i="5" s="1"/>
  <c r="L23" i="8" s="1"/>
  <c r="K23" i="9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J21" i="9" l="1"/>
  <c r="J19" i="9" s="1"/>
  <c r="E12" i="14" s="1"/>
  <c r="E14" i="14" s="1"/>
  <c r="J67" i="5"/>
  <c r="J17" i="8"/>
  <c r="J41" i="8" s="1"/>
  <c r="V37" i="25"/>
  <c r="U37" i="25"/>
  <c r="Y10" i="25"/>
  <c r="Y9" i="25"/>
  <c r="Z5" i="25" s="1"/>
  <c r="Z8" i="25" s="1"/>
  <c r="Y14" i="25"/>
  <c r="Z11" i="25"/>
  <c r="Z12" i="25" s="1"/>
  <c r="O38" i="25" s="1"/>
  <c r="D14" i="25" s="1"/>
  <c r="X37" i="25"/>
  <c r="W37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M17" i="9"/>
  <c r="M17" i="10"/>
  <c r="H16" i="14" s="1"/>
  <c r="G16" i="14"/>
  <c r="G17" i="14"/>
  <c r="L22" i="10"/>
  <c r="L35" i="10"/>
  <c r="L40" i="10"/>
  <c r="L12" i="8"/>
  <c r="L31" i="8" s="1"/>
  <c r="L37" i="10"/>
  <c r="L39" i="10"/>
  <c r="L38" i="10"/>
  <c r="L34" i="10"/>
  <c r="L36" i="10"/>
  <c r="K22" i="10"/>
  <c r="F17" i="14"/>
  <c r="F18" i="14" s="1"/>
  <c r="F19" i="14" s="1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3" i="5"/>
  <c r="O4" i="5" s="1"/>
  <c r="O29" i="5"/>
  <c r="K28" i="6"/>
  <c r="K32" i="6"/>
  <c r="L23" i="9"/>
  <c r="G13" i="14" s="1"/>
  <c r="M14" i="6"/>
  <c r="F13" i="14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I17" i="14"/>
  <c r="O2" i="9"/>
  <c r="O15" i="9" s="1"/>
  <c r="N15" i="9"/>
  <c r="J86" i="5" l="1"/>
  <c r="J25" i="8"/>
  <c r="J52" i="8" s="1"/>
  <c r="J42" i="8" s="1"/>
  <c r="Y15" i="25"/>
  <c r="C22" i="25" s="1"/>
  <c r="C19" i="25" s="1"/>
  <c r="Z13" i="25"/>
  <c r="Z7" i="25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G18" i="14"/>
  <c r="G19" i="14" s="1"/>
  <c r="L43" i="10"/>
  <c r="L44" i="8"/>
  <c r="K43" i="10"/>
  <c r="K44" i="8"/>
  <c r="L29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H17" i="14"/>
  <c r="H18" i="14" s="1"/>
  <c r="M30" i="9"/>
  <c r="M28" i="9"/>
  <c r="M39" i="9" s="1"/>
  <c r="K44" i="10"/>
  <c r="K23" i="10"/>
  <c r="K34" i="6" s="1"/>
  <c r="N30" i="9"/>
  <c r="N29" i="9" s="1"/>
  <c r="N37" i="10"/>
  <c r="N35" i="10"/>
  <c r="N39" i="10"/>
  <c r="J34" i="6"/>
  <c r="J35" i="6" s="1"/>
  <c r="N34" i="10"/>
  <c r="N12" i="8"/>
  <c r="N31" i="8" s="1"/>
  <c r="N43" i="10" s="1"/>
  <c r="N40" i="10"/>
  <c r="N36" i="10"/>
  <c r="K25" i="8"/>
  <c r="M24" i="9"/>
  <c r="M15" i="6"/>
  <c r="M65" i="5" s="1"/>
  <c r="M23" i="8" s="1"/>
  <c r="M16" i="6"/>
  <c r="I16" i="14"/>
  <c r="I18" i="14" s="1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21" i="8"/>
  <c r="O11" i="8"/>
  <c r="O28" i="8" s="1"/>
  <c r="J87" i="5" l="1"/>
  <c r="J32" i="8"/>
  <c r="J33" i="8" s="1"/>
  <c r="J34" i="8" s="1"/>
  <c r="N41" i="25" s="1"/>
  <c r="Z10" i="25"/>
  <c r="AA11" i="25"/>
  <c r="AA12" i="25" s="1"/>
  <c r="P38" i="25" s="1"/>
  <c r="E14" i="25" s="1"/>
  <c r="Z14" i="25"/>
  <c r="D13" i="25"/>
  <c r="D8" i="25" s="1"/>
  <c r="D16" i="25" s="1"/>
  <c r="O8" i="25"/>
  <c r="O40" i="25" s="1"/>
  <c r="Z9" i="25"/>
  <c r="AA5" i="25" s="1"/>
  <c r="AA7" i="25" s="1"/>
  <c r="O17" i="10"/>
  <c r="J16" i="14" s="1"/>
  <c r="K16" i="14" s="1"/>
  <c r="I19" i="14"/>
  <c r="N23" i="10"/>
  <c r="N34" i="6" s="1"/>
  <c r="M23" i="10"/>
  <c r="M34" i="6" s="1"/>
  <c r="O37" i="10"/>
  <c r="O21" i="10"/>
  <c r="J17" i="14" s="1"/>
  <c r="K17" i="14" s="1"/>
  <c r="H19" i="14"/>
  <c r="O12" i="8"/>
  <c r="O31" i="8" s="1"/>
  <c r="O43" i="10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F7" i="14"/>
  <c r="F11" i="14" s="1"/>
  <c r="K87" i="5"/>
  <c r="K32" i="8"/>
  <c r="K33" i="8" s="1"/>
  <c r="K34" i="8" s="1"/>
  <c r="O41" i="25" s="1"/>
  <c r="L11" i="6"/>
  <c r="L32" i="6"/>
  <c r="M23" i="9"/>
  <c r="M17" i="6"/>
  <c r="N14" i="6"/>
  <c r="L9" i="6"/>
  <c r="L64" i="5" s="1"/>
  <c r="L22" i="9"/>
  <c r="L28" i="6"/>
  <c r="L10" i="6"/>
  <c r="F12" i="14"/>
  <c r="F14" i="14" s="1"/>
  <c r="F15" i="14" s="1"/>
  <c r="O43" i="8"/>
  <c r="P43" i="8" s="1"/>
  <c r="O42" i="10"/>
  <c r="K18" i="14" l="1"/>
  <c r="J35" i="8"/>
  <c r="J36" i="8" s="1"/>
  <c r="J88" i="5" s="1"/>
  <c r="C17" i="25"/>
  <c r="C18" i="25" s="1"/>
  <c r="C23" i="25" s="1"/>
  <c r="N42" i="25"/>
  <c r="C21" i="24"/>
  <c r="D21" i="24"/>
  <c r="E21" i="24"/>
  <c r="E20" i="24"/>
  <c r="C20" i="24"/>
  <c r="D20" i="24"/>
  <c r="AA13" i="25"/>
  <c r="AB11" i="25" s="1"/>
  <c r="AB12" i="25" s="1"/>
  <c r="Q38" i="25" s="1"/>
  <c r="F14" i="25" s="1"/>
  <c r="Z15" i="25"/>
  <c r="D22" i="25" s="1"/>
  <c r="D19" i="25" s="1"/>
  <c r="AA10" i="25"/>
  <c r="AA8" i="25"/>
  <c r="E20" i="25"/>
  <c r="AA6" i="25"/>
  <c r="P37" i="25" s="1"/>
  <c r="D17" i="25"/>
  <c r="D18" i="25" s="1"/>
  <c r="O42" i="25"/>
  <c r="J18" i="14"/>
  <c r="O44" i="8"/>
  <c r="P44" i="8" s="1"/>
  <c r="O22" i="10"/>
  <c r="O44" i="10" s="1"/>
  <c r="O30" i="9"/>
  <c r="O29" i="9" s="1"/>
  <c r="K35" i="8"/>
  <c r="K36" i="8" s="1"/>
  <c r="K9" i="9" s="1"/>
  <c r="N24" i="9"/>
  <c r="N15" i="6"/>
  <c r="N65" i="5" s="1"/>
  <c r="N23" i="8" s="1"/>
  <c r="N16" i="6"/>
  <c r="H13" i="14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J9" i="9" l="1"/>
  <c r="J35" i="9" s="1"/>
  <c r="J36" i="9" s="1"/>
  <c r="J89" i="5" s="1"/>
  <c r="J83" i="5"/>
  <c r="J53" i="8"/>
  <c r="K19" i="14"/>
  <c r="J19" i="14"/>
  <c r="E22" i="24"/>
  <c r="E23" i="24" s="1"/>
  <c r="C22" i="24"/>
  <c r="C23" i="24" s="1"/>
  <c r="D22" i="24"/>
  <c r="D23" i="24" s="1"/>
  <c r="D23" i="25"/>
  <c r="AA14" i="25"/>
  <c r="AA15" i="25" s="1"/>
  <c r="E22" i="25" s="1"/>
  <c r="E19" i="25" s="1"/>
  <c r="AB13" i="25"/>
  <c r="AC11" i="25" s="1"/>
  <c r="AC12" i="25" s="1"/>
  <c r="R38" i="25" s="1"/>
  <c r="G14" i="25" s="1"/>
  <c r="E13" i="25"/>
  <c r="E8" i="25" s="1"/>
  <c r="E16" i="25" s="1"/>
  <c r="P8" i="25"/>
  <c r="P40" i="25" s="1"/>
  <c r="AA9" i="25"/>
  <c r="AB5" i="25" s="1"/>
  <c r="AB8" i="25" s="1"/>
  <c r="O23" i="10"/>
  <c r="O34" i="6" s="1"/>
  <c r="K83" i="5"/>
  <c r="K88" i="5"/>
  <c r="F10" i="14"/>
  <c r="F20" i="14" s="1"/>
  <c r="C34" i="24" s="1"/>
  <c r="K53" i="8"/>
  <c r="N23" i="9"/>
  <c r="O14" i="6"/>
  <c r="O16" i="6" s="1"/>
  <c r="N17" i="6"/>
  <c r="G12" i="14"/>
  <c r="G14" i="14" s="1"/>
  <c r="G15" i="14" s="1"/>
  <c r="L25" i="8"/>
  <c r="L86" i="5"/>
  <c r="M28" i="6"/>
  <c r="M22" i="9"/>
  <c r="M11" i="6"/>
  <c r="M10" i="6"/>
  <c r="M9" i="6"/>
  <c r="M64" i="5" s="1"/>
  <c r="J85" i="5" l="1"/>
  <c r="J38" i="9"/>
  <c r="J40" i="9"/>
  <c r="J37" i="9"/>
  <c r="K35" i="9"/>
  <c r="K36" i="9" s="1"/>
  <c r="K40" i="9" s="1"/>
  <c r="J90" i="5"/>
  <c r="J27" i="9"/>
  <c r="J26" i="9" s="1"/>
  <c r="J25" i="9" s="1"/>
  <c r="J18" i="9" s="1"/>
  <c r="AB14" i="25"/>
  <c r="AC13" i="25"/>
  <c r="AC14" i="25" s="1"/>
  <c r="AB7" i="25"/>
  <c r="F20" i="25"/>
  <c r="AB6" i="25"/>
  <c r="Q37" i="25" s="1"/>
  <c r="L52" i="8"/>
  <c r="L42" i="8" s="1"/>
  <c r="G7" i="14"/>
  <c r="G11" i="14" s="1"/>
  <c r="O17" i="6"/>
  <c r="O23" i="9"/>
  <c r="J13" i="14" s="1"/>
  <c r="O24" i="9"/>
  <c r="O15" i="6"/>
  <c r="O65" i="5" s="1"/>
  <c r="O23" i="8" s="1"/>
  <c r="I13" i="14"/>
  <c r="L87" i="5"/>
  <c r="L32" i="8"/>
  <c r="L33" i="8" s="1"/>
  <c r="L34" i="8" s="1"/>
  <c r="P41" i="25" s="1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K38" i="9" l="1"/>
  <c r="K85" i="5"/>
  <c r="K37" i="9"/>
  <c r="K89" i="5"/>
  <c r="F13" i="25"/>
  <c r="F8" i="25" s="1"/>
  <c r="F16" i="25" s="1"/>
  <c r="Q8" i="25"/>
  <c r="Q40" i="25" s="1"/>
  <c r="AB10" i="25"/>
  <c r="AB15" i="25" s="1"/>
  <c r="F22" i="25" s="1"/>
  <c r="F19" i="25" s="1"/>
  <c r="AB9" i="25"/>
  <c r="AC5" i="25" s="1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H12" i="14"/>
  <c r="H14" i="14" s="1"/>
  <c r="H15" i="14" s="1"/>
  <c r="N11" i="6"/>
  <c r="K27" i="9" l="1"/>
  <c r="K26" i="9" s="1"/>
  <c r="K90" i="5"/>
  <c r="AC6" i="25"/>
  <c r="R37" i="25" s="1"/>
  <c r="G20" i="25"/>
  <c r="AC8" i="25"/>
  <c r="AC7" i="25"/>
  <c r="M52" i="8"/>
  <c r="M42" i="8" s="1"/>
  <c r="H7" i="14"/>
  <c r="H11" i="14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 s="1"/>
  <c r="L83" i="5"/>
  <c r="N22" i="8"/>
  <c r="N17" i="8" s="1"/>
  <c r="N41" i="8" s="1"/>
  <c r="N67" i="5"/>
  <c r="G10" i="14"/>
  <c r="G20" i="14" s="1"/>
  <c r="D34" i="24" s="1"/>
  <c r="M32" i="8"/>
  <c r="M33" i="8" s="1"/>
  <c r="M34" i="8" s="1"/>
  <c r="Q41" i="25" s="1"/>
  <c r="M87" i="5"/>
  <c r="K25" i="9"/>
  <c r="K18" i="9" s="1"/>
  <c r="AC9" i="25" l="1"/>
  <c r="AC10" i="25"/>
  <c r="AC15" i="25" s="1"/>
  <c r="G22" i="25" s="1"/>
  <c r="G19" i="25" s="1"/>
  <c r="G13" i="25"/>
  <c r="G8" i="25" s="1"/>
  <c r="G16" i="25" s="1"/>
  <c r="R8" i="25"/>
  <c r="R40" i="25" s="1"/>
  <c r="F17" i="25"/>
  <c r="F18" i="25" s="1"/>
  <c r="F23" i="25" s="1"/>
  <c r="Q42" i="25"/>
  <c r="O10" i="6"/>
  <c r="O21" i="9" s="1"/>
  <c r="O19" i="9" s="1"/>
  <c r="J12" i="14" s="1"/>
  <c r="J14" i="14" s="1"/>
  <c r="O32" i="6"/>
  <c r="L40" i="9"/>
  <c r="L37" i="9"/>
  <c r="L38" i="9"/>
  <c r="L85" i="5"/>
  <c r="I12" i="14"/>
  <c r="I14" i="14" s="1"/>
  <c r="I15" i="14" s="1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O12" i="6"/>
  <c r="N52" i="8"/>
  <c r="N42" i="8" s="1"/>
  <c r="I7" i="14"/>
  <c r="I11" i="14" s="1"/>
  <c r="O35" i="6"/>
  <c r="M53" i="8"/>
  <c r="M9" i="9"/>
  <c r="M35" i="9" s="1"/>
  <c r="M36" i="9" s="1"/>
  <c r="M89" i="5" s="1"/>
  <c r="M88" i="5"/>
  <c r="M83" i="5"/>
  <c r="N32" i="8"/>
  <c r="N33" i="8" s="1"/>
  <c r="N87" i="5"/>
  <c r="H10" i="14"/>
  <c r="H20" i="14" s="1"/>
  <c r="E34" i="24" s="1"/>
  <c r="O67" i="5"/>
  <c r="O22" i="8"/>
  <c r="O17" i="8" s="1"/>
  <c r="J15" i="14"/>
  <c r="O41" i="8" l="1"/>
  <c r="O86" i="5"/>
  <c r="O25" i="8"/>
  <c r="N34" i="8"/>
  <c r="R41" i="25" s="1"/>
  <c r="M38" i="9"/>
  <c r="M40" i="9"/>
  <c r="M37" i="9"/>
  <c r="M85" i="5"/>
  <c r="N35" i="8" l="1"/>
  <c r="N36" i="8" s="1"/>
  <c r="O32" i="8"/>
  <c r="O87" i="5"/>
  <c r="O52" i="8"/>
  <c r="O42" i="8" s="1"/>
  <c r="J7" i="14"/>
  <c r="M27" i="9"/>
  <c r="M26" i="9" s="1"/>
  <c r="M25" i="9" s="1"/>
  <c r="M18" i="9" s="1"/>
  <c r="M90" i="5"/>
  <c r="G17" i="25"/>
  <c r="G18" i="25" s="1"/>
  <c r="G23" i="25" s="1"/>
  <c r="R42" i="25"/>
  <c r="N53" i="8"/>
  <c r="N9" i="9"/>
  <c r="N35" i="9" s="1"/>
  <c r="N83" i="5"/>
  <c r="N88" i="5"/>
  <c r="I10" i="14"/>
  <c r="I20" i="14" s="1"/>
  <c r="F34" i="24" s="1"/>
  <c r="B16" i="24" l="1"/>
  <c r="J11" i="14"/>
  <c r="J20" i="14" s="1"/>
  <c r="G34" i="24" s="1"/>
  <c r="K11" i="14"/>
  <c r="O33" i="8"/>
  <c r="X10" i="18"/>
  <c r="N36" i="9"/>
  <c r="N89" i="5" s="1"/>
  <c r="O34" i="8" l="1"/>
  <c r="O35" i="8" s="1"/>
  <c r="O36" i="8" s="1"/>
  <c r="J10" i="14"/>
  <c r="K10" i="14" s="1"/>
  <c r="E30" i="4" s="1"/>
  <c r="E24" i="24"/>
  <c r="C24" i="24"/>
  <c r="D24" i="24"/>
  <c r="X99" i="25"/>
  <c r="G35" i="22"/>
  <c r="Y10" i="18"/>
  <c r="N38" i="9"/>
  <c r="N40" i="9"/>
  <c r="N85" i="5"/>
  <c r="N37" i="9"/>
  <c r="N90" i="5" s="1"/>
  <c r="V117" i="25" l="1"/>
  <c r="E27" i="4"/>
  <c r="I27" i="4" s="1"/>
  <c r="X28" i="18"/>
  <c r="E32" i="4"/>
  <c r="I32" i="4" s="1"/>
  <c r="R5" i="17"/>
  <c r="I30" i="4"/>
  <c r="O9" i="9"/>
  <c r="O35" i="9" s="1"/>
  <c r="O36" i="9" s="1"/>
  <c r="O53" i="8"/>
  <c r="O83" i="5"/>
  <c r="O88" i="5"/>
  <c r="Y99" i="25"/>
  <c r="H35" i="22"/>
  <c r="N27" i="9"/>
  <c r="N26" i="9" s="1"/>
  <c r="N25" i="9" s="1"/>
  <c r="N18" i="9" s="1"/>
  <c r="I33" i="4"/>
  <c r="O37" i="9" l="1"/>
  <c r="O89" i="5"/>
  <c r="O38" i="9"/>
  <c r="O40" i="9"/>
  <c r="O85" i="5"/>
  <c r="P8" i="17"/>
  <c r="P9" i="17"/>
  <c r="P11" i="17"/>
  <c r="P10" i="17"/>
  <c r="P12" i="17"/>
  <c r="X30" i="18"/>
  <c r="E54" i="22"/>
  <c r="X7" i="18" l="1"/>
  <c r="R10" i="17"/>
  <c r="Y7" i="18" s="1"/>
  <c r="Q10" i="17"/>
  <c r="X6" i="18"/>
  <c r="R9" i="17"/>
  <c r="Y6" i="18" s="1"/>
  <c r="Q9" i="17"/>
  <c r="X9" i="18"/>
  <c r="Q12" i="17"/>
  <c r="R12" i="17"/>
  <c r="Y9" i="18" s="1"/>
  <c r="X8" i="18"/>
  <c r="Q11" i="17"/>
  <c r="R11" i="17"/>
  <c r="Y8" i="18" s="1"/>
  <c r="X5" i="18"/>
  <c r="R8" i="17"/>
  <c r="Q8" i="17"/>
  <c r="P6" i="17"/>
  <c r="E55" i="23" s="1"/>
  <c r="O27" i="9"/>
  <c r="O26" i="9" s="1"/>
  <c r="O25" i="9" s="1"/>
  <c r="O18" i="9" s="1"/>
  <c r="P18" i="9" s="1"/>
  <c r="O90" i="5"/>
  <c r="Q6" i="17" l="1"/>
  <c r="E28" i="4" s="1"/>
  <c r="I28" i="4" s="1"/>
  <c r="Y98" i="25"/>
  <c r="H34" i="22"/>
  <c r="Y95" i="25"/>
  <c r="H31" i="22"/>
  <c r="X20" i="18"/>
  <c r="G45" i="22" s="1"/>
  <c r="G30" i="22"/>
  <c r="X94" i="25"/>
  <c r="X97" i="25"/>
  <c r="G33" i="22"/>
  <c r="Y96" i="25"/>
  <c r="H32" i="22"/>
  <c r="Y5" i="18"/>
  <c r="R6" i="17"/>
  <c r="Y97" i="25"/>
  <c r="H33" i="22"/>
  <c r="X98" i="25"/>
  <c r="G34" i="22"/>
  <c r="X95" i="25"/>
  <c r="G31" i="22"/>
  <c r="G32" i="22"/>
  <c r="X96" i="25"/>
  <c r="E56" i="23" l="1"/>
  <c r="F28" i="4"/>
  <c r="E34" i="4" s="1"/>
  <c r="Y94" i="25"/>
  <c r="Y109" i="25" s="1"/>
  <c r="V112" i="25" s="1"/>
  <c r="H30" i="22"/>
  <c r="Y20" i="18"/>
  <c r="X109" i="25"/>
  <c r="H45" i="22" l="1"/>
  <c r="X23" i="18"/>
  <c r="E49" i="22" s="1"/>
  <c r="V116" i="25"/>
  <c r="I34" i="4"/>
  <c r="X27" i="18"/>
  <c r="E53" i="22" s="1"/>
  <c r="E35" i="4"/>
  <c r="G34" i="4"/>
  <c r="AF23" i="18" l="1"/>
  <c r="H78" i="22" s="1"/>
  <c r="F3" i="14"/>
  <c r="F5" i="14" s="1"/>
  <c r="F21" i="14" s="1"/>
  <c r="G3" i="14"/>
  <c r="G5" i="14" s="1"/>
  <c r="G21" i="14" s="1"/>
  <c r="AC23" i="18"/>
  <c r="E78" i="22" s="1"/>
  <c r="B40" i="24"/>
  <c r="B32" i="24" s="1"/>
  <c r="V119" i="25"/>
  <c r="I35" i="4"/>
  <c r="X31" i="18"/>
  <c r="E56" i="22" s="1"/>
  <c r="AE23" i="18"/>
  <c r="G78" i="22" s="1"/>
  <c r="H3" i="14"/>
  <c r="H5" i="14" s="1"/>
  <c r="H21" i="14" s="1"/>
  <c r="AG23" i="18"/>
  <c r="I78" i="22" s="1"/>
  <c r="I3" i="14"/>
  <c r="I5" i="14" s="1"/>
  <c r="I21" i="14" s="1"/>
  <c r="J3" i="14"/>
  <c r="AD23" i="18"/>
  <c r="F78" i="22" s="1"/>
  <c r="J5" i="14" l="1"/>
  <c r="K3" i="14"/>
  <c r="K20" i="14" s="1"/>
  <c r="H24" i="25"/>
  <c r="C24" i="25"/>
  <c r="C26" i="25" s="1"/>
  <c r="C28" i="25" s="1"/>
  <c r="G24" i="25"/>
  <c r="G26" i="25" s="1"/>
  <c r="D24" i="25"/>
  <c r="D26" i="25" s="1"/>
  <c r="D28" i="25" s="1"/>
  <c r="F24" i="25"/>
  <c r="F26" i="25" s="1"/>
  <c r="F28" i="25" s="1"/>
  <c r="E24" i="25"/>
  <c r="E26" i="25" s="1"/>
  <c r="E28" i="25" s="1"/>
  <c r="B33" i="24"/>
  <c r="B31" i="24"/>
  <c r="C32" i="24"/>
  <c r="C36" i="24" s="1"/>
  <c r="D32" i="24"/>
  <c r="D36" i="24" s="1"/>
  <c r="F32" i="24"/>
  <c r="F36" i="24" s="1"/>
  <c r="B49" i="24"/>
  <c r="B47" i="24"/>
  <c r="B48" i="24"/>
  <c r="B21" i="24"/>
  <c r="E32" i="24"/>
  <c r="E36" i="24" s="1"/>
  <c r="G32" i="24"/>
  <c r="G36" i="24" s="1"/>
  <c r="B37" i="24" l="1"/>
  <c r="B52" i="24"/>
  <c r="B55" i="24" s="1"/>
  <c r="B58" i="24" s="1"/>
  <c r="I1" i="24" s="1"/>
  <c r="AE42" i="18" s="1"/>
  <c r="G49" i="24"/>
  <c r="E49" i="24" s="1"/>
  <c r="B51" i="24"/>
  <c r="B54" i="24" s="1"/>
  <c r="B57" i="24" s="1"/>
  <c r="H1" i="24" s="1"/>
  <c r="AD42" i="18" s="1"/>
  <c r="G48" i="24"/>
  <c r="B36" i="24"/>
  <c r="B35" i="24"/>
  <c r="G47" i="24"/>
  <c r="C47" i="24" s="1"/>
  <c r="B50" i="24"/>
  <c r="B53" i="24" s="1"/>
  <c r="B56" i="24" s="1"/>
  <c r="G1" i="24" s="1"/>
  <c r="AC42" i="18" s="1"/>
  <c r="E31" i="24"/>
  <c r="E35" i="24" s="1"/>
  <c r="D31" i="24"/>
  <c r="D35" i="24" s="1"/>
  <c r="G31" i="24"/>
  <c r="G35" i="24" s="1"/>
  <c r="C31" i="24"/>
  <c r="C35" i="24" s="1"/>
  <c r="F31" i="24"/>
  <c r="F35" i="24" s="1"/>
  <c r="B20" i="24"/>
  <c r="F33" i="24"/>
  <c r="F37" i="24" s="1"/>
  <c r="C33" i="24"/>
  <c r="C37" i="24" s="1"/>
  <c r="E33" i="24"/>
  <c r="E37" i="24" s="1"/>
  <c r="D33" i="24"/>
  <c r="D37" i="24" s="1"/>
  <c r="G33" i="24"/>
  <c r="G37" i="24" s="1"/>
  <c r="B22" i="24"/>
  <c r="G28" i="25"/>
  <c r="C29" i="25" s="1"/>
  <c r="H26" i="25"/>
  <c r="C30" i="25" s="1"/>
  <c r="K5" i="14"/>
  <c r="K21" i="14" s="1"/>
  <c r="J21" i="14"/>
  <c r="E53" i="14" l="1"/>
  <c r="C31" i="25"/>
  <c r="C33" i="25" s="1"/>
  <c r="C36" i="25" s="1"/>
  <c r="C38" i="25" s="1"/>
  <c r="D38" i="25" s="1"/>
  <c r="D49" i="24"/>
  <c r="C49" i="24"/>
  <c r="C52" i="24" s="1"/>
  <c r="C55" i="24" s="1"/>
  <c r="C58" i="24" s="1"/>
  <c r="E47" i="24"/>
  <c r="E50" i="24" s="1"/>
  <c r="E53" i="24" s="1"/>
  <c r="E56" i="24" s="1"/>
  <c r="D47" i="24"/>
  <c r="D50" i="24" s="1"/>
  <c r="D53" i="24" s="1"/>
  <c r="D56" i="24" s="1"/>
  <c r="E52" i="24"/>
  <c r="E55" i="24" s="1"/>
  <c r="E58" i="24" s="1"/>
  <c r="D52" i="24"/>
  <c r="D55" i="24" s="1"/>
  <c r="D58" i="24" s="1"/>
  <c r="D48" i="24"/>
  <c r="D51" i="24" s="1"/>
  <c r="D54" i="24" s="1"/>
  <c r="D57" i="24" s="1"/>
  <c r="E48" i="24"/>
  <c r="E51" i="24" s="1"/>
  <c r="E54" i="24" s="1"/>
  <c r="E57" i="24" s="1"/>
  <c r="C48" i="24"/>
  <c r="C51" i="24" s="1"/>
  <c r="C54" i="24" s="1"/>
  <c r="C57" i="24" s="1"/>
  <c r="C50" i="24"/>
  <c r="C53" i="24" s="1"/>
  <c r="C56" i="24" s="1"/>
  <c r="E55" i="14"/>
  <c r="G53" i="14"/>
  <c r="E58" i="14" l="1"/>
  <c r="G55" i="14"/>
  <c r="B2" i="24" a="1"/>
  <c r="B2" i="24" l="1"/>
  <c r="D4" i="24"/>
  <c r="D2" i="24"/>
  <c r="B4" i="24"/>
  <c r="C4" i="24"/>
  <c r="B3" i="24"/>
  <c r="C2" i="24"/>
  <c r="C3" i="24"/>
  <c r="D3" i="24"/>
  <c r="E60" i="14"/>
  <c r="G58" i="14"/>
  <c r="F60" i="14" l="1"/>
  <c r="B7" i="24"/>
  <c r="G60" i="14"/>
  <c r="I3" i="24"/>
  <c r="AE44" i="18"/>
  <c r="H3" i="24"/>
  <c r="AD44" i="18"/>
  <c r="AD43" i="18"/>
  <c r="H2" i="24"/>
  <c r="G3" i="24"/>
  <c r="AC44" i="18"/>
  <c r="H4" i="24"/>
  <c r="AD45" i="18"/>
  <c r="AC45" i="18"/>
  <c r="G4" i="24"/>
  <c r="I2" i="24"/>
  <c r="AE43" i="18"/>
  <c r="I4" i="24"/>
  <c r="AE45" i="18"/>
  <c r="AC43" i="18"/>
  <c r="G2" i="24"/>
  <c r="L20" i="6" l="1"/>
  <c r="E39" i="4"/>
  <c r="C2" i="18"/>
  <c r="D2" i="18" s="1"/>
  <c r="L72" i="5"/>
  <c r="E51" i="23"/>
  <c r="Q44" i="8"/>
  <c r="Q39" i="9"/>
  <c r="Q43" i="10"/>
  <c r="M7" i="12"/>
  <c r="F39" i="4" l="1"/>
  <c r="E59" i="4"/>
  <c r="G59" i="4" s="1"/>
  <c r="I39" i="4"/>
  <c r="P5" i="17"/>
  <c r="E57" i="4" l="1"/>
  <c r="J59" i="4"/>
  <c r="K59" i="4"/>
  <c r="G57" i="4"/>
  <c r="F57" i="4"/>
  <c r="P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<sst xmlns="http://schemas.openxmlformats.org/spreadsheetml/2006/main" count="38374" uniqueCount="17805">
  <si>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</si>
  <si>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</si>
  <si>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</si>
  <si>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</si>
  <si>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</si>
  <si>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</si>
  <si>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</si>
  <si>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</si>
  <si>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</si>
  <si>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</si>
  <si>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</si>
  <si>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</si>
  <si>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</si>
  <si>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</si>
  <si>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</si>
  <si>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</si>
  <si>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</si>
  <si>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</si>
  <si>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</si>
  <si>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</si>
  <si>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</si>
  <si>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</si>
  <si>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</si>
  <si>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</si>
  <si>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</si>
  <si>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</si>
  <si>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</si>
  <si>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</si>
  <si>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</si>
  <si>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</si>
  <si>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</si>
  <si>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</si>
  <si>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</si>
  <si>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</si>
  <si>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</si>
  <si>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</si>
  <si>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</si>
  <si>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</si>
  <si>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</si>
  <si>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</si>
  <si>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</si>
  <si>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</si>
  <si>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</si>
  <si>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</si>
  <si>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</si>
  <si>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</si>
  <si>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</si>
  <si>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</si>
  <si>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</si>
  <si>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</si>
  <si>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</si>
  <si>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</si>
  <si>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</si>
  <si>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</si>
  <si>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</si>
  <si>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</si>
  <si>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</si>
  <si>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</si>
  <si>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</si>
  <si>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</si>
  <si>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</si>
  <si>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</si>
  <si>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</si>
  <si>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</si>
  <si>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</si>
  <si>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</si>
  <si>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</si>
  <si>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</si>
  <si>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</si>
  <si>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</si>
  <si>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</si>
  <si>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</si>
  <si>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</si>
  <si>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</si>
  <si>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</si>
  <si>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</si>
  <si>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</si>
  <si>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</si>
  <si>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</si>
  <si>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</si>
  <si>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</si>
  <si>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</si>
  <si>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</si>
  <si>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</si>
  <si>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</si>
  <si>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</si>
  <si>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</si>
  <si>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</si>
  <si>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</si>
  <si>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</si>
  <si>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</si>
  <si>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</si>
  <si>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</si>
  <si>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</si>
  <si>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</si>
  <si>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</si>
  <si>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</si>
  <si>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</si>
  <si>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</si>
  <si>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</si>
  <si>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</si>
  <si>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</si>
  <si>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</si>
  <si>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</si>
  <si>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</si>
  <si>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</si>
  <si>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</si>
  <si>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</si>
  <si>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</si>
  <si>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</si>
  <si>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</si>
  <si>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</si>
  <si>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</si>
  <si>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</si>
  <si>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</si>
  <si>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</si>
  <si>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</si>
  <si>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</si>
  <si>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</si>
  <si>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</si>
  <si>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</si>
  <si>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</si>
  <si>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</si>
  <si>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</si>
  <si>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</si>
  <si>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</si>
  <si>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</si>
  <si>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</si>
  <si>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</si>
  <si>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</si>
  <si>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</si>
  <si>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</si>
  <si>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</si>
  <si>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</si>
  <si>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</si>
  <si>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</si>
  <si>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</si>
  <si>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</si>
  <si>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</si>
  <si>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</si>
  <si>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</si>
  <si>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</si>
  <si>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</si>
  <si>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</si>
  <si>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</si>
  <si>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</si>
  <si>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</si>
  <si>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</si>
  <si>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</si>
  <si>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</si>
  <si>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</si>
  <si>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</si>
  <si>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</si>
  <si>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</si>
  <si>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</si>
  <si>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</si>
  <si>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</si>
  <si>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</si>
  <si>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</si>
  <si>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</si>
  <si>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</si>
  <si>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</si>
  <si>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</si>
  <si>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</si>
  <si>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</si>
  <si>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</si>
  <si>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</si>
  <si>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</si>
  <si>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</si>
  <si>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</si>
  <si>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</si>
  <si>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</si>
  <si>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</si>
  <si>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</si>
  <si>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</si>
  <si>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</si>
  <si>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</si>
  <si>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</si>
  <si>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</si>
  <si>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</si>
  <si>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</si>
  <si>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</si>
  <si>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</si>
  <si>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</si>
  <si>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</si>
  <si>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</si>
  <si>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</si>
  <si>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</si>
  <si>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</si>
  <si>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</si>
  <si>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</si>
  <si>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</si>
  <si>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</si>
  <si>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</si>
  <si>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</si>
  <si>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</si>
  <si>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</si>
  <si>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</si>
  <si>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</si>
  <si>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</si>
  <si>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</si>
  <si>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</si>
  <si>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</si>
  <si>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</si>
  <si>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</si>
  <si>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</si>
  <si>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</si>
  <si>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</si>
  <si>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</si>
  <si>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</si>
  <si>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</si>
  <si>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</si>
  <si>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</si>
  <si>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</si>
  <si>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</si>
  <si>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</si>
  <si>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</si>
  <si>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</si>
  <si>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</si>
  <si>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</si>
  <si>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</si>
  <si>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</si>
  <si>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</si>
  <si>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</si>
  <si>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</si>
  <si>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</si>
  <si>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</si>
  <si>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</si>
  <si>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</si>
  <si>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</si>
  <si>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</si>
  <si>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</si>
  <si>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</si>
  <si>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</si>
  <si>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</si>
  <si>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</si>
  <si>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</si>
  <si>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</si>
  <si>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</si>
  <si>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</si>
  <si>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</si>
  <si>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</si>
  <si>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</si>
  <si>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</si>
  <si>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</si>
  <si>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</si>
  <si>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</si>
  <si>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</si>
  <si>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</si>
  <si>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</si>
  <si>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</si>
  <si>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</si>
  <si>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</si>
  <si>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</si>
  <si>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</si>
  <si>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</si>
  <si>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</si>
  <si>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</si>
  <si>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</si>
  <si>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</si>
  <si>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</si>
  <si>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</si>
  <si>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</si>
  <si>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</si>
  <si>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</si>
  <si>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</si>
  <si>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</si>
  <si>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</si>
  <si>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</si>
  <si>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</si>
  <si>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</si>
  <si>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</si>
  <si>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</si>
  <si>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</si>
  <si>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</si>
  <si>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</si>
  <si>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</si>
  <si>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</si>
  <si>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</si>
  <si>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</si>
  <si>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</si>
  <si>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</si>
  <si>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</si>
  <si>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</si>
  <si>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</si>
  <si>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</si>
  <si>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</si>
  <si>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</si>
  <si>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</si>
  <si>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</si>
  <si>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</si>
  <si>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</si>
  <si>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</si>
  <si>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</si>
  <si>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</si>
  <si>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</si>
  <si>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</si>
  <si>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</si>
  <si>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</si>
  <si>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</si>
  <si>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</si>
  <si>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</si>
  <si>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</si>
  <si>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</si>
  <si>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</si>
  <si>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</si>
  <si>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</si>
  <si>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</si>
  <si>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</si>
  <si>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</si>
  <si>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</si>
  <si>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</si>
  <si>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</si>
  <si>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</si>
  <si>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</si>
  <si>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</si>
  <si>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</si>
  <si>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</si>
  <si>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</si>
  <si>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</si>
  <si>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</si>
  <si>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</si>
  <si>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</si>
  <si>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</si>
  <si>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</si>
  <si>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</si>
  <si>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</si>
  <si>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</si>
  <si>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</si>
  <si>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</si>
  <si>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</si>
  <si>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</si>
  <si>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</si>
  <si>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</si>
  <si>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</si>
  <si>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</si>
  <si>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</si>
  <si>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</si>
  <si>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</si>
  <si>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</si>
  <si>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</si>
  <si>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</si>
  <si>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</si>
  <si>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</si>
  <si>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</si>
  <si>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</si>
  <si>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</si>
  <si>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</si>
  <si>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</si>
  <si>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</si>
  <si>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</si>
  <si>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</si>
  <si>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</si>
  <si>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</si>
  <si>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</si>
  <si>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</si>
  <si>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</si>
  <si>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</si>
  <si>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</si>
  <si>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</si>
  <si>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</si>
  <si>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</si>
  <si>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</si>
  <si>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</si>
  <si>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</si>
  <si>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</si>
  <si>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</si>
  <si>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</si>
  <si>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</si>
  <si>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</si>
  <si>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</si>
  <si>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</si>
  <si>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</si>
  <si>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</si>
  <si>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</si>
  <si>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</si>
  <si>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</si>
  <si>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</si>
  <si>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</si>
  <si>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</si>
  <si>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</si>
  <si>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</si>
  <si>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</si>
  <si>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</si>
  <si>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</si>
  <si>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</si>
  <si>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</si>
  <si>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</si>
  <si>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</si>
  <si>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</si>
  <si>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</si>
  <si>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</si>
  <si>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</si>
  <si>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</si>
  <si>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</si>
  <si>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</si>
  <si>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</si>
  <si>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</si>
  <si>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</si>
  <si>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</si>
  <si>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</si>
  <si>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</si>
  <si>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</si>
  <si>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</si>
  <si>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</si>
  <si>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</si>
  <si>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</si>
  <si>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</si>
  <si>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</si>
  <si>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</si>
  <si>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</si>
  <si>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</si>
  <si>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</si>
  <si>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</si>
  <si>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</si>
  <si>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</si>
  <si>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</si>
  <si>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</si>
  <si>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</si>
  <si>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</si>
  <si>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</si>
  <si>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</si>
  <si>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</si>
  <si>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</si>
  <si>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</si>
  <si>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</si>
  <si>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</si>
  <si>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</si>
  <si>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</si>
  <si>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</si>
  <si>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</si>
  <si>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</si>
  <si>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</si>
  <si>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</si>
  <si>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</si>
  <si>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</si>
  <si>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</si>
  <si>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</si>
  <si>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</si>
  <si>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</si>
  <si>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</si>
  <si>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</si>
  <si>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</si>
  <si>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</si>
  <si>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</si>
  <si>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</si>
  <si>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</si>
  <si>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</si>
  <si>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</si>
  <si>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</si>
  <si>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</si>
  <si>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</si>
  <si>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</si>
  <si>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</si>
  <si>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</si>
  <si>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</si>
  <si>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</si>
  <si>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</si>
  <si>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</si>
  <si>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</si>
  <si>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</si>
  <si>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</si>
  <si>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</si>
  <si>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</si>
  <si>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</si>
  <si>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</si>
  <si>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</si>
  <si>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</si>
  <si>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</si>
  <si>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</si>
  <si>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</si>
  <si>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</si>
  <si>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</si>
  <si>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</si>
  <si>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</si>
  <si>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</si>
  <si>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</si>
  <si>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</si>
  <si>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</si>
  <si>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</si>
  <si>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</si>
  <si>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</si>
  <si>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</si>
  <si>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</si>
  <si>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</si>
  <si>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</si>
  <si>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</si>
  <si>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</si>
  <si>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</si>
  <si>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</si>
  <si>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</si>
  <si>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</si>
  <si>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</si>
  <si>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</si>
  <si>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</si>
  <si>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</si>
  <si>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</si>
  <si>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</si>
  <si>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</si>
  <si>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</si>
  <si>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</si>
  <si>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</si>
  <si>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</si>
  <si>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</si>
  <si>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</si>
  <si>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</si>
  <si>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</si>
  <si>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</si>
  <si>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</si>
  <si>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</si>
  <si>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</si>
  <si>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</si>
  <si>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</si>
  <si>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</si>
  <si>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</si>
  <si>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</si>
  <si>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</si>
  <si>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</si>
  <si>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</si>
  <si>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</si>
  <si>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</si>
  <si>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</si>
  <si>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</si>
  <si>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</si>
  <si>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</si>
  <si>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</si>
  <si>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</si>
  <si>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</si>
  <si>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</si>
  <si>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</si>
  <si>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</si>
  <si>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</si>
  <si>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</si>
  <si>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</si>
  <si>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</si>
  <si>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</si>
  <si>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</si>
  <si>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</si>
  <si>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</si>
  <si>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</si>
  <si>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</si>
  <si>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</si>
  <si>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</si>
  <si>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</si>
  <si>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</si>
  <si>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</si>
  <si>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</si>
  <si>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</si>
  <si>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</si>
  <si>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</si>
  <si>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</si>
  <si>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</si>
  <si>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</si>
  <si>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</si>
  <si>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</si>
  <si>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</si>
  <si>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</si>
  <si>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</si>
  <si>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</si>
  <si>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</si>
  <si>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</si>
  <si>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</si>
  <si>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</si>
  <si>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</si>
  <si>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</si>
  <si>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</si>
  <si>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</si>
  <si>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</si>
  <si>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</si>
  <si>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</si>
  <si>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</si>
  <si>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</si>
  <si>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</si>
  <si>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</si>
  <si>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</si>
  <si>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</si>
  <si>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</si>
  <si>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</si>
  <si>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</si>
  <si>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</si>
  <si>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</si>
  <si>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</si>
  <si>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</si>
  <si>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</si>
  <si>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</si>
  <si>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</si>
  <si>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</si>
  <si>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</si>
  <si>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</si>
  <si>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</si>
  <si>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</si>
  <si>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</si>
  <si>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</si>
  <si>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</si>
  <si>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</si>
  <si>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</si>
  <si>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</si>
  <si>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</si>
  <si>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</si>
  <si>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</si>
  <si>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</si>
  <si>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</si>
  <si>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</si>
  <si>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</si>
  <si>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</si>
  <si>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</si>
  <si>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</si>
  <si>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</si>
  <si>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</si>
  <si>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</si>
  <si>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</si>
  <si>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</si>
  <si>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</si>
  <si>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</si>
  <si>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</si>
  <si>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</si>
  <si>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</si>
  <si>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</si>
  <si>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</si>
  <si>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</si>
  <si>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</si>
  <si>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</si>
  <si>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</si>
  <si>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</si>
  <si>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</si>
  <si>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</si>
  <si>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</si>
  <si>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</si>
  <si>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</si>
  <si>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</si>
  <si>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</si>
  <si>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</si>
  <si>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</si>
  <si>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</si>
  <si>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</si>
  <si>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</si>
  <si>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</si>
  <si>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</si>
  <si>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</si>
  <si>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</si>
  <si>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</si>
  <si>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</si>
  <si>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</si>
  <si>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</si>
  <si>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</si>
  <si>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</si>
  <si>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</si>
  <si>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</si>
  <si>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</si>
  <si>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</si>
  <si>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</si>
  <si>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</si>
  <si>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</si>
  <si>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</si>
  <si>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</si>
  <si>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</si>
  <si>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</si>
  <si>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</si>
  <si>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</si>
  <si>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</si>
  <si>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</si>
  <si>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</si>
  <si>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</si>
  <si>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</si>
  <si>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</si>
  <si>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</si>
  <si>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</si>
  <si>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</si>
  <si>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</si>
  <si>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</si>
  <si>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</si>
  <si>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</si>
  <si>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</si>
  <si>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</si>
  <si>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</si>
  <si>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</si>
  <si>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</si>
  <si>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</si>
  <si>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</si>
  <si>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</si>
  <si>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</si>
  <si>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</si>
  <si>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</si>
  <si>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</si>
  <si>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</si>
  <si>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</si>
  <si>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</si>
  <si>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</si>
  <si>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</si>
  <si>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</si>
  <si>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</si>
  <si>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</si>
  <si>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</si>
  <si>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</si>
  <si>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</si>
  <si>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</si>
  <si>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</si>
  <si>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</si>
  <si>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</si>
  <si>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</si>
  <si>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</si>
  <si>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</si>
  <si>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</si>
  <si>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</si>
  <si>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</si>
  <si>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</si>
  <si>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</si>
  <si>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</si>
  <si>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</si>
  <si>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</si>
  <si>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</si>
  <si>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</si>
  <si>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</si>
  <si>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</si>
  <si>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</si>
  <si>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</si>
  <si>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</si>
  <si>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</si>
  <si>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</si>
  <si>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</si>
  <si>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</si>
  <si>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</si>
  <si>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</si>
  <si>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</si>
  <si>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</si>
  <si>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</si>
  <si>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</si>
  <si>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</si>
  <si>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</si>
  <si>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</si>
  <si>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</si>
  <si>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</si>
  <si>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</si>
  <si>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</si>
  <si>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</si>
  <si>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</si>
  <si>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</si>
  <si>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</si>
  <si>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</si>
  <si>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</si>
  <si>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</si>
  <si>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</si>
  <si>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</si>
  <si>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</si>
  <si>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</si>
  <si>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</si>
  <si>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</si>
  <si>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</si>
  <si>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</si>
  <si>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</si>
  <si>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</si>
  <si>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</si>
  <si>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</si>
  <si>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</si>
  <si>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</si>
  <si>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</si>
  <si>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</si>
  <si>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</si>
  <si>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</si>
  <si>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</si>
  <si>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</si>
  <si>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</si>
  <si>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</si>
  <si>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</si>
  <si>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</si>
  <si>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</si>
  <si>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</si>
  <si>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</si>
  <si>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</si>
  <si>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</si>
  <si>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</si>
  <si>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</si>
  <si>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</si>
  <si>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</si>
  <si>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</si>
  <si>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</si>
  <si>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</si>
  <si>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</si>
  <si>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</si>
  <si>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</si>
  <si>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</si>
  <si>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</si>
  <si>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</si>
  <si>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</si>
  <si>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</si>
  <si>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</si>
  <si>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</si>
  <si>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</si>
  <si>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</si>
  <si>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</si>
  <si>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</si>
  <si>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</si>
  <si>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</si>
  <si>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</si>
  <si>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</si>
  <si>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</si>
  <si>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</si>
  <si>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</si>
  <si>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</si>
  <si>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</si>
  <si>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</si>
  <si>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</si>
  <si>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</si>
  <si>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</si>
  <si>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</si>
  <si>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</si>
  <si>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</si>
  <si>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</si>
  <si>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</si>
  <si>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</si>
  <si>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</si>
  <si>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</si>
  <si>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</si>
  <si>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</si>
  <si>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</si>
  <si>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</si>
  <si>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</si>
  <si>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</si>
  <si>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</si>
  <si>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</si>
  <si>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</si>
  <si>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</si>
  <si>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</si>
  <si>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</si>
  <si>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</si>
  <si>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</si>
  <si>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</si>
  <si>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</si>
  <si>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</si>
  <si>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</si>
  <si>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</si>
  <si>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</si>
  <si>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</si>
  <si>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</si>
  <si>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</si>
  <si>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</si>
  <si>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</si>
  <si>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</si>
  <si>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</si>
  <si>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</si>
  <si>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</si>
  <si>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</si>
  <si>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</si>
  <si>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</si>
  <si>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</si>
  <si>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</si>
  <si>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</si>
  <si>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</si>
  <si>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</si>
  <si>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</si>
  <si>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</si>
  <si>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</si>
  <si>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</si>
  <si>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</si>
  <si>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</si>
  <si>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</si>
  <si>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</si>
  <si>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</si>
  <si>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</si>
  <si>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</si>
  <si>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</si>
  <si>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</si>
  <si>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</si>
  <si>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</si>
  <si>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</si>
  <si>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</si>
  <si>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</si>
  <si>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</si>
  <si>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</si>
  <si>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</si>
  <si>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</si>
  <si>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</si>
  <si>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</si>
  <si>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</si>
  <si>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</si>
  <si>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</si>
  <si>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</si>
  <si>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</si>
  <si>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</si>
  <si>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</si>
  <si>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</si>
  <si>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</si>
  <si>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</si>
  <si>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</si>
  <si>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</si>
  <si>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</si>
  <si>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</si>
  <si>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</si>
  <si>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</si>
  <si>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</si>
  <si>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</si>
  <si>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</si>
  <si>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</si>
  <si>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</si>
  <si>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</si>
  <si>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</si>
  <si>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</si>
  <si>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</si>
  <si>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</si>
  <si>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</si>
  <si>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</si>
  <si>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</si>
  <si>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</si>
  <si>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</si>
  <si>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</si>
  <si>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</si>
  <si>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</si>
  <si>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</si>
  <si>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</si>
  <si>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</si>
  <si>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</si>
  <si>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</si>
  <si>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</si>
  <si>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</si>
  <si>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</si>
  <si>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</si>
  <si>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</si>
  <si>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</si>
  <si>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</si>
  <si>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</si>
  <si>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</si>
  <si>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</si>
  <si>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</si>
  <si>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</si>
  <si>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</si>
  <si>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</si>
  <si>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</si>
  <si>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</si>
  <si>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</si>
  <si>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</si>
  <si>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</si>
  <si>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</si>
  <si>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</si>
  <si>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</si>
  <si>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</si>
  <si>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</si>
  <si>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</si>
  <si>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</si>
  <si>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</si>
  <si>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</si>
  <si>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</si>
  <si>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</si>
  <si>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</si>
  <si>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</si>
  <si>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</si>
  <si>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</si>
  <si>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</si>
  <si>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</si>
  <si>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</si>
  <si>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</si>
  <si>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</si>
  <si>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</si>
  <si>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</si>
  <si>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</si>
  <si>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</si>
  <si>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</si>
  <si>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</si>
  <si>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</si>
  <si>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</si>
  <si>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</si>
  <si>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</si>
  <si>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</si>
  <si>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</si>
  <si>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</si>
  <si>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</si>
  <si>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</si>
  <si>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</si>
  <si>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</si>
  <si>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</si>
  <si>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</si>
  <si>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</si>
  <si>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</si>
  <si>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</si>
  <si>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</si>
  <si>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</si>
  <si>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</si>
  <si>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</si>
  <si>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</si>
  <si>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</si>
  <si>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</si>
  <si>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</si>
  <si>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</si>
  <si>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</si>
  <si>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</si>
  <si>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</si>
  <si>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</si>
  <si>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</si>
  <si>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</si>
  <si>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</si>
  <si>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</si>
  <si>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</si>
  <si>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</si>
  <si>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</si>
  <si>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</si>
  <si>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</si>
  <si>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</si>
  <si>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</si>
  <si>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</si>
  <si>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</si>
  <si>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</si>
  <si>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</si>
  <si>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</si>
  <si>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</si>
  <si>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</si>
  <si>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</si>
  <si>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</si>
  <si>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</si>
  <si>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</si>
  <si>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</si>
  <si>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</si>
  <si>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</si>
  <si>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</si>
  <si>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</si>
  <si>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</si>
  <si>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</si>
  <si>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</si>
  <si>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</si>
  <si>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</si>
  <si>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</si>
  <si>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</si>
  <si>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</si>
  <si>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</si>
  <si>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</si>
  <si>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</si>
  <si>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</si>
  <si>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</si>
  <si>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</si>
  <si>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</si>
  <si>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</si>
  <si>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</si>
  <si>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</si>
  <si>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</si>
  <si>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</si>
  <si>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</si>
  <si>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</si>
  <si>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</si>
  <si>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</si>
  <si>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</si>
  <si>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</si>
  <si>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</si>
  <si>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</si>
  <si>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</si>
  <si>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</si>
  <si>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</si>
  <si>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</si>
  <si>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</si>
  <si>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</si>
  <si>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</si>
  <si>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</si>
  <si>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</si>
  <si>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</si>
  <si>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</si>
  <si>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</si>
  <si>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</si>
  <si>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</si>
  <si>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</si>
  <si>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</si>
  <si>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</si>
  <si>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</si>
  <si>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</si>
  <si>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</si>
  <si>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</si>
  <si>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</si>
  <si>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</si>
  <si>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</si>
  <si>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</si>
  <si>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</si>
  <si>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</si>
  <si>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</si>
  <si>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</si>
  <si>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</si>
  <si>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</si>
  <si>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</si>
  <si>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</si>
  <si>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</si>
  <si>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</si>
  <si>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</si>
  <si>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</si>
  <si>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</si>
  <si>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</si>
  <si>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</si>
  <si>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</si>
  <si>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</si>
  <si>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</si>
  <si>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</si>
  <si>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</si>
  <si>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</si>
  <si>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</si>
  <si>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</si>
  <si>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</si>
  <si>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</si>
  <si>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</si>
  <si>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</si>
  <si>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</si>
  <si>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</si>
  <si>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</si>
  <si>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</si>
  <si>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</si>
  <si>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</si>
  <si>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</si>
  <si>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</si>
  <si>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</si>
  <si>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</si>
  <si>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</si>
  <si>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</si>
  <si>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</si>
  <si>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</si>
  <si>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</si>
  <si>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</si>
  <si>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</si>
  <si>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</si>
  <si>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</si>
  <si>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</si>
  <si>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</si>
  <si>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</si>
  <si>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</si>
  <si>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</si>
  <si>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</si>
  <si>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</si>
  <si>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</si>
  <si>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</si>
  <si>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</si>
  <si>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</si>
  <si>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</si>
  <si>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</si>
  <si>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</si>
  <si>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</si>
  <si>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</si>
  <si>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</si>
  <si>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</si>
  <si>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</si>
  <si>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</si>
  <si>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</si>
  <si>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</si>
  <si>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</si>
  <si>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</si>
  <si>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</si>
  <si>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</si>
  <si>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</si>
  <si>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</si>
  <si>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</si>
  <si>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</si>
  <si>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</si>
  <si>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</si>
  <si>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</si>
  <si>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</si>
  <si>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</si>
  <si>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</si>
  <si>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</si>
  <si>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</si>
  <si>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</si>
  <si>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</si>
  <si>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</si>
  <si>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</si>
  <si>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</si>
  <si>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</si>
  <si>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</si>
  <si>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</si>
  <si>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</si>
  <si>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</si>
  <si>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</si>
  <si>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</si>
  <si>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</si>
  <si>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</si>
  <si>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</si>
  <si>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</si>
  <si>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</si>
  <si>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</si>
  <si>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</si>
  <si>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</si>
  <si>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</si>
  <si>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</si>
  <si>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</si>
  <si>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</si>
  <si>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</si>
  <si>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</si>
  <si>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</si>
  <si>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</si>
  <si>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</si>
  <si>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</si>
  <si>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</si>
  <si>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</si>
  <si>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</si>
  <si>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</si>
  <si>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</si>
  <si>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</si>
  <si>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</si>
  <si>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</si>
  <si>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</si>
  <si>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</si>
  <si>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</si>
  <si>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</si>
  <si>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</si>
  <si>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</si>
  <si>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</si>
  <si>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</si>
  <si>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</si>
  <si>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</si>
  <si>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</si>
  <si>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</si>
  <si>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</si>
  <si>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</si>
  <si>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</si>
  <si>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</si>
  <si>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</si>
  <si>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</si>
  <si>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</si>
  <si>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</si>
  <si>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</si>
  <si>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</si>
  <si>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</si>
  <si>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</si>
  <si>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</si>
  <si>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</si>
  <si>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</si>
  <si>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</si>
  <si>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</si>
  <si>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</si>
  <si>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</si>
  <si>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</si>
  <si>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</si>
  <si>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</si>
  <si>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</si>
  <si>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</si>
  <si>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</si>
  <si>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</si>
  <si>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</si>
  <si>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</si>
  <si>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</si>
  <si>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</si>
  <si>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</si>
  <si>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</si>
  <si>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</si>
  <si>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</si>
  <si>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</si>
  <si>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</si>
  <si>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</si>
  <si>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</si>
  <si>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</si>
  <si>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</si>
  <si>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</si>
  <si>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</si>
  <si>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</si>
  <si>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</si>
  <si>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</si>
  <si>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</si>
  <si>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</si>
  <si>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</si>
  <si>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</si>
  <si>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</si>
  <si>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</si>
  <si>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</si>
  <si>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</si>
  <si>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</si>
  <si>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</si>
  <si>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</si>
  <si>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</si>
  <si>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</si>
  <si>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</si>
  <si>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</si>
  <si>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</si>
  <si>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</si>
  <si>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</si>
  <si>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</si>
  <si>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</si>
  <si>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</si>
  <si>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</si>
  <si>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</si>
  <si>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</si>
  <si>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</si>
  <si>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</si>
  <si>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</si>
  <si>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</si>
  <si>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</si>
  <si>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</si>
  <si>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</si>
  <si>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</si>
  <si>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</si>
  <si>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</si>
  <si>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</si>
  <si>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</si>
  <si>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</si>
  <si>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</si>
  <si>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</si>
  <si>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</si>
  <si>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</si>
  <si>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</si>
  <si>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</si>
  <si>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</si>
  <si>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</si>
  <si>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</si>
  <si>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</si>
  <si>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</si>
  <si>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</si>
  <si>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</si>
  <si>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</si>
  <si>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</si>
  <si>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</si>
  <si>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</si>
  <si>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</si>
  <si>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</si>
  <si>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</si>
  <si>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</si>
  <si>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</si>
  <si>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</si>
  <si>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</si>
  <si>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</si>
  <si>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</si>
  <si>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</si>
  <si>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</si>
  <si>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</si>
  <si>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</si>
  <si>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</si>
  <si>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</si>
  <si>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</si>
  <si>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</si>
  <si>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</si>
  <si>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</si>
  <si>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</si>
  <si>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</si>
  <si>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</si>
  <si>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</si>
  <si>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</si>
  <si>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</si>
  <si>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</si>
  <si>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</si>
  <si>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</si>
  <si>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</si>
  <si>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</si>
  <si>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</si>
  <si>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</si>
  <si>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</si>
  <si>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</si>
  <si>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</si>
  <si>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</si>
  <si>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</si>
  <si>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</si>
  <si>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</si>
  <si>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</si>
  <si>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</si>
  <si>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</si>
  <si>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</si>
  <si>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</si>
  <si>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</si>
  <si>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</si>
  <si>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</si>
  <si>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</si>
  <si>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</si>
  <si>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</si>
  <si>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</si>
  <si>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</si>
  <si>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</si>
  <si>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</si>
  <si>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</si>
  <si>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</si>
  <si>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</si>
  <si>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</si>
  <si>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</si>
  <si>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</si>
  <si>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</si>
  <si>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</si>
  <si>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</si>
  <si>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</si>
  <si>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</si>
  <si>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</si>
  <si>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</si>
  <si>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</si>
  <si>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</si>
  <si>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</si>
  <si>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</si>
  <si>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</si>
  <si>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</si>
  <si>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</si>
  <si>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</si>
  <si>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</si>
  <si>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</si>
  <si>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</si>
  <si>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</si>
  <si>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</si>
  <si>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</si>
  <si>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</si>
  <si>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</si>
  <si>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</si>
  <si>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</si>
  <si>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</si>
  <si>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</si>
  <si>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</si>
  <si>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</si>
  <si>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</si>
  <si>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</si>
  <si>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</si>
  <si>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</si>
  <si>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</si>
  <si>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</si>
  <si>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</si>
  <si>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</si>
  <si>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</si>
  <si>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</si>
  <si>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</si>
  <si>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</si>
  <si>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</si>
  <si>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</si>
  <si>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</si>
  <si>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</si>
  <si>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</si>
  <si>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</si>
  <si>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</si>
  <si>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</si>
  <si>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</si>
  <si>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</si>
  <si>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</si>
  <si>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</si>
  <si>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</si>
  <si>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</si>
  <si>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</si>
  <si>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</si>
  <si>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</si>
  <si>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</si>
  <si>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</si>
  <si>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</si>
  <si>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</si>
  <si>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</si>
  <si>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</si>
  <si>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</si>
  <si>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</si>
  <si>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</si>
  <si>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</si>
  <si>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</si>
  <si>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</si>
  <si>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</si>
  <si>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</si>
  <si>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</si>
  <si>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</si>
  <si>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</si>
  <si>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</si>
  <si>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</si>
  <si>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</si>
  <si>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</si>
  <si>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</si>
  <si>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</si>
  <si>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</si>
  <si>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</si>
  <si>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</si>
  <si>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</si>
  <si>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</si>
  <si>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</si>
  <si>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</si>
  <si>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</si>
  <si>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</si>
  <si>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</si>
  <si>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</si>
  <si>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</si>
  <si>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</si>
  <si>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</si>
  <si>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</si>
  <si>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</si>
  <si>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</si>
  <si>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</si>
  <si>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</si>
  <si>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</si>
  <si>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</si>
  <si>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</si>
  <si>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</si>
  <si>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</si>
  <si>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</si>
  <si>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</si>
  <si>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</si>
  <si>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</si>
  <si>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</si>
  <si>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</si>
  <si>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</si>
  <si>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</si>
  <si>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</si>
  <si>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</si>
  <si>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</si>
  <si>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</si>
  <si>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</si>
  <si>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</si>
  <si>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</si>
  <si>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</si>
  <si>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</si>
  <si>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</si>
  <si>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</si>
  <si>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</si>
  <si>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</si>
  <si>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</si>
  <si>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</si>
  <si>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</si>
  <si>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</si>
  <si>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</si>
  <si>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</si>
  <si>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</si>
  <si>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</si>
  <si>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</si>
  <si>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</si>
  <si>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</si>
  <si>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</si>
  <si>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</si>
  <si>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</si>
  <si>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</si>
  <si>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</si>
  <si>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</si>
  <si>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</si>
  <si>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</si>
  <si>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</si>
  <si>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</si>
  <si>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</si>
  <si>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</si>
  <si>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</si>
  <si>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</si>
  <si>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</si>
  <si>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</si>
  <si>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</si>
  <si>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</si>
  <si>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</si>
  <si>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</si>
  <si>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</si>
  <si>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</si>
  <si>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</si>
  <si>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</si>
  <si>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</si>
  <si>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</si>
  <si>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</si>
  <si>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</si>
  <si>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</si>
  <si>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</si>
  <si>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</si>
  <si>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</si>
  <si>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</si>
  <si>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</si>
  <si>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</si>
  <si>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</si>
  <si>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</si>
  <si>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</si>
  <si>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</si>
  <si>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</si>
  <si>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</si>
  <si>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</si>
  <si>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</si>
  <si>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</si>
  <si>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</si>
  <si>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</si>
  <si>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</si>
  <si>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</si>
  <si>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</si>
  <si>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</si>
  <si>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</si>
  <si>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</si>
  <si>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</si>
  <si>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</si>
  <si>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</si>
  <si>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</si>
  <si>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</si>
  <si>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</si>
  <si>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</si>
  <si>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</si>
  <si>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</si>
  <si>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</si>
  <si>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</si>
  <si>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</si>
  <si>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</si>
  <si>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</si>
  <si>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</si>
  <si>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</si>
  <si>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</si>
  <si>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</si>
  <si>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</si>
  <si>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</si>
  <si>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</si>
  <si>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</si>
  <si>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</si>
  <si>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</si>
  <si>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</si>
  <si>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</si>
  <si>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</si>
  <si>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</si>
  <si>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</si>
  <si>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</si>
  <si>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</si>
  <si>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</si>
  <si>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</si>
  <si>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</si>
  <si>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</si>
  <si>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</si>
  <si>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</si>
  <si>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</si>
  <si>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</si>
  <si>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</si>
  <si>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</si>
  <si>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</si>
  <si>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</si>
  <si>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</si>
  <si>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</si>
  <si>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</si>
  <si>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</si>
  <si>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</si>
  <si>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</si>
  <si>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</si>
  <si>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</si>
  <si>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</si>
  <si>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</si>
  <si>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</si>
  <si>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</si>
  <si>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</si>
  <si>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</si>
  <si>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</si>
  <si>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</si>
  <si>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</si>
  <si>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</si>
  <si>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</si>
  <si>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</si>
  <si>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</si>
  <si>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</si>
  <si>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</si>
  <si>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</si>
  <si>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</si>
  <si>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</si>
  <si>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</si>
  <si>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</si>
  <si>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</si>
  <si>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</si>
  <si>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</si>
  <si>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</si>
  <si>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</si>
  <si>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</si>
  <si>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</si>
  <si>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</si>
  <si>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</si>
  <si>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</si>
  <si>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</si>
  <si>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</si>
  <si>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</si>
  <si>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</si>
  <si>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</si>
  <si>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</si>
  <si>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</si>
  <si>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</si>
  <si>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</si>
  <si>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</si>
  <si>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</si>
  <si>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</si>
  <si>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</si>
  <si>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</si>
  <si>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</si>
  <si>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</si>
  <si>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</si>
  <si>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</si>
  <si>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</si>
  <si>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</si>
  <si>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</si>
  <si>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</si>
  <si>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</si>
  <si>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</si>
  <si>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</si>
  <si>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</si>
  <si>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</si>
  <si>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</si>
  <si>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</si>
  <si>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</si>
  <si>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</si>
  <si>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</si>
  <si>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</si>
  <si>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</si>
  <si>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</si>
  <si>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</si>
  <si>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</si>
  <si>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</si>
  <si>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</si>
  <si>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</si>
  <si>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</si>
  <si>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</si>
  <si>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</si>
  <si>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</si>
  <si>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</si>
  <si>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</si>
  <si>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</si>
  <si>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</si>
  <si>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</si>
  <si>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</si>
  <si>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</si>
  <si>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</si>
  <si>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</si>
  <si>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</si>
  <si>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</si>
  <si>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</si>
  <si>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</si>
  <si>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</si>
  <si>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</si>
  <si>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</si>
  <si>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</si>
  <si>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</si>
  <si>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</si>
  <si>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</si>
  <si>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</si>
  <si>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</si>
  <si>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</si>
  <si>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</si>
  <si>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</si>
  <si>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</si>
  <si>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</si>
  <si>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</si>
  <si>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</si>
  <si>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</si>
  <si>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</si>
  <si>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</si>
  <si>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</si>
  <si>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</si>
  <si>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</si>
  <si>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</si>
  <si>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</si>
  <si>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</si>
  <si>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</si>
  <si>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</si>
  <si>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</si>
  <si>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</si>
  <si>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</si>
  <si>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</si>
  <si>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</si>
  <si>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</si>
  <si>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</si>
  <si>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</si>
  <si>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</si>
  <si>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</si>
  <si>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</si>
  <si>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</si>
  <si>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</si>
  <si>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</si>
  <si>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</si>
  <si>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</si>
  <si>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</si>
  <si>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</si>
  <si>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</si>
  <si>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</si>
  <si>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</si>
  <si>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</si>
  <si>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</si>
  <si>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</si>
  <si>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</si>
  <si>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</si>
  <si>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</si>
  <si>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</si>
  <si>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</si>
  <si>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</si>
  <si>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</si>
  <si>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</si>
  <si>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</si>
  <si>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</si>
  <si>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</si>
  <si>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</si>
  <si>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</si>
  <si>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</si>
  <si>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</si>
  <si>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</si>
  <si>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</si>
  <si>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</si>
  <si>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</si>
  <si>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</si>
  <si>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</si>
  <si>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</si>
  <si>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</si>
  <si>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</si>
  <si>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</si>
  <si>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</si>
  <si>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</si>
  <si>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</si>
  <si>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</si>
  <si>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</si>
  <si>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</si>
  <si>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</si>
  <si>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</si>
  <si>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</si>
  <si>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</si>
  <si>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</si>
  <si>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</si>
  <si>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</si>
  <si>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</si>
  <si>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</si>
  <si>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</si>
  <si>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</si>
  <si>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</si>
  <si>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</si>
  <si>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</si>
  <si>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</si>
  <si>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</si>
  <si>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</si>
  <si>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</si>
  <si>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</si>
  <si>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</si>
  <si>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</si>
  <si>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</si>
  <si>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</si>
  <si>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</si>
  <si>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</si>
  <si>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</si>
  <si>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</si>
  <si>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</si>
  <si>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</si>
  <si>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</si>
  <si>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</si>
  <si>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</si>
  <si>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</si>
  <si>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</si>
  <si>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</si>
  <si>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</si>
  <si>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</si>
  <si>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</si>
  <si>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</si>
  <si>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</si>
  <si>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</si>
  <si>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</si>
  <si>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</si>
  <si>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</si>
  <si>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</si>
  <si>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</si>
  <si>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</si>
  <si>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</si>
  <si>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</si>
  <si>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</si>
  <si>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</si>
  <si>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</si>
  <si>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</si>
  <si>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</si>
  <si>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</si>
  <si>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</si>
  <si>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</si>
  <si>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</si>
  <si>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</si>
  <si>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</si>
  <si>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</si>
  <si>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</si>
  <si>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</si>
  <si>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</si>
  <si>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</si>
  <si>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</si>
  <si>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</si>
  <si>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</si>
  <si>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</si>
  <si>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</si>
  <si>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</si>
  <si>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</si>
  <si>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</si>
  <si>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</si>
  <si>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</si>
  <si>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</si>
  <si>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</si>
  <si>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</si>
  <si>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</si>
  <si>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</si>
  <si>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</si>
  <si>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</si>
  <si>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</si>
  <si>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</si>
  <si>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</si>
  <si>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</si>
  <si>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</si>
  <si>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</si>
  <si>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</si>
  <si>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</si>
  <si>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</si>
  <si>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</si>
  <si>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</si>
  <si>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</si>
  <si>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</si>
  <si>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</si>
  <si>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</si>
  <si>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</si>
  <si>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</si>
  <si>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</si>
  <si>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</si>
  <si>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</si>
  <si>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</si>
  <si>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</si>
  <si>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</si>
  <si>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</si>
  <si>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</si>
  <si>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</si>
  <si>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</si>
  <si>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</si>
  <si>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</si>
  <si>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</si>
  <si>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</si>
  <si>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</si>
  <si>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</si>
  <si>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</si>
  <si>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</si>
  <si>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</si>
  <si>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</si>
  <si>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</si>
  <si>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</si>
  <si>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</si>
  <si>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</si>
  <si>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</si>
  <si>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</si>
  <si>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</si>
  <si>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</si>
  <si>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</si>
  <si>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</si>
  <si>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</si>
  <si>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</si>
  <si>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</si>
  <si>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</si>
  <si>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</si>
  <si>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</si>
  <si>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</si>
  <si>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</si>
  <si>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</si>
  <si>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</si>
  <si>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</si>
  <si>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</si>
  <si>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</si>
  <si>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</si>
  <si>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</si>
  <si>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</si>
  <si>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</si>
  <si>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</si>
  <si>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</si>
  <si>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</si>
  <si>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</si>
  <si>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</si>
  <si>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</si>
  <si>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</si>
  <si>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</si>
  <si>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</si>
  <si>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</si>
  <si>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</si>
  <si>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</si>
  <si>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</si>
  <si>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</si>
  <si>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</si>
  <si>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</si>
  <si>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</si>
  <si>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</si>
  <si>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</si>
  <si>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</si>
  <si>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</si>
  <si>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</si>
  <si>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</si>
  <si>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</si>
  <si>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</si>
  <si>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</si>
  <si>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</si>
  <si>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</si>
  <si>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</si>
  <si>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</si>
  <si>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</si>
  <si>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</si>
  <si>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</si>
  <si>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</si>
  <si>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</si>
  <si>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</si>
  <si>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</si>
  <si>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</si>
  <si>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</si>
  <si>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</si>
  <si>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</si>
  <si>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</si>
  <si>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</si>
  <si>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</si>
  <si>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</si>
  <si>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</si>
  <si>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</si>
  <si>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</si>
  <si>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</si>
  <si>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</si>
  <si>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</si>
  <si>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</si>
  <si>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</si>
  <si>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</si>
  <si>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</si>
  <si>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</si>
  <si>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</si>
  <si>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</si>
  <si>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</si>
  <si>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</si>
  <si>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</si>
  <si>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</si>
  <si>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</si>
  <si>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</si>
  <si>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</si>
  <si>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</si>
  <si>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</si>
  <si>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</si>
  <si>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</si>
  <si>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</si>
  <si>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</si>
  <si>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</si>
  <si>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</si>
  <si>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</si>
  <si>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</si>
  <si>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</si>
  <si>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</si>
  <si>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</si>
  <si>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</si>
  <si>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</si>
  <si>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</si>
  <si>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</si>
  <si>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</si>
  <si>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</si>
  <si>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</si>
  <si>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</si>
  <si>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</si>
  <si>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</si>
  <si>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</si>
  <si>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</si>
  <si>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</si>
  <si>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</si>
  <si>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</si>
  <si>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</si>
  <si>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</si>
  <si>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</si>
  <si>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</si>
  <si>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</si>
  <si>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</si>
  <si>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</si>
  <si>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</si>
  <si>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</si>
  <si>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</si>
  <si>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</si>
  <si>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</si>
  <si>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</si>
  <si>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</si>
  <si>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</si>
  <si>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</si>
  <si>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</si>
  <si>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</si>
  <si>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</si>
  <si>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</si>
  <si>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</si>
  <si>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</si>
  <si>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</si>
  <si>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</si>
  <si>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</si>
  <si>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</si>
  <si>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</si>
  <si>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</si>
  <si>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</si>
  <si>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</si>
  <si>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</si>
  <si>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</si>
  <si>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</si>
  <si>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</si>
  <si>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</si>
  <si>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</si>
  <si>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</si>
  <si>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</si>
  <si>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</si>
  <si>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</si>
  <si>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</si>
  <si>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</si>
  <si>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</si>
  <si>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</si>
  <si>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</si>
  <si>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</si>
  <si>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</si>
  <si>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</si>
  <si>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</si>
  <si>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</si>
  <si>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</si>
  <si>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</si>
  <si>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</si>
  <si>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</si>
  <si>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</si>
  <si>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</si>
  <si>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</si>
  <si>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</si>
  <si>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</si>
  <si>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</si>
  <si>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</si>
  <si>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</si>
  <si>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</si>
  <si>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</si>
  <si>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</si>
  <si>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</si>
  <si>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</si>
  <si>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</si>
  <si>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</si>
  <si>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</si>
  <si>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</si>
  <si>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</si>
  <si>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</si>
  <si>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</si>
  <si>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</si>
  <si>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</si>
  <si>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</si>
  <si>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</si>
  <si>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</si>
  <si>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</si>
  <si>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</si>
  <si>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</si>
  <si>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</si>
  <si>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</si>
  <si>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</si>
  <si>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</si>
  <si>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</si>
  <si>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</si>
  <si>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</si>
  <si>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</si>
  <si>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</si>
  <si>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</si>
  <si>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</si>
  <si>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</si>
  <si>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</si>
  <si>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</si>
  <si>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</si>
  <si>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</si>
  <si>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</si>
  <si>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</si>
  <si>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</si>
  <si>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</si>
  <si>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</si>
  <si>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</si>
  <si>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</si>
  <si>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</si>
  <si>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</si>
  <si>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</si>
  <si>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</si>
  <si>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</si>
  <si>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</si>
  <si>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</si>
  <si>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</si>
  <si>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</si>
  <si>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</si>
  <si>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</si>
  <si>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</si>
  <si>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</si>
  <si>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</si>
  <si>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</si>
  <si>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</si>
  <si>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</si>
  <si>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</si>
  <si>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</si>
  <si>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</si>
  <si>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</si>
  <si>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</si>
  <si>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</si>
  <si>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</si>
  <si>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</si>
  <si>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</si>
  <si>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</si>
  <si>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</si>
  <si>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</si>
  <si>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</si>
  <si>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</si>
  <si>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</si>
  <si>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</si>
  <si>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</si>
  <si>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</si>
  <si>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</si>
  <si>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</si>
  <si>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</si>
  <si>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</si>
  <si>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</si>
  <si>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</si>
  <si>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</si>
  <si>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</si>
  <si>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</si>
  <si>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</si>
  <si>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</si>
  <si>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</si>
  <si>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</si>
  <si>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</si>
  <si>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</si>
  <si>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</si>
  <si>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</si>
  <si>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</si>
  <si>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</si>
  <si>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</si>
  <si>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</si>
  <si>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</si>
  <si>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</si>
  <si>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</si>
  <si>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</si>
  <si>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</si>
  <si>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</si>
  <si>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</si>
  <si>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</si>
  <si>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</si>
  <si>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</si>
  <si>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</si>
  <si>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</si>
  <si>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</si>
  <si>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</si>
  <si>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</si>
  <si>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</si>
  <si>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</si>
  <si>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</si>
  <si>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</si>
  <si>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</si>
  <si>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</si>
  <si>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</si>
  <si>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</si>
  <si>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</si>
  <si>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</si>
  <si>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</si>
  <si>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</si>
  <si>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</si>
  <si>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</si>
  <si>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</si>
  <si>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</si>
  <si>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</si>
  <si>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</si>
  <si>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</si>
  <si>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</si>
  <si>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</si>
  <si>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</si>
  <si>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</si>
  <si>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</si>
  <si>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</si>
  <si>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</si>
  <si>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</si>
  <si>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</si>
  <si>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</si>
  <si>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</si>
  <si>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</si>
  <si>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</si>
  <si>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</si>
  <si>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</si>
  <si>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</si>
  <si>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</si>
  <si>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</si>
  <si>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</si>
  <si>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</si>
  <si>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</si>
  <si>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</si>
  <si>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</si>
  <si>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</si>
  <si>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</si>
  <si>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</si>
  <si>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</si>
  <si>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</si>
  <si>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</si>
  <si>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</si>
  <si>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</si>
  <si>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</si>
  <si>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</si>
  <si>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</si>
  <si>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</si>
  <si>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</si>
  <si>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</si>
  <si>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</si>
  <si>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</si>
  <si>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</si>
  <si>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</si>
  <si>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</si>
  <si>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</si>
  <si>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</si>
  <si>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</si>
  <si>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</si>
  <si>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</si>
  <si>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</si>
  <si>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</si>
  <si>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</si>
  <si>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</si>
  <si>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</si>
  <si>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</si>
  <si>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</si>
  <si>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</si>
  <si>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</si>
  <si>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</si>
  <si>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</si>
  <si>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</si>
  <si>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</si>
  <si>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</si>
  <si>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</si>
  <si>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</si>
  <si>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</si>
  <si>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</si>
  <si>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</si>
  <si>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</si>
  <si>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</si>
  <si>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</si>
  <si>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</si>
  <si>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</si>
  <si>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</si>
  <si>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</si>
  <si>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</si>
  <si>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</si>
  <si>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</si>
  <si>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</si>
  <si>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</si>
  <si>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</si>
  <si>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</si>
  <si>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</si>
  <si>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</si>
  <si>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</si>
  <si>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</si>
  <si>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</si>
  <si>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</si>
  <si>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</si>
  <si>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</si>
  <si>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</si>
  <si>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</si>
  <si>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</si>
  <si>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</si>
  <si>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</si>
  <si>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</si>
  <si>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</si>
  <si>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</si>
  <si>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</si>
  <si>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</si>
  <si>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</si>
  <si>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</si>
  <si>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</si>
  <si>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</si>
  <si>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</si>
  <si>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</si>
  <si>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</si>
  <si>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</si>
  <si>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</si>
  <si>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</si>
  <si>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</si>
  <si>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</si>
  <si>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</si>
  <si>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</si>
  <si>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</si>
  <si>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</si>
  <si>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</si>
  <si>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</si>
  <si>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</si>
  <si>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</si>
  <si>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</si>
  <si>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</si>
  <si>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</si>
  <si>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</si>
  <si>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</si>
  <si>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</si>
  <si>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</si>
  <si>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</si>
  <si>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</si>
  <si>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</si>
  <si>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</si>
  <si>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</si>
  <si>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</si>
  <si>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</si>
  <si>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</si>
  <si>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</si>
  <si>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</si>
  <si>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</si>
  <si>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</si>
  <si>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</si>
  <si>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</si>
  <si>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</si>
  <si>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</si>
  <si>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</si>
  <si>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</si>
  <si>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</si>
  <si>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</si>
  <si>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</si>
  <si>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</si>
  <si>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</si>
  <si>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</si>
  <si>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</si>
  <si>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</si>
  <si>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</si>
  <si>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</si>
  <si>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</si>
  <si>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</si>
  <si>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</si>
  <si>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</si>
  <si>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</si>
  <si>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</si>
  <si>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</si>
  <si>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</si>
  <si>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</si>
  <si>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</si>
  <si>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</si>
  <si>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</si>
  <si>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</si>
  <si>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</si>
  <si>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</si>
  <si>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</si>
  <si>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</si>
  <si>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</si>
  <si>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</si>
  <si>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</si>
  <si>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</si>
  <si>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</si>
  <si>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</si>
  <si>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</si>
  <si>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</si>
  <si>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</si>
  <si>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</si>
  <si>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</si>
  <si>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</si>
  <si>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</si>
  <si>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</si>
  <si>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</si>
  <si>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</si>
  <si>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</si>
  <si>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</si>
  <si>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</si>
  <si>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</si>
  <si>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</si>
  <si>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</si>
  <si>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</si>
  <si>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</si>
  <si>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</si>
  <si>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</si>
  <si>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</si>
  <si>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</si>
  <si>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</si>
  <si>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</si>
  <si>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</si>
  <si>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</si>
  <si>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</si>
  <si>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</si>
  <si>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</si>
  <si>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</si>
  <si>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</si>
  <si>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</si>
  <si>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</si>
  <si>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</si>
  <si>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</si>
  <si>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</si>
  <si>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</si>
  <si>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</si>
  <si>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</si>
  <si>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</si>
  <si>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</si>
  <si>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</si>
  <si>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</si>
  <si>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</si>
  <si>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</si>
  <si>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</si>
  <si>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</si>
  <si>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</si>
  <si>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</si>
  <si>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</si>
  <si>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</si>
  <si>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</si>
  <si>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</si>
  <si>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</si>
  <si>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</si>
  <si>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</si>
  <si>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</si>
  <si>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</si>
  <si>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</si>
  <si>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</si>
  <si>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</si>
  <si>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</si>
  <si>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</si>
  <si>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</si>
  <si>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</si>
  <si>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</si>
  <si>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</si>
  <si>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</si>
  <si>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</si>
  <si>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</si>
  <si>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</si>
  <si>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</si>
  <si>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</si>
  <si>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</si>
  <si>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</si>
  <si>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</si>
  <si>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</si>
  <si>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</si>
  <si>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</si>
  <si>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</si>
  <si>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</si>
  <si>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</si>
  <si>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</si>
  <si>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</si>
  <si>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</si>
  <si>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</si>
  <si>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</si>
  <si>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</si>
  <si>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</si>
  <si>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</si>
  <si>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</si>
  <si>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</si>
  <si>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</si>
  <si>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</si>
  <si>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</si>
  <si>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</si>
  <si>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</si>
  <si>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</si>
  <si>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</si>
  <si>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</si>
  <si>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</si>
  <si>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</si>
  <si>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</si>
  <si>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</si>
  <si>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</si>
  <si>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</si>
  <si>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</si>
  <si>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</si>
  <si>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</si>
  <si>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</si>
  <si>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</si>
  <si>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</si>
  <si>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</si>
  <si>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</si>
  <si>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</si>
  <si>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</si>
  <si>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</si>
  <si>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</si>
  <si>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</si>
  <si>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</si>
  <si>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</si>
  <si>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</si>
  <si>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</si>
  <si>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</si>
  <si>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</si>
  <si>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</si>
  <si>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</si>
  <si>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</si>
  <si>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</si>
  <si>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</si>
  <si>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</si>
  <si>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</si>
  <si>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</si>
  <si>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</si>
  <si>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</si>
  <si>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</si>
  <si>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</si>
  <si>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</si>
  <si>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</si>
  <si>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</si>
  <si>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</si>
  <si>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</si>
  <si>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</si>
  <si>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</si>
  <si>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</si>
  <si>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</si>
  <si>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</si>
  <si>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</si>
  <si>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</si>
  <si>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</si>
  <si>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</si>
  <si>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</si>
  <si>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</si>
  <si>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</si>
  <si>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</si>
  <si>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</si>
  <si>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</si>
  <si>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</si>
  <si>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</si>
  <si>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</si>
  <si>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</si>
  <si>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</si>
  <si>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</si>
  <si>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</si>
  <si>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</si>
  <si>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</si>
  <si>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</si>
  <si>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</si>
  <si>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</si>
  <si>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</si>
  <si>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</si>
  <si>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</si>
  <si>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</si>
  <si>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</si>
  <si>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</si>
  <si>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</si>
  <si>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</si>
  <si>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</si>
  <si>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</si>
  <si>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</si>
  <si>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</si>
  <si>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</si>
  <si>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</si>
  <si>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</si>
  <si>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</si>
  <si>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</si>
  <si>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</si>
  <si>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</si>
  <si>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</si>
  <si>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</si>
  <si>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</si>
  <si>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</si>
  <si>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</si>
  <si>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</si>
  <si>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</si>
  <si>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</si>
  <si>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</si>
  <si>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</si>
  <si>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</si>
  <si>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</si>
  <si>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</si>
  <si>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</si>
  <si>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</si>
  <si>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</si>
  <si>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</si>
  <si>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</si>
  <si>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</si>
  <si>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</si>
  <si>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</si>
  <si>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</si>
  <si>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</si>
  <si>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</si>
  <si>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</si>
  <si>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</si>
  <si>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</si>
  <si>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</si>
  <si>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</si>
  <si>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</si>
  <si>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</si>
  <si>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</si>
  <si>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</si>
  <si>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</si>
  <si>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</si>
  <si>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</si>
  <si>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</si>
  <si>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</si>
  <si>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</si>
  <si>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</si>
  <si>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</si>
  <si>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</si>
  <si>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</si>
  <si>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</si>
  <si>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</si>
  <si>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</si>
  <si>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</si>
  <si>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</si>
  <si>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</si>
  <si>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</si>
  <si>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</si>
  <si>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</si>
  <si>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</si>
  <si>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</si>
  <si>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</si>
  <si>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</si>
  <si>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</si>
  <si>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</si>
  <si>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</si>
  <si>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</si>
  <si>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</si>
  <si>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</si>
  <si>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</si>
  <si>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</si>
  <si>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</si>
  <si>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</si>
  <si>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</si>
  <si>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</si>
  <si>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</si>
  <si>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</si>
  <si>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</si>
  <si>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</si>
  <si>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</si>
  <si>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</si>
  <si>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</si>
  <si>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</si>
  <si>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</si>
  <si>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</si>
  <si>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</si>
  <si>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</si>
  <si>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</si>
  <si>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</si>
  <si>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</si>
  <si>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</si>
  <si>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</si>
  <si>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</si>
  <si>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</si>
  <si>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</si>
  <si>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</si>
  <si>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</si>
  <si>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</si>
  <si>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</si>
  <si>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</si>
  <si>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</si>
  <si>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</si>
  <si>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</si>
  <si>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</si>
  <si>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</si>
  <si>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</si>
  <si>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</si>
  <si>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</si>
  <si>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</si>
  <si>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</si>
  <si>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</si>
  <si>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</si>
  <si>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</si>
  <si>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</si>
  <si>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</si>
  <si>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</si>
  <si>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</si>
  <si>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</si>
  <si>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</si>
  <si>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</si>
  <si>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</si>
  <si>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</si>
  <si>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</si>
  <si>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</si>
  <si>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</si>
  <si>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</si>
  <si>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</si>
  <si>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</si>
  <si>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</si>
  <si>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</si>
  <si>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</si>
  <si>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</si>
  <si>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</si>
  <si>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</si>
  <si>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</si>
  <si>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</si>
  <si>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</si>
  <si>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</si>
  <si>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</si>
  <si>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</si>
  <si>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</si>
  <si>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</si>
  <si>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</si>
  <si>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</si>
  <si>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</si>
  <si>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</si>
  <si>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</si>
  <si>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</si>
  <si>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</si>
  <si>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</si>
  <si>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</si>
  <si>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</si>
  <si>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</si>
  <si>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</si>
  <si>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</si>
  <si>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</si>
  <si>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</si>
  <si>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</si>
  <si>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</si>
  <si>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</si>
  <si>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</si>
  <si>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</si>
  <si>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</si>
  <si>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</si>
  <si>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</si>
  <si>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</si>
  <si>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</si>
  <si>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</si>
  <si>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</si>
  <si>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</si>
  <si>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</si>
  <si>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</si>
  <si>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</si>
  <si>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</si>
  <si>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</si>
  <si>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</si>
  <si>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</si>
  <si>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</si>
  <si>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</si>
  <si>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</si>
  <si>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</si>
  <si>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</si>
  <si>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</si>
  <si>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</si>
  <si>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</si>
  <si>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</si>
  <si>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</si>
  <si>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</si>
  <si>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</si>
  <si>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</si>
  <si>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</si>
  <si>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</si>
  <si>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</si>
  <si>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</si>
  <si>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</si>
  <si>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</si>
  <si>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</si>
  <si>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</si>
  <si>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</si>
  <si>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</si>
  <si>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</si>
  <si>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</si>
  <si>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</si>
  <si>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</si>
  <si>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</si>
  <si>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</si>
  <si>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</si>
  <si>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</si>
  <si>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</si>
  <si>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</si>
  <si>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</si>
  <si>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</si>
  <si>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</si>
  <si>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</si>
  <si>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</si>
  <si>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</si>
  <si>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</si>
  <si>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</si>
  <si>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</si>
  <si>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</si>
  <si>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</si>
  <si>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</si>
  <si>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</si>
  <si>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</si>
  <si>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</si>
  <si>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</si>
  <si>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</si>
  <si>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</si>
  <si>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</si>
  <si>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</si>
  <si>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</si>
  <si>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</si>
  <si>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</si>
  <si>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</si>
  <si>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</si>
  <si>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</si>
  <si>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</si>
  <si>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</si>
  <si>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</si>
  <si>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</si>
  <si>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</si>
  <si>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</si>
  <si>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</si>
  <si>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</si>
  <si>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</si>
  <si>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</si>
  <si>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</si>
  <si>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</si>
  <si>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</si>
  <si>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</si>
  <si>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</si>
  <si>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</si>
  <si>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</si>
  <si>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</si>
  <si>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</si>
  <si>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</si>
  <si>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</si>
  <si>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</si>
  <si>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</si>
  <si>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</si>
  <si>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</si>
  <si>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</si>
  <si>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</si>
  <si>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</si>
  <si>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</si>
  <si>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</si>
  <si>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</si>
  <si>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</si>
  <si>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</si>
  <si>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</si>
  <si>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</si>
  <si>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</si>
  <si>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</si>
  <si>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</si>
  <si>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</si>
  <si>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</si>
  <si>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</si>
  <si>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</si>
  <si>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</si>
  <si>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</si>
  <si>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</si>
  <si>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</si>
  <si>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</si>
  <si>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</si>
  <si>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</si>
  <si>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</si>
  <si>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</si>
  <si>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</si>
  <si>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</si>
  <si>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</si>
  <si>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</si>
  <si>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</si>
  <si>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</si>
  <si>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</si>
  <si>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</si>
  <si>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</si>
  <si>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</si>
  <si>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</si>
  <si>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</si>
  <si>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</si>
  <si>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</si>
  <si>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</si>
  <si>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</si>
  <si>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</si>
  <si>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</si>
  <si>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</si>
  <si>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</si>
  <si>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</si>
  <si>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</si>
  <si>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</si>
  <si>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</si>
  <si>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</si>
  <si>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</si>
  <si>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</si>
  <si>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</si>
  <si>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</si>
  <si>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</si>
  <si>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</si>
  <si>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</si>
  <si>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</si>
  <si>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</si>
  <si>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</si>
  <si>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</si>
  <si>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</si>
  <si>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</si>
  <si>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</si>
  <si>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</si>
  <si>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</si>
  <si>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</si>
  <si>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</si>
  <si>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</si>
  <si>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</si>
  <si>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</si>
  <si>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</si>
  <si>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</si>
  <si>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</si>
  <si>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</si>
  <si>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</si>
  <si>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</si>
  <si>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</si>
  <si>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</si>
  <si>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</si>
  <si>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</si>
  <si>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</si>
  <si>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</si>
  <si>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</si>
  <si>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</si>
  <si>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</si>
  <si>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</si>
  <si>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</si>
  <si>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</si>
  <si>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</si>
  <si>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</si>
  <si>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</si>
  <si>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</si>
  <si>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</si>
  <si>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</si>
  <si>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</si>
  <si>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</si>
  <si>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</si>
  <si>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</si>
  <si>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</si>
  <si>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</si>
  <si>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</si>
  <si>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</si>
  <si>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</si>
  <si>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</si>
  <si>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</si>
  <si>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</si>
  <si>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</si>
  <si>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</si>
  <si>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</si>
  <si>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</si>
  <si>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</si>
  <si>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</si>
  <si>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</si>
  <si>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</si>
  <si>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</si>
  <si>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</si>
  <si>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</si>
  <si>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</si>
  <si>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</si>
  <si>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</si>
  <si>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</si>
  <si>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</si>
  <si>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</si>
  <si>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</si>
  <si>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</si>
  <si>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</si>
  <si>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</si>
  <si>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</si>
  <si>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</si>
  <si>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</si>
  <si>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</si>
  <si>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</si>
  <si>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</si>
  <si>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</si>
  <si>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</si>
  <si>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</si>
  <si>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</si>
  <si>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</si>
  <si>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</si>
  <si>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</si>
  <si>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</si>
  <si>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</si>
  <si>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</si>
  <si>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</si>
  <si>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</si>
  <si>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</si>
  <si>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</si>
  <si>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</si>
  <si>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</si>
  <si>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</si>
  <si>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</si>
  <si>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</si>
  <si>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</si>
  <si>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</si>
  <si>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</si>
  <si>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</si>
  <si>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</si>
  <si>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</si>
  <si>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</si>
  <si>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</si>
  <si>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</si>
  <si>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</si>
  <si>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</si>
  <si>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</si>
  <si>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</si>
  <si>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</si>
  <si>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</si>
  <si>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</si>
  <si>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</si>
  <si>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</si>
  <si>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</si>
  <si>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</si>
  <si>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</si>
  <si>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</si>
  <si>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</si>
  <si>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</si>
  <si>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</si>
  <si>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</si>
  <si>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</si>
  <si>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</si>
  <si>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</si>
  <si>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</si>
  <si>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</si>
  <si>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</si>
  <si>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</si>
  <si>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</si>
  <si>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</si>
  <si>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</si>
  <si>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</si>
  <si>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</si>
  <si>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</si>
  <si>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</si>
  <si>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</si>
  <si>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</si>
  <si>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</si>
  <si>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</si>
  <si>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</si>
  <si>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</si>
  <si>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</si>
  <si>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</si>
  <si>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</si>
  <si>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</si>
  <si>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</si>
  <si>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</si>
  <si>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</si>
  <si>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</si>
  <si>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</si>
  <si>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</si>
  <si>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</si>
  <si>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</si>
  <si>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</si>
  <si>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</si>
  <si>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</si>
  <si>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</si>
  <si>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</si>
  <si>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</si>
  <si>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</si>
  <si>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</si>
  <si>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</si>
  <si>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</si>
  <si>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</si>
  <si>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</si>
  <si>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</si>
  <si>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</si>
  <si>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</si>
  <si>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</si>
  <si>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</si>
  <si>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</si>
  <si>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</si>
  <si>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</si>
  <si>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</si>
  <si>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</si>
  <si>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</si>
  <si>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</si>
  <si>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</si>
  <si>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</si>
  <si>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</si>
  <si>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</si>
  <si>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</si>
  <si>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</si>
  <si>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</si>
  <si>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</si>
  <si>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</si>
  <si>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</si>
  <si>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</si>
  <si>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</si>
  <si>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</si>
  <si>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</si>
  <si>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</si>
  <si>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</si>
  <si>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</si>
  <si>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</si>
  <si>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</si>
  <si>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</si>
  <si>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</si>
  <si>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</si>
  <si>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</si>
  <si>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</si>
  <si>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</si>
  <si>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</si>
  <si>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</si>
  <si>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</si>
  <si>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</si>
  <si>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</si>
  <si>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</si>
  <si>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</si>
  <si>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</si>
  <si>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</si>
  <si>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</si>
  <si>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</si>
  <si>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</si>
  <si>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</si>
  <si>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</si>
  <si>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</si>
  <si>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</si>
  <si>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</si>
  <si>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</si>
  <si>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</si>
  <si>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</si>
  <si>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</si>
  <si>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</si>
  <si>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</si>
  <si>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</si>
  <si>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</si>
  <si>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</si>
  <si>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</si>
  <si>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</si>
  <si>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</si>
  <si>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</si>
  <si>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</si>
  <si>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</si>
  <si>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</si>
  <si>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</si>
  <si>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</si>
  <si>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</si>
  <si>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</si>
  <si>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</si>
  <si>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</si>
  <si>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</si>
  <si>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</si>
  <si>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</si>
  <si>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</si>
  <si>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</si>
  <si>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</si>
  <si>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</si>
  <si>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</si>
  <si>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</si>
  <si>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</si>
  <si>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</si>
  <si>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</si>
  <si>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</si>
  <si>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</si>
  <si>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</si>
  <si>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</si>
  <si>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</si>
  <si>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</si>
  <si>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</si>
  <si>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</si>
  <si>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</si>
  <si>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</si>
  <si>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</si>
  <si>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</si>
  <si>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</si>
  <si>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</si>
  <si>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</si>
  <si>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</si>
  <si>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</si>
  <si>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</si>
  <si>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</si>
  <si>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</si>
  <si>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</si>
  <si>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</si>
  <si>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</si>
  <si>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</si>
  <si>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</si>
  <si>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</si>
  <si>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</si>
  <si>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</si>
  <si>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</si>
  <si>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</si>
  <si>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</si>
  <si>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</si>
  <si>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</si>
  <si>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</si>
  <si>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</si>
  <si>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</si>
  <si>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</si>
  <si>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</si>
  <si>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</si>
  <si>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</si>
  <si>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</si>
  <si>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</si>
  <si>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</si>
  <si>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</si>
  <si>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</si>
  <si>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</si>
  <si>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</si>
  <si>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</si>
  <si>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</si>
  <si>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</si>
  <si>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</si>
  <si>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</si>
  <si>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</si>
  <si>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</si>
  <si>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</si>
  <si>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</si>
  <si>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</si>
  <si>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</si>
  <si>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</si>
  <si>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</si>
  <si>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</si>
  <si>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</si>
  <si>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</si>
  <si>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</si>
  <si>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</si>
  <si>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</si>
  <si>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</si>
  <si>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</si>
  <si>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</si>
  <si>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</si>
  <si>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</si>
  <si>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</si>
  <si>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</si>
  <si>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</si>
  <si>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</si>
  <si>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</si>
  <si>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</si>
  <si>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</si>
  <si>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</si>
  <si>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</si>
  <si>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</si>
  <si>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</si>
  <si>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</si>
  <si>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</si>
  <si>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</si>
  <si>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</si>
  <si>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</si>
  <si>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</si>
  <si>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</si>
  <si>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</si>
  <si>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</si>
  <si>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</si>
  <si>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</si>
  <si>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</si>
  <si>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</si>
  <si>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</si>
  <si>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</si>
  <si>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</si>
  <si>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</si>
  <si>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</si>
  <si>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</si>
  <si>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</si>
  <si>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</si>
  <si>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</si>
  <si>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</si>
  <si>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</si>
  <si>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</si>
  <si>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</si>
  <si>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</si>
  <si>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</si>
  <si>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</si>
  <si>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</si>
  <si>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</si>
  <si>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</si>
  <si>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</si>
  <si>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</si>
  <si>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</si>
  <si>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</si>
  <si>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</si>
  <si>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</si>
  <si>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</si>
  <si>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</si>
  <si>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</si>
  <si>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</si>
  <si>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</si>
  <si>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</si>
  <si>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</si>
  <si>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</si>
  <si>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</si>
  <si>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</si>
  <si>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</si>
  <si>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</si>
  <si>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</si>
  <si>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</si>
  <si>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</si>
  <si>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</si>
  <si>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</si>
  <si>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</si>
  <si>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</si>
  <si>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</si>
  <si>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</si>
  <si>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</si>
  <si>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</si>
  <si>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</si>
  <si>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</si>
  <si>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</si>
  <si>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</si>
  <si>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</si>
  <si>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</si>
  <si>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</si>
  <si>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</si>
  <si>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</si>
  <si>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</si>
  <si>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</si>
  <si>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</si>
  <si>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</si>
  <si>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</si>
  <si>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</si>
  <si>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</si>
  <si>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</si>
  <si>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</si>
  <si>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</si>
  <si>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</si>
  <si>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</si>
  <si>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</si>
  <si>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</si>
  <si>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</si>
  <si>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</si>
  <si>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</si>
  <si>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</si>
  <si>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</si>
  <si>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</si>
  <si>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</si>
  <si>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</si>
  <si>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</si>
  <si>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</si>
  <si>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</si>
  <si>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</si>
  <si>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</si>
  <si>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</si>
  <si>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</si>
  <si>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</si>
  <si>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</si>
  <si>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</si>
  <si>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</si>
  <si>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</si>
  <si>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</si>
  <si>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</si>
  <si>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</si>
  <si>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</si>
  <si>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</si>
  <si>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</si>
  <si>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</si>
  <si>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</si>
  <si>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</si>
  <si>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</si>
  <si>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</si>
  <si>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</si>
  <si>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</si>
  <si>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</si>
  <si>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</si>
  <si>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</si>
  <si>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</si>
  <si>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</si>
  <si>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</si>
  <si>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</si>
  <si>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</si>
  <si>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</si>
  <si>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</si>
  <si>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</si>
  <si>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</si>
  <si>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</si>
  <si>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</si>
  <si>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</si>
  <si>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</si>
  <si>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</si>
  <si>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</si>
  <si>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</si>
  <si>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</si>
  <si>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</si>
  <si>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</si>
  <si>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</si>
  <si>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</si>
  <si>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</si>
  <si>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</si>
  <si>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</si>
  <si>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</si>
  <si>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</si>
  <si>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</si>
  <si>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</si>
  <si>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</si>
  <si>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</si>
  <si>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</si>
  <si>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</si>
  <si>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</si>
  <si>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</si>
  <si>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</si>
  <si>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</si>
  <si>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</si>
  <si>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</si>
  <si>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</si>
  <si>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</si>
  <si>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</si>
  <si>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</si>
  <si>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</si>
  <si>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</si>
  <si>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</si>
  <si>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</si>
  <si>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</si>
  <si>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</si>
  <si>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</si>
  <si>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</si>
  <si>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</si>
  <si>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</si>
  <si>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</si>
  <si>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</si>
  <si>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</si>
  <si>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</si>
  <si>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</si>
  <si>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</si>
  <si>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</si>
  <si>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</si>
  <si>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</si>
  <si>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</si>
  <si>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</si>
  <si>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</si>
  <si>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</si>
  <si>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</si>
  <si>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</si>
  <si>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</si>
  <si>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</si>
  <si>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</si>
  <si>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</si>
  <si>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</si>
  <si>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</si>
  <si>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</si>
  <si>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</si>
  <si>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</si>
  <si>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</si>
  <si>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</si>
  <si>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</si>
  <si>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</si>
  <si>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</si>
  <si>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</si>
  <si>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</si>
  <si>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</si>
  <si>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</si>
  <si>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</si>
  <si>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</si>
  <si>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</si>
  <si>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</si>
  <si>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</si>
  <si>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</si>
  <si>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</si>
  <si>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</si>
  <si>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</si>
  <si>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</si>
  <si>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</si>
  <si>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</si>
  <si>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</si>
  <si>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</si>
  <si>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</si>
  <si>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</si>
  <si>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</si>
  <si>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</si>
  <si>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</si>
  <si>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</si>
  <si>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</si>
  <si>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</si>
  <si>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</si>
  <si>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</si>
  <si>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</si>
  <si>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</si>
  <si>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</si>
  <si>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</si>
  <si>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</si>
  <si>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</si>
  <si>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</si>
  <si>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</si>
  <si>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</si>
  <si>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</si>
  <si>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</si>
  <si>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</si>
  <si>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</si>
  <si>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</si>
  <si>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</si>
  <si>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</si>
  <si>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</si>
  <si>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</si>
  <si>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</si>
  <si>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</si>
  <si>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</si>
  <si>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</si>
  <si>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</si>
  <si>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</si>
  <si>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</si>
  <si>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</si>
  <si>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</si>
  <si>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</si>
  <si>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</si>
  <si>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</si>
  <si>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</si>
  <si>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</si>
  <si>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</si>
  <si>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</si>
  <si>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</si>
  <si>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</si>
  <si>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</si>
  <si>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</si>
  <si>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</si>
  <si>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</si>
  <si>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</si>
  <si>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</si>
  <si>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</si>
  <si>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</si>
  <si>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</si>
  <si>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</si>
  <si>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</si>
  <si>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</si>
  <si>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</si>
  <si>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</si>
  <si>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</si>
  <si>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</si>
  <si>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</si>
  <si>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</si>
  <si>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</si>
  <si>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</si>
  <si>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</si>
  <si>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</si>
  <si>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</si>
  <si>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</si>
  <si>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</si>
  <si>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</si>
  <si>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</si>
  <si>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</si>
  <si>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</si>
  <si>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</si>
  <si>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</si>
  <si>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</si>
  <si>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</si>
  <si>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</si>
  <si>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</si>
  <si>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</si>
  <si>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</si>
  <si>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</si>
  <si>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</si>
  <si>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</si>
  <si>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</si>
  <si>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</si>
  <si>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</si>
  <si>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</si>
  <si>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</si>
  <si>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</si>
  <si>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</si>
  <si>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</si>
  <si>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</si>
  <si>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</si>
  <si>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</si>
  <si>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</si>
  <si>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</si>
  <si>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</si>
  <si>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</si>
  <si>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</si>
  <si>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</si>
  <si>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</si>
  <si>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</si>
  <si>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</si>
  <si>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</si>
  <si>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</si>
  <si>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</si>
  <si>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</si>
  <si>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</si>
  <si>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</si>
  <si>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</si>
  <si>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</si>
  <si>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</si>
  <si>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</si>
  <si>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</si>
  <si>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</si>
  <si>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</si>
  <si>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</si>
  <si>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</si>
  <si>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</si>
  <si>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</si>
  <si>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</si>
  <si>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</si>
  <si>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</si>
  <si>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</si>
  <si>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</si>
  <si>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</si>
  <si>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</si>
  <si>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</si>
  <si>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</si>
  <si>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</si>
  <si>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</si>
  <si>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</si>
  <si>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</si>
  <si>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</si>
  <si>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</si>
  <si>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</si>
  <si>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</si>
  <si>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</si>
  <si>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</si>
  <si>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</si>
  <si>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</si>
  <si>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</si>
  <si>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</si>
  <si>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</si>
  <si>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</si>
  <si>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</si>
  <si>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</si>
  <si>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</si>
  <si>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</si>
  <si>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</si>
  <si>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</si>
  <si>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</si>
  <si>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</si>
  <si>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</si>
  <si>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</si>
  <si>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</si>
  <si>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</si>
  <si>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</si>
  <si>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</si>
  <si>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</si>
  <si>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</si>
  <si>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</si>
  <si>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</si>
  <si>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</si>
  <si>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</si>
  <si>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</si>
  <si>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</si>
  <si>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</si>
  <si>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</si>
  <si>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</si>
  <si>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</si>
  <si>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</si>
  <si>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</si>
  <si>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</si>
  <si>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</si>
  <si>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</si>
  <si>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</si>
  <si>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</si>
  <si>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</si>
  <si>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</si>
  <si>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</si>
  <si>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</si>
  <si>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</si>
  <si>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</si>
  <si>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</si>
  <si>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</si>
  <si>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</si>
  <si>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</si>
  <si>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</si>
  <si>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</si>
  <si>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</si>
  <si>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</si>
  <si>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</si>
  <si>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</si>
  <si>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</si>
  <si>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</si>
  <si>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</si>
  <si>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</si>
  <si>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</si>
  <si>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</si>
  <si>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</si>
  <si>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</si>
  <si>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</si>
  <si>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</si>
  <si>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</si>
  <si>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</si>
  <si>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</si>
  <si>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</si>
  <si>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</si>
  <si>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</si>
  <si>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</si>
  <si>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</si>
  <si>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</si>
  <si>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</si>
  <si>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</si>
  <si>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</si>
  <si>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</si>
  <si>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</si>
  <si>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</si>
  <si>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</si>
  <si>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</si>
  <si>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</si>
  <si>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</si>
  <si>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</si>
  <si>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</si>
  <si>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</si>
  <si>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</si>
  <si>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</si>
  <si>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</si>
  <si>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</si>
  <si>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</si>
  <si>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</si>
  <si>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</si>
  <si>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</si>
  <si>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</si>
  <si>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</si>
  <si>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</si>
  <si>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</si>
  <si>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</si>
  <si>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</si>
  <si>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</si>
  <si>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</si>
  <si>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</si>
  <si>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</si>
  <si>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</si>
  <si>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</si>
  <si>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</si>
  <si>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</si>
  <si>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</si>
  <si>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</si>
  <si>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</si>
  <si>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</si>
  <si>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</si>
  <si>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</si>
  <si>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</si>
  <si>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</si>
  <si>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</si>
  <si>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</si>
  <si>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</si>
  <si>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</si>
  <si>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</si>
  <si>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</si>
  <si>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</si>
  <si>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</si>
  <si>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</si>
  <si>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</si>
  <si>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</si>
  <si>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</si>
  <si>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</si>
  <si>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</si>
  <si>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</si>
  <si>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</si>
  <si>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</si>
  <si>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</si>
  <si>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</si>
  <si>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</si>
  <si>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</si>
  <si>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</si>
  <si>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</si>
  <si>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</si>
  <si>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</si>
  <si>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</si>
  <si>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</si>
  <si>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</si>
  <si>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</si>
  <si>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</si>
  <si>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</si>
  <si>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</si>
  <si>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</si>
  <si>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</si>
  <si>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</si>
  <si>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</si>
  <si>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</si>
  <si>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</si>
  <si>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</si>
  <si>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</si>
  <si>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</si>
  <si>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</si>
  <si>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</si>
  <si>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</si>
  <si>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</si>
  <si>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</si>
  <si>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</si>
  <si>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</si>
  <si>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</si>
  <si>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</si>
  <si>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</si>
  <si>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</si>
  <si>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</si>
  <si>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</si>
  <si>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</si>
  <si>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</si>
  <si>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</si>
  <si>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</si>
  <si>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</si>
  <si>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</si>
  <si>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</si>
  <si>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</si>
  <si>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</si>
  <si>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</si>
  <si>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</si>
  <si>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</si>
  <si>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</si>
  <si>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</si>
  <si>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</si>
  <si>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</si>
  <si>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</si>
  <si>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</si>
  <si>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</si>
  <si>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</si>
  <si>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</si>
  <si>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</si>
  <si>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</si>
  <si>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</si>
  <si>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</si>
  <si>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</si>
  <si>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</si>
  <si>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</si>
  <si>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</si>
  <si>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</si>
  <si>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</si>
  <si>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</si>
  <si>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</si>
  <si>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</si>
  <si>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</si>
  <si>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</si>
  <si>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</si>
  <si>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</si>
  <si>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</si>
  <si>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</si>
  <si>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</si>
  <si>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</si>
  <si>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</si>
  <si>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</si>
  <si>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</si>
  <si>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</si>
  <si>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</si>
  <si>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</si>
  <si>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</si>
  <si>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</si>
  <si>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</si>
  <si>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</si>
  <si>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</si>
  <si>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</si>
  <si>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</si>
  <si>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</si>
  <si>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</si>
  <si>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</si>
  <si>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</si>
  <si>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</si>
  <si>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</si>
  <si>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</si>
  <si>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</si>
  <si>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</si>
  <si>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</si>
  <si>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</si>
  <si>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</si>
  <si>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</si>
  <si>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</si>
  <si>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</si>
  <si>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</si>
  <si>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</si>
  <si>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</si>
  <si>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</si>
  <si>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</si>
  <si>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</si>
  <si>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</si>
  <si>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</si>
  <si>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</si>
  <si>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</si>
  <si>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</si>
  <si>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</si>
  <si>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</si>
  <si>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</si>
  <si>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</si>
  <si>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</si>
  <si>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</si>
  <si>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</si>
  <si>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</si>
  <si>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</si>
  <si>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</si>
  <si>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</si>
  <si>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</si>
  <si>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</si>
  <si>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</si>
  <si>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</si>
  <si>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</si>
  <si>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</si>
  <si>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</si>
  <si>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</si>
  <si>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</si>
  <si>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</si>
  <si>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</si>
  <si>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</si>
  <si>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</si>
  <si>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</si>
  <si>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</si>
  <si>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</si>
  <si>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</si>
  <si>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</si>
  <si>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</si>
  <si>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</si>
  <si>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</si>
  <si>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</si>
  <si>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</si>
  <si>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</si>
  <si>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</si>
  <si>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</si>
  <si>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</si>
  <si>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</si>
  <si>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</si>
  <si>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</si>
  <si>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</si>
  <si>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</si>
  <si>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</si>
  <si>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</si>
  <si>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</si>
  <si>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</si>
  <si>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</si>
  <si>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</si>
  <si>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</si>
  <si>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</si>
  <si>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</si>
  <si>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</si>
  <si>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</si>
  <si>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</si>
  <si>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</si>
  <si>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</si>
  <si>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</si>
  <si>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</si>
  <si>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</si>
  <si>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</si>
  <si>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</si>
  <si>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</si>
  <si>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</si>
  <si>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</si>
  <si>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</si>
  <si>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</si>
  <si>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</si>
  <si>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</si>
  <si>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</si>
  <si>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</si>
  <si>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</si>
  <si>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</si>
  <si>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</si>
  <si>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</si>
  <si>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</si>
  <si>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</si>
  <si>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</si>
  <si>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</si>
  <si>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</si>
  <si>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</si>
  <si>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</si>
  <si>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</si>
  <si>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</si>
  <si>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</si>
  <si>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</si>
  <si>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</si>
  <si>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</si>
  <si>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</si>
  <si>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</si>
  <si>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</si>
  <si>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</si>
  <si>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</si>
  <si>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</si>
  <si>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</si>
  <si>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</si>
  <si>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</si>
  <si>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</si>
  <si>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</si>
  <si>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</si>
  <si>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</si>
  <si>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</si>
  <si>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</si>
  <si>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</si>
  <si>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</si>
  <si>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</si>
  <si>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</si>
  <si>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</si>
  <si>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</si>
  <si>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</si>
  <si>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</si>
  <si>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</si>
  <si>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</si>
  <si>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</si>
  <si>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</si>
  <si>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</si>
  <si>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</si>
  <si>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</si>
  <si>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</si>
  <si>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</si>
  <si>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</si>
  <si>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</si>
  <si>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</si>
  <si>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</si>
  <si>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</si>
  <si>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</si>
  <si>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</si>
  <si>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</si>
  <si>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</si>
  <si>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</si>
  <si>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</si>
  <si>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</si>
  <si>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</si>
  <si>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</si>
  <si>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</si>
  <si>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</si>
  <si>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</si>
  <si>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</si>
  <si>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</si>
  <si>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</si>
  <si>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</si>
  <si>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</si>
  <si>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</si>
  <si>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</si>
  <si>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</si>
  <si>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</si>
  <si>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</si>
  <si>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</si>
  <si>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</si>
  <si>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</si>
  <si>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</si>
  <si>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</si>
  <si>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</si>
  <si>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</si>
  <si>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</si>
  <si>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</si>
  <si>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</si>
  <si>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</si>
  <si>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</si>
  <si>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</si>
  <si>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</si>
  <si>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</si>
  <si>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</si>
  <si>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</si>
  <si>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</si>
  <si>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</si>
  <si>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</si>
  <si>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</si>
  <si>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</si>
  <si>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</si>
  <si>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</si>
  <si>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</si>
  <si>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</si>
  <si>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</si>
  <si>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</si>
  <si>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</si>
  <si>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</si>
  <si>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</si>
  <si>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</si>
  <si>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</si>
  <si>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</si>
  <si>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</si>
  <si>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</si>
  <si>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</si>
  <si>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</si>
  <si>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</si>
  <si>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</si>
  <si>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</si>
  <si>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</si>
  <si>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</si>
  <si>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</si>
  <si>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</si>
  <si>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</si>
  <si>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</si>
  <si>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</si>
  <si>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</si>
  <si>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</si>
  <si>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</si>
  <si>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</si>
  <si>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</si>
  <si>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</si>
  <si>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</si>
  <si>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</si>
  <si>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</si>
  <si>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</si>
  <si>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</si>
  <si>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</si>
  <si>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</si>
  <si>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</si>
  <si>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</si>
  <si>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</si>
  <si>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</si>
  <si>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</si>
  <si>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</si>
  <si>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</si>
  <si>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</si>
  <si>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</si>
  <si>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</si>
  <si>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</si>
  <si>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</si>
  <si>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</si>
  <si>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</si>
  <si>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</si>
  <si>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</si>
  <si>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</si>
  <si>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</si>
  <si>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</si>
  <si>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</si>
  <si>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</si>
  <si>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</si>
  <si>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</si>
  <si>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</si>
  <si>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</si>
  <si>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</si>
  <si>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</si>
  <si>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</si>
  <si>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</si>
  <si>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</si>
  <si>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</si>
  <si>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</si>
  <si>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</si>
  <si>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</si>
  <si>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</si>
  <si>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</si>
  <si>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</si>
  <si>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</si>
  <si>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</si>
  <si>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</si>
  <si>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</si>
  <si>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</si>
  <si>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</si>
  <si>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</si>
  <si>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</si>
  <si>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</si>
  <si>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</si>
  <si>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</si>
  <si>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</si>
  <si>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</si>
  <si>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</si>
  <si>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</si>
  <si>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</si>
  <si>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</si>
  <si>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</si>
  <si>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</si>
  <si>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</si>
  <si>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</si>
  <si>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</si>
  <si>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</si>
  <si>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</si>
  <si>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</si>
  <si>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</si>
  <si>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</si>
  <si>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</si>
  <si>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</si>
  <si>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</si>
  <si>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</si>
  <si>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</si>
  <si>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</si>
  <si>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</si>
  <si>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</si>
  <si>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</si>
  <si>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</si>
  <si>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</si>
  <si>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</si>
  <si>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</si>
  <si>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</si>
  <si>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</si>
  <si>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</si>
  <si>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</si>
  <si>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</si>
  <si>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</si>
  <si>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</si>
  <si>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</si>
  <si>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</si>
  <si>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</si>
  <si>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</si>
  <si>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</si>
  <si>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</si>
  <si>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</si>
  <si>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</si>
  <si>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</si>
  <si>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</si>
  <si>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</si>
  <si>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</si>
  <si>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</si>
  <si>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</si>
  <si>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</si>
  <si>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</si>
  <si>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</si>
  <si>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</si>
  <si>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</si>
  <si>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</si>
  <si>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</si>
  <si>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</si>
  <si>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</si>
  <si>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</si>
  <si>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</si>
  <si>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</si>
  <si>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</si>
  <si>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</si>
  <si>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</si>
  <si>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</si>
  <si>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</si>
  <si>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</si>
  <si>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</si>
  <si>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</si>
  <si>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</si>
  <si>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</si>
  <si>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</si>
  <si>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</si>
  <si>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</si>
  <si>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</si>
  <si>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</si>
  <si>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</si>
  <si>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</si>
  <si>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</si>
  <si>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</si>
  <si>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</si>
  <si>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</si>
  <si>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</si>
  <si>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</si>
  <si>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</si>
  <si>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</si>
  <si>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</si>
  <si>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</si>
  <si>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</si>
  <si>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</si>
  <si>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</si>
  <si>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</si>
  <si>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</si>
  <si>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</si>
  <si>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</si>
  <si>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</si>
  <si>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</si>
  <si>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</si>
  <si>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</si>
  <si>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</si>
  <si>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</si>
  <si>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</si>
  <si>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</si>
  <si>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</si>
  <si>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</si>
  <si>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</si>
  <si>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</si>
  <si>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</si>
  <si>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</si>
  <si>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</si>
  <si>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</si>
  <si>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</si>
  <si>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</si>
  <si>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</si>
  <si>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</si>
  <si>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</si>
  <si>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</si>
  <si>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</si>
  <si>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</si>
  <si>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</si>
  <si>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</si>
  <si>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</si>
  <si>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</si>
  <si>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</si>
  <si>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</si>
  <si>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</si>
  <si>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</si>
  <si>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</si>
  <si>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</si>
  <si>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</si>
  <si>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</si>
  <si>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</si>
  <si>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</si>
  <si>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</si>
  <si>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</si>
  <si>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</si>
  <si>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</si>
  <si>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</si>
  <si>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</si>
  <si>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</si>
  <si>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</si>
  <si>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</si>
  <si>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</si>
  <si>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</si>
  <si>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</si>
  <si>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</si>
  <si>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</si>
  <si>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</si>
  <si>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</si>
  <si>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</si>
  <si>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</si>
  <si>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</si>
  <si>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</si>
  <si>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</si>
  <si>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</si>
  <si>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</si>
  <si>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</si>
  <si>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</si>
  <si>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</si>
  <si>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</si>
  <si>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</si>
  <si>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</si>
  <si>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</si>
  <si>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</si>
  <si>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</si>
  <si>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</si>
  <si>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</si>
  <si>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</si>
  <si>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</si>
  <si>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</si>
  <si>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</si>
  <si>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</si>
  <si>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</si>
  <si>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</si>
  <si>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</si>
  <si>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</si>
  <si>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</si>
  <si>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</si>
  <si>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</si>
  <si>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</si>
  <si>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</si>
  <si>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</si>
  <si>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</si>
  <si>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</si>
  <si>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</si>
  <si>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</si>
  <si>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</si>
  <si>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</si>
  <si>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</si>
  <si>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</si>
  <si>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</si>
  <si>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</si>
  <si>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</si>
  <si>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</si>
  <si>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</si>
  <si>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</si>
  <si>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</si>
  <si>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</si>
  <si>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</si>
  <si>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</si>
  <si>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</si>
  <si>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</si>
  <si>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</si>
  <si>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</si>
  <si>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</si>
  <si>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</si>
  <si>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</si>
  <si>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</si>
  <si>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</si>
  <si>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</si>
  <si>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</si>
  <si>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</si>
  <si>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</si>
  <si>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</si>
  <si>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</si>
  <si>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</si>
  <si>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</si>
  <si>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</si>
  <si>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</si>
  <si>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</si>
  <si>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</si>
  <si>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</si>
  <si>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</si>
  <si>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</si>
  <si>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</si>
  <si>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</si>
  <si>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</si>
  <si>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</si>
  <si>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</si>
  <si>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</si>
  <si>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</si>
  <si>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</si>
  <si>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</si>
  <si>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</si>
  <si>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</si>
  <si>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</si>
  <si>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</si>
  <si>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</si>
  <si>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</si>
  <si>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</si>
  <si>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</si>
  <si>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</si>
  <si>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</si>
  <si>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</si>
  <si>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</si>
  <si>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</si>
  <si>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</si>
  <si>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</si>
  <si>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</si>
  <si>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</si>
  <si>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</si>
  <si>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</si>
  <si>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</si>
  <si>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</si>
  <si>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</si>
  <si>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</si>
  <si>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</si>
  <si>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</si>
  <si>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</si>
  <si>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</si>
  <si>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</si>
  <si>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</si>
  <si>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</si>
  <si>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</si>
  <si>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</si>
  <si>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</si>
  <si>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</si>
  <si>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</si>
  <si>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</si>
  <si>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</si>
  <si>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</si>
  <si>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</si>
  <si>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</si>
  <si>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</si>
  <si>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</si>
  <si>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</si>
  <si>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</si>
  <si>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</si>
  <si>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</si>
  <si>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</si>
  <si>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</si>
  <si>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</si>
  <si>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</si>
  <si>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</si>
  <si>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</si>
  <si>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</si>
  <si>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</si>
  <si>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</si>
  <si>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</si>
  <si>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</si>
  <si>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</si>
  <si>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</si>
  <si>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</si>
  <si>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</si>
  <si>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</si>
  <si>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</si>
  <si>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</si>
  <si>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</si>
  <si>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</si>
  <si>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</si>
  <si>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</si>
  <si>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</si>
  <si>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</si>
  <si>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</si>
  <si>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</si>
  <si>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</si>
  <si>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</si>
  <si>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</si>
  <si>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</si>
  <si>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</si>
  <si>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</si>
  <si>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</si>
  <si>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</si>
  <si>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</si>
  <si>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</si>
  <si>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</si>
  <si>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</si>
  <si>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</si>
  <si>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</si>
  <si>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</si>
  <si>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</si>
  <si>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</si>
  <si>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</si>
  <si>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</si>
  <si>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</si>
  <si>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</si>
  <si>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</si>
  <si>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</si>
  <si>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</si>
  <si>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</si>
  <si>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</si>
  <si>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</si>
  <si>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</si>
  <si>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</si>
  <si>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</si>
  <si>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</si>
  <si>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</si>
  <si>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</si>
  <si>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</si>
  <si>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</si>
  <si>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</si>
  <si>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</si>
  <si>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</si>
  <si>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</si>
  <si>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</si>
  <si>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</si>
  <si>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</si>
  <si>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</si>
  <si>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</si>
  <si>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</si>
  <si>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</si>
  <si>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</si>
  <si>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</si>
  <si>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</si>
  <si>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</si>
  <si>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</si>
  <si>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</si>
  <si>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</si>
  <si>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</si>
  <si>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</si>
  <si>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</si>
  <si>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</si>
  <si>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</si>
  <si>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</si>
  <si>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</si>
  <si>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</si>
  <si>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</si>
  <si>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</si>
  <si>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</si>
  <si>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</si>
  <si>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</si>
  <si>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</si>
  <si>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</si>
  <si>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</si>
  <si>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</si>
  <si>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</si>
  <si>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</si>
  <si>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</si>
  <si>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</si>
  <si>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</si>
  <si>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</si>
  <si>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</si>
  <si>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</si>
  <si>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</si>
  <si>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</si>
  <si>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</si>
  <si>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</si>
  <si>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</si>
  <si>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</si>
  <si>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</si>
  <si>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</si>
  <si>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</si>
  <si>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</si>
  <si>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</si>
  <si>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</si>
  <si>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</si>
  <si>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</si>
  <si>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</si>
  <si>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</si>
  <si>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</si>
  <si>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</si>
  <si>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</si>
  <si>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</si>
  <si>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</si>
  <si>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</si>
  <si>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</si>
  <si>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</si>
  <si>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</si>
  <si>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</si>
  <si>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</si>
  <si>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</si>
  <si>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</si>
  <si>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</si>
  <si>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</si>
  <si>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</si>
  <si>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</si>
  <si>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</si>
  <si>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</si>
  <si>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</si>
  <si>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</si>
  <si>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</si>
  <si>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</si>
  <si>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</si>
  <si>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</si>
  <si>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</si>
  <si>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</si>
  <si>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</si>
  <si>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</si>
  <si>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</si>
  <si>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</si>
  <si>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</si>
  <si>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</si>
  <si>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</si>
  <si>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</si>
  <si>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</si>
  <si>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</si>
  <si>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</si>
  <si>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</si>
  <si>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</si>
  <si>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</si>
  <si>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</si>
  <si>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</si>
  <si>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</si>
  <si>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</si>
  <si>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</si>
  <si>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</si>
  <si>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</si>
  <si>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</si>
  <si>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</si>
  <si>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</si>
  <si>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</si>
  <si>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</si>
  <si>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</si>
  <si>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</si>
  <si>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</si>
  <si>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</si>
  <si>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</si>
  <si>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</si>
  <si>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</si>
  <si>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</si>
  <si>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</si>
  <si>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</si>
  <si>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</si>
  <si>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</si>
  <si>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</si>
  <si>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</si>
  <si>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</si>
  <si>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</si>
  <si>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</si>
  <si>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</si>
  <si>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</si>
  <si>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</si>
  <si>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</si>
  <si>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</si>
  <si>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</si>
  <si>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</si>
  <si>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</si>
  <si>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</si>
  <si>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</si>
  <si>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</si>
  <si>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</si>
  <si>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</si>
  <si>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</si>
  <si>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</si>
  <si>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</si>
  <si>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</si>
  <si>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</si>
  <si>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</si>
  <si>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</si>
  <si>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</si>
  <si>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</si>
  <si>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</si>
  <si>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</si>
  <si>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</si>
  <si>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</si>
  <si>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</si>
  <si>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</si>
  <si>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</si>
  <si>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</si>
  <si>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</si>
  <si>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</si>
  <si>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</si>
  <si>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</si>
  <si>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</si>
  <si>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</si>
  <si>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</si>
  <si>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</si>
  <si>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</si>
  <si>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</si>
  <si>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</si>
  <si>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</si>
  <si>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</si>
  <si>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</si>
  <si>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</si>
  <si>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</si>
  <si>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</si>
  <si>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</si>
  <si>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</si>
  <si>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</si>
  <si>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</si>
  <si>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</si>
  <si>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</si>
  <si>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</si>
  <si>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</si>
  <si>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</si>
  <si>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</si>
  <si>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</si>
  <si>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</si>
  <si>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</si>
  <si>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</si>
  <si>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</si>
  <si>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</si>
  <si>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</si>
  <si>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</si>
  <si>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</si>
  <si>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</si>
  <si>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</si>
  <si>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</si>
  <si>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</si>
  <si>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</si>
  <si>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</si>
  <si>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</si>
  <si>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</si>
  <si>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</si>
  <si>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</si>
  <si>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</si>
  <si>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</si>
  <si>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</si>
  <si>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</si>
  <si>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</si>
  <si>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</si>
  <si>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</si>
  <si>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</si>
  <si>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</si>
  <si>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</si>
  <si>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</si>
  <si>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</si>
  <si>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</si>
  <si>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</si>
  <si>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</si>
  <si>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</si>
  <si>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</si>
  <si>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</si>
  <si>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</si>
  <si>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</si>
  <si>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</si>
  <si>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</si>
  <si>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</si>
  <si>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</si>
  <si>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</si>
  <si>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</si>
  <si>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</si>
  <si>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</si>
  <si>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</si>
  <si>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</si>
  <si>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</si>
  <si>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</si>
  <si>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</si>
  <si>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</si>
  <si>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</si>
  <si>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</si>
  <si>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</si>
  <si>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</si>
  <si>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</si>
  <si>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</si>
  <si>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</si>
  <si>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</si>
  <si>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</si>
  <si>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</si>
  <si>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</si>
  <si>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</si>
  <si>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</si>
  <si>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</si>
  <si>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</si>
  <si>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</si>
  <si>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</si>
  <si>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</si>
  <si>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</si>
  <si>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</si>
  <si>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</si>
  <si>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</si>
  <si>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</si>
  <si>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</si>
  <si>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</si>
  <si>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</si>
  <si>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</si>
  <si>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</si>
  <si>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</si>
  <si>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</si>
  <si>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</si>
  <si>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</si>
  <si>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</si>
  <si>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</si>
  <si>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</si>
  <si>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</si>
  <si>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</si>
  <si>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</si>
  <si>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</si>
  <si>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</si>
  <si>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</si>
  <si>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</si>
  <si>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</si>
  <si>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</si>
  <si>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</si>
  <si>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</si>
  <si>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</si>
  <si>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</si>
  <si>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</si>
  <si>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</si>
  <si>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</si>
  <si>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</si>
  <si>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</si>
  <si>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</si>
  <si>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</si>
  <si>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</si>
  <si>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</si>
  <si>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</si>
  <si>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</si>
  <si>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</si>
  <si>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</si>
  <si>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</si>
  <si>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</si>
  <si>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</si>
  <si>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</si>
  <si>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</si>
  <si>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</si>
  <si>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</si>
  <si>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</si>
  <si>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</si>
  <si>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</si>
  <si>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</si>
  <si>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</si>
  <si>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</si>
  <si>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</si>
  <si>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</si>
  <si>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</si>
  <si>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</si>
  <si>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</si>
  <si>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</si>
  <si>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</si>
  <si>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</si>
  <si>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</si>
  <si>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</si>
  <si>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</si>
  <si>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</si>
  <si>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</si>
  <si>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</si>
  <si>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</si>
  <si>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</si>
  <si>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</si>
  <si>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</si>
  <si>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</si>
  <si>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</si>
  <si>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</si>
  <si>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</si>
  <si>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</si>
  <si>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</si>
  <si>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</si>
  <si>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</si>
  <si>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</si>
  <si>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</si>
  <si>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</si>
  <si>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</si>
  <si>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</si>
  <si>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</si>
  <si>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</si>
  <si>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</si>
  <si>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</si>
  <si>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</si>
  <si>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</si>
  <si>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</si>
  <si>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</si>
  <si>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</si>
  <si>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</si>
  <si>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</si>
  <si>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</si>
  <si>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</si>
  <si>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</si>
  <si>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</si>
  <si>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</si>
  <si>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</si>
  <si>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</si>
  <si>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</si>
  <si>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</si>
  <si>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</si>
  <si>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</si>
  <si>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</si>
  <si>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</si>
  <si>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</si>
  <si>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</si>
  <si>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</si>
  <si>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</si>
  <si>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</si>
  <si>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</si>
  <si>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</si>
  <si>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</si>
  <si>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</si>
  <si>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</si>
  <si>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</si>
  <si>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</si>
  <si>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</si>
  <si>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</si>
  <si>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</si>
  <si>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</si>
  <si>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</si>
  <si>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</si>
  <si>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</si>
  <si>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</si>
  <si>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</si>
  <si>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</si>
  <si>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</si>
  <si>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</si>
  <si>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</si>
  <si>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</si>
  <si>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</si>
  <si>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</si>
  <si>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</si>
  <si>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</si>
  <si>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</si>
  <si>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</si>
  <si>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</si>
  <si>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</si>
  <si>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</si>
  <si>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</si>
  <si>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</si>
  <si>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</si>
  <si>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</si>
  <si>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</si>
  <si>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</si>
  <si>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</si>
  <si>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</si>
  <si>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</si>
  <si>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</si>
  <si>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</si>
  <si>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</si>
  <si>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</si>
  <si>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</si>
  <si>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</si>
  <si>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</si>
  <si>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</si>
  <si>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</si>
  <si>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</si>
  <si>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</si>
  <si>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</si>
  <si>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</si>
  <si>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</si>
  <si>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</si>
  <si>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</si>
  <si>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</si>
  <si>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</si>
  <si>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</si>
  <si>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</si>
  <si>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</si>
  <si>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</si>
  <si>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</si>
  <si>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</si>
  <si>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</si>
  <si>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</si>
  <si>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</si>
  <si>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</si>
  <si>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</si>
  <si>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</si>
  <si>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</si>
  <si>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</si>
  <si>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</si>
  <si>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</si>
  <si>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</si>
  <si>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</si>
  <si>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</si>
  <si>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</si>
  <si>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</si>
  <si>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</si>
  <si>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</si>
  <si>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</si>
  <si>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</si>
  <si>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</si>
  <si>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</si>
  <si>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</si>
  <si>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</si>
  <si>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</si>
  <si>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</si>
  <si>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</si>
  <si>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</si>
  <si>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</si>
  <si>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</si>
  <si>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</si>
  <si>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</si>
  <si>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</si>
  <si>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</si>
  <si>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</si>
  <si>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</si>
  <si>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</si>
  <si>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</si>
  <si>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</si>
  <si>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</si>
  <si>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</si>
  <si>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</si>
  <si>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</si>
  <si>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</si>
  <si>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</si>
  <si>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</si>
  <si>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</si>
  <si>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</si>
  <si>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</si>
  <si>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</si>
  <si>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</si>
  <si>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</si>
  <si>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</si>
  <si>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</si>
  <si>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</si>
  <si>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</si>
  <si>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</si>
  <si>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</si>
  <si>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</si>
  <si>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</si>
  <si>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</si>
  <si>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</si>
  <si>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</si>
  <si>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</si>
  <si>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</si>
  <si>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</si>
  <si>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</si>
  <si>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</si>
  <si>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</si>
  <si>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</si>
  <si>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</si>
  <si>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</si>
  <si>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</si>
  <si>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</si>
  <si>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</si>
  <si>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</si>
  <si>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</si>
  <si>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</si>
  <si>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</si>
  <si>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</si>
  <si>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</si>
  <si>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</si>
  <si>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</si>
  <si>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</si>
  <si>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</si>
  <si>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</si>
  <si>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</si>
  <si>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</si>
  <si>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</si>
  <si>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</si>
  <si>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</si>
  <si>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</si>
  <si>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</si>
  <si>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</si>
  <si>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</si>
  <si>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</si>
  <si>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</si>
  <si>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</si>
  <si>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</si>
  <si>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</si>
  <si>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</si>
  <si>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</si>
  <si>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</si>
  <si>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</si>
  <si>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</si>
  <si>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</si>
  <si>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</si>
  <si>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</si>
  <si>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</si>
  <si>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</si>
  <si>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</si>
  <si>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</si>
  <si>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</si>
  <si>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</si>
  <si>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</si>
  <si>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</si>
  <si>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</si>
  <si>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</si>
  <si>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</si>
  <si>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</si>
  <si>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</si>
  <si>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</si>
  <si>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</si>
  <si>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</si>
  <si>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</si>
  <si>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</si>
  <si>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</si>
  <si>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</si>
  <si>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</si>
  <si>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</si>
  <si>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</si>
  <si>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</si>
  <si>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</si>
  <si>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</si>
  <si>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</si>
  <si>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</si>
  <si>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</si>
  <si>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</si>
  <si>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</si>
  <si>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</si>
  <si>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</si>
  <si>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</si>
  <si>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</si>
  <si>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</si>
  <si>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</si>
  <si>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</si>
  <si>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</si>
  <si>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</si>
  <si>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</si>
  <si>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</si>
  <si>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</si>
  <si>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</si>
  <si>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</si>
  <si>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</si>
  <si>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</si>
  <si>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</si>
  <si>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</si>
  <si>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</si>
  <si>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</si>
  <si>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</si>
  <si>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</si>
  <si>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</si>
  <si>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</si>
  <si>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</si>
  <si>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</si>
  <si>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</si>
  <si>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</si>
  <si>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</si>
  <si>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</si>
  <si>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</si>
  <si>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</si>
  <si>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</si>
  <si>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</si>
  <si>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</si>
  <si>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</si>
  <si>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</si>
  <si>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</si>
  <si>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</si>
  <si>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</si>
  <si>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</si>
  <si>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</si>
  <si>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</si>
  <si>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</si>
  <si>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</si>
  <si>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</si>
  <si>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</si>
  <si>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</si>
  <si>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</si>
  <si>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</si>
  <si>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</si>
  <si>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</si>
  <si>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</si>
  <si>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</si>
  <si>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</si>
  <si>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</si>
  <si>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</si>
  <si>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</si>
  <si>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</si>
  <si>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</si>
  <si>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</si>
  <si>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</si>
  <si>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</si>
  <si>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</si>
  <si>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</si>
  <si>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</si>
  <si>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</si>
  <si>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</si>
  <si>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</si>
  <si>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</si>
  <si>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</si>
  <si>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</si>
  <si>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</si>
  <si>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</si>
  <si>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</si>
  <si>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</si>
  <si>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</si>
  <si>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</si>
  <si>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</si>
  <si>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</si>
  <si>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</si>
  <si>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</si>
  <si>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</si>
  <si>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</si>
  <si>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</si>
  <si>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</si>
  <si>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</si>
  <si>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</si>
  <si>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</si>
  <si>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</si>
  <si>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</si>
  <si>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</si>
  <si>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</si>
  <si>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</si>
  <si>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</si>
  <si>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</si>
  <si>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</si>
  <si>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</si>
  <si>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</si>
  <si>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</si>
  <si>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비즈니스온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</si>
  <si>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</si>
  <si>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</si>
  <si>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</si>
  <si>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</si>
  <si>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</si>
  <si>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</si>
  <si>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</si>
  <si>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</si>
  <si>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</si>
  <si>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</si>
  <si>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</si>
  <si>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</si>
  <si>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</si>
  <si>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</si>
  <si>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</si>
  <si>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</si>
  <si>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</si>
  <si>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</si>
  <si>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</si>
  <si>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</si>
  <si>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</si>
  <si>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</si>
  <si>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</si>
  <si>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</si>
  <si>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</si>
  <si>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</si>
  <si>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</si>
  <si>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</si>
  <si>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</si>
  <si>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</si>
  <si>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</si>
  <si>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</si>
  <si>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</si>
  <si>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</si>
  <si>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</si>
  <si>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</si>
  <si>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</si>
  <si>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</si>
  <si>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</si>
  <si>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</si>
  <si>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</si>
  <si>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</si>
  <si>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</si>
  <si>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</si>
  <si>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</si>
  <si>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</si>
  <si>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</si>
  <si>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</si>
  <si>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</si>
  <si>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</si>
  <si>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</si>
  <si>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</si>
  <si>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</si>
  <si>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</si>
  <si>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</si>
  <si>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</si>
  <si>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</si>
  <si>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</si>
  <si>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</si>
  <si>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</si>
  <si>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</si>
  <si>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</si>
  <si>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</si>
  <si>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</si>
  <si>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</si>
  <si>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</si>
  <si>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</si>
  <si>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</si>
  <si>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</si>
  <si>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</si>
  <si>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</si>
  <si>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</si>
  <si>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</si>
  <si>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</si>
  <si>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</si>
  <si>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</si>
  <si>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</si>
  <si>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</si>
  <si>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</si>
  <si>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</si>
  <si>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</si>
  <si>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</si>
  <si>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</si>
  <si>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</si>
  <si>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</si>
  <si>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</si>
  <si>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</si>
  <si>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</si>
  <si>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</si>
  <si>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</si>
  <si>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</si>
  <si>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</si>
  <si>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</si>
  <si>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</si>
  <si>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</si>
  <si>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</si>
  <si>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</si>
  <si>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</si>
  <si>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</si>
  <si>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</si>
  <si>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</si>
  <si>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</si>
  <si>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</si>
  <si>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</si>
  <si>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</si>
  <si>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</si>
  <si>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</si>
  <si>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</si>
  <si>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</si>
  <si>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</si>
  <si>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</si>
  <si>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</si>
  <si>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</si>
  <si>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</si>
  <si>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</si>
  <si>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</si>
  <si>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</si>
  <si>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</si>
  <si>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</si>
  <si>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</si>
  <si>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</si>
  <si>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</si>
  <si>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</si>
  <si>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</si>
  <si>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</si>
  <si>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</si>
  <si>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</si>
  <si>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</si>
  <si>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</si>
  <si>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</si>
  <si>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</si>
  <si>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</si>
  <si>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</si>
  <si>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</si>
  <si>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</si>
  <si>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</si>
  <si>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</si>
  <si>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</si>
  <si>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</si>
  <si>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</si>
  <si>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</si>
  <si>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</si>
  <si>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</si>
  <si>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</si>
  <si>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</si>
  <si>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</si>
  <si>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</si>
  <si>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</si>
  <si>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</si>
  <si>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</si>
  <si>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</si>
  <si>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</si>
  <si>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</si>
  <si>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</si>
  <si>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</si>
  <si>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</si>
  <si>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</si>
  <si>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</si>
  <si>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</si>
  <si>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</si>
  <si>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</si>
  <si>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</si>
  <si>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</si>
  <si>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</si>
  <si>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</si>
  <si>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</si>
  <si>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</si>
  <si>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</si>
  <si>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</si>
  <si>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</si>
  <si>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</si>
  <si>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</si>
  <si>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</si>
  <si>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</si>
  <si>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</si>
  <si>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</si>
  <si>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</si>
  <si>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</si>
  <si>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</si>
  <si>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</si>
  <si>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</si>
  <si>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</si>
  <si>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</si>
  <si>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</si>
  <si>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</si>
  <si>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</si>
  <si>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</si>
  <si>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</si>
  <si>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</si>
  <si>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</si>
  <si>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</si>
  <si>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</si>
  <si>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</si>
  <si>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</si>
  <si>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</si>
  <si>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</si>
  <si>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</si>
  <si>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</si>
  <si>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</si>
  <si>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</si>
  <si>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</si>
  <si>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</si>
  <si>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</si>
  <si>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</si>
  <si>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</si>
  <si>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</si>
  <si>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</si>
  <si>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</si>
  <si>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</si>
  <si>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</si>
  <si>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</si>
  <si>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</si>
  <si>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</si>
  <si>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</si>
  <si>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</si>
  <si>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</si>
  <si>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</si>
  <si>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</si>
  <si>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</si>
  <si>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</si>
  <si>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</si>
  <si>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</si>
  <si>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</si>
  <si>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</si>
  <si>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</si>
  <si>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</si>
  <si>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</si>
  <si>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</si>
  <si>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</si>
  <si>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</si>
  <si>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</si>
  <si>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</si>
  <si>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</si>
  <si>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</si>
  <si>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</si>
  <si>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</si>
  <si>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</si>
  <si>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</si>
  <si>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</si>
  <si>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</si>
  <si>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</si>
  <si>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</si>
  <si>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</si>
  <si>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</si>
  <si>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</si>
  <si>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</si>
  <si>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</si>
  <si>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</si>
  <si>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</si>
  <si>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</si>
  <si>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</si>
  <si>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</si>
  <si>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</si>
  <si>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</si>
  <si>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</si>
  <si>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</si>
  <si>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</si>
  <si>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</si>
  <si>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</si>
  <si>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</si>
  <si>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</si>
  <si>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</si>
  <si>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</si>
  <si>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</si>
  <si>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</si>
  <si>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</si>
  <si>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</si>
  <si>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</si>
  <si>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</si>
  <si>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</si>
  <si>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</si>
  <si>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</si>
  <si>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</si>
  <si>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</si>
  <si>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</si>
  <si>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</si>
  <si>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</si>
  <si>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</si>
  <si>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</si>
  <si>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</si>
  <si>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</si>
  <si>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</si>
  <si>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</si>
  <si>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</si>
  <si>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</si>
  <si>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</si>
  <si>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</si>
  <si>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</si>
  <si>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</si>
  <si>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</si>
  <si>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</si>
  <si>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</si>
  <si>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</si>
  <si>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</si>
  <si>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</si>
  <si>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</si>
  <si>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</si>
  <si>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</si>
  <si>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</si>
  <si>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</si>
  <si>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</si>
  <si>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</si>
  <si>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</si>
  <si>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</si>
  <si>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</si>
  <si>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</si>
  <si>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</si>
  <si>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</si>
  <si>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</si>
  <si>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</si>
  <si>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</si>
  <si>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</si>
  <si>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</si>
  <si>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</si>
  <si>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</si>
  <si>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</si>
  <si>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</si>
  <si>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</si>
  <si>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</si>
  <si>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</si>
  <si>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</si>
  <si>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</si>
  <si>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</si>
  <si>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</si>
  <si>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</si>
  <si>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</si>
  <si>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</si>
  <si>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</si>
  <si>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</si>
  <si>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</si>
  <si>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</si>
  <si>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</si>
  <si>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</si>
  <si>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</si>
  <si>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</si>
  <si>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</si>
  <si>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</si>
  <si>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</si>
  <si>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</si>
  <si>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</si>
  <si>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</si>
  <si>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</si>
  <si>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</si>
  <si>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</si>
  <si>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</si>
  <si>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</si>
  <si>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</si>
  <si>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</si>
  <si>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</si>
  <si>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</si>
  <si>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</si>
  <si>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</si>
  <si>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</si>
  <si>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</si>
  <si>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</si>
  <si>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</si>
  <si>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</si>
  <si>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</si>
  <si>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</si>
  <si>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</si>
  <si>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</si>
  <si>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</si>
  <si>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</si>
  <si>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</si>
  <si>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</si>
  <si>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</si>
  <si>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</si>
  <si>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</si>
  <si>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</si>
  <si>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</si>
  <si>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</si>
  <si>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</si>
  <si>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</si>
  <si>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</si>
  <si>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</si>
  <si>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</si>
  <si>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</si>
  <si>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</si>
  <si>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</si>
  <si>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</si>
  <si>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</si>
  <si>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</si>
  <si>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</si>
  <si>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</si>
  <si>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</si>
  <si>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</si>
  <si>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</si>
  <si>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</si>
  <si>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</si>
  <si>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</si>
  <si>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</si>
  <si>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</si>
  <si>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</si>
  <si>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</si>
  <si>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</si>
  <si>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</si>
  <si>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</si>
  <si>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</si>
  <si>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</si>
  <si>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</si>
  <si>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</si>
  <si>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</si>
  <si>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</si>
  <si>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</si>
  <si>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</si>
  <si>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</si>
  <si>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</si>
  <si>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</si>
  <si>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</si>
  <si>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</si>
  <si>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</si>
  <si>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</si>
  <si>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</si>
  <si>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</si>
  <si>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</si>
  <si>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</si>
  <si>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</si>
  <si>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</si>
  <si>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</si>
  <si>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</si>
  <si>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</si>
  <si>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</si>
  <si>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</si>
  <si>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</si>
  <si>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</si>
  <si>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</si>
  <si>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</si>
  <si>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</si>
  <si>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</si>
  <si>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</si>
  <si>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</si>
  <si>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</si>
  <si>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</si>
  <si>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</si>
  <si>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</si>
  <si>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</si>
  <si>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</si>
  <si>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</si>
  <si>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</si>
  <si>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</si>
  <si>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</si>
  <si>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</si>
  <si>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</si>
  <si>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</si>
  <si>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</si>
  <si>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</si>
  <si>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</si>
  <si>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</si>
  <si>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</si>
  <si>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</si>
  <si>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</si>
  <si>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</si>
  <si>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</si>
  <si>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</si>
  <si>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</si>
  <si>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</si>
  <si>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</si>
  <si>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</si>
  <si>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</si>
  <si>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</si>
  <si>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</si>
  <si>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</si>
  <si>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</si>
  <si>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</si>
  <si>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</si>
  <si>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</si>
  <si>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</si>
  <si>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</si>
  <si>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</si>
  <si>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</si>
  <si>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</si>
  <si>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</si>
  <si>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</si>
  <si>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</si>
  <si>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</si>
  <si>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</si>
  <si>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</si>
  <si>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</si>
  <si>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</si>
  <si>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</si>
  <si>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</si>
  <si>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</si>
  <si>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</si>
  <si>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</si>
  <si>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</si>
  <si>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</si>
  <si>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</si>
  <si>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</si>
  <si>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</si>
  <si>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</si>
  <si>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</si>
  <si>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</si>
  <si>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</si>
  <si>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</si>
  <si>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</si>
  <si>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</si>
  <si>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</si>
  <si>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</si>
  <si>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</si>
  <si>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</si>
  <si>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</si>
  <si>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</si>
  <si>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</si>
  <si>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</si>
  <si>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</si>
  <si>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</si>
  <si>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</si>
  <si>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</si>
  <si>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</si>
  <si>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</si>
  <si>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</si>
  <si>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</si>
  <si>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</si>
  <si>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</si>
  <si>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</si>
  <si>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</si>
  <si>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</si>
  <si>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</si>
  <si>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</si>
  <si>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</si>
  <si>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</si>
  <si>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</si>
  <si>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</si>
  <si>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</si>
  <si>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</si>
  <si>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</si>
  <si>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</si>
  <si>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</si>
  <si>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</si>
  <si>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</si>
  <si>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</si>
  <si>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</si>
  <si>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</si>
  <si>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</si>
  <si>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</si>
  <si>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</si>
  <si>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</si>
  <si>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</si>
  <si>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</si>
  <si>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</si>
  <si>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</si>
  <si>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</si>
  <si>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</si>
  <si>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</si>
  <si>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</si>
  <si>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</si>
  <si>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</si>
  <si>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</si>
  <si>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</si>
  <si>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</si>
  <si>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</si>
  <si>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</si>
  <si>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</si>
  <si>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</si>
  <si>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</si>
  <si>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</si>
  <si>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</si>
  <si>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</si>
  <si>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</si>
  <si>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</si>
  <si>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</si>
  <si>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</si>
  <si>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</si>
  <si>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</si>
  <si>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</si>
  <si>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</si>
  <si>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</si>
  <si>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</si>
  <si>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</si>
  <si>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</si>
  <si>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</si>
  <si>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</si>
  <si>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</si>
  <si>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</si>
  <si>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</si>
  <si>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</si>
  <si>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</si>
  <si>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</si>
  <si>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</si>
  <si>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</si>
  <si>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</si>
  <si>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</si>
  <si>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</si>
  <si>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</si>
  <si>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</si>
  <si>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</si>
  <si>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</si>
  <si>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</si>
  <si>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</si>
  <si>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</si>
  <si>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</si>
  <si>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</si>
  <si>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</si>
  <si>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</si>
  <si>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</si>
  <si>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</si>
  <si>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</si>
  <si>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</si>
  <si>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</si>
  <si>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</si>
  <si>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</si>
  <si>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</si>
  <si>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</si>
  <si>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</si>
  <si>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</si>
  <si>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</si>
  <si>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</si>
  <si>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</si>
  <si>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</si>
  <si>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</si>
  <si>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</si>
  <si>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</si>
  <si>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</si>
  <si>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</si>
  <si>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</si>
  <si>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</si>
  <si>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</si>
  <si>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</si>
  <si>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</si>
  <si>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</si>
  <si>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</si>
  <si>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</si>
  <si>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</si>
  <si>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</si>
  <si>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</si>
  <si>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</si>
  <si>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</si>
  <si>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</si>
  <si>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</si>
  <si>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</si>
  <si>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</si>
  <si>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</si>
  <si>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</si>
  <si>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</si>
  <si>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</si>
  <si>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</si>
  <si>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</si>
  <si>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</si>
  <si>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</si>
  <si>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</si>
  <si>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</si>
  <si>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</si>
  <si>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</si>
  <si>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</si>
  <si>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</si>
  <si>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</si>
  <si>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</si>
  <si>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</si>
  <si>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</si>
  <si>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</si>
  <si>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</si>
  <si>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</si>
  <si>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</si>
  <si>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</si>
  <si>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</si>
  <si>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</si>
  <si>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</si>
  <si>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</si>
  <si>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</si>
  <si>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</si>
  <si>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</si>
  <si>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</si>
  <si>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</si>
  <si>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</si>
  <si>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</si>
  <si>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</si>
  <si>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</si>
  <si>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</si>
  <si>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</si>
  <si>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</si>
  <si>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</si>
  <si>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</si>
  <si>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</si>
  <si>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</si>
  <si>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</si>
  <si>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</si>
  <si>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</si>
  <si>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</si>
  <si>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</si>
  <si>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</si>
  <si>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</si>
  <si>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</si>
  <si>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</si>
  <si>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</si>
  <si>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</si>
  <si>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</si>
  <si>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</si>
  <si>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</si>
  <si>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</si>
  <si>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</si>
  <si>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</si>
  <si>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</si>
  <si>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</si>
  <si>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</si>
  <si>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</si>
  <si>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</si>
  <si>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</si>
  <si>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</si>
  <si>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</si>
  <si>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</si>
  <si>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</si>
  <si>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</si>
  <si>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</si>
  <si>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</si>
  <si>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</si>
  <si>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</si>
  <si>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</si>
  <si>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</si>
  <si>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</si>
  <si>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</si>
  <si>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</si>
  <si>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</si>
  <si>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</si>
  <si>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</si>
  <si>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</si>
  <si>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</si>
  <si>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</si>
  <si>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</si>
  <si>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</si>
  <si>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</si>
  <si>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</si>
  <si>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</si>
  <si>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</si>
  <si>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</si>
  <si>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</si>
  <si>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</si>
  <si>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</si>
  <si>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</si>
  <si>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</si>
  <si>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</si>
  <si>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</si>
  <si>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</si>
  <si>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</si>
  <si>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</si>
  <si>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</si>
  <si>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</si>
  <si>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</si>
  <si>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</si>
  <si>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</si>
  <si>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</si>
  <si>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</si>
  <si>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</si>
  <si>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</si>
  <si>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</si>
  <si>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</si>
  <si>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</si>
  <si>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</si>
  <si>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</si>
  <si>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</si>
  <si>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</si>
  <si>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</si>
  <si>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</si>
  <si>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</si>
  <si>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</si>
  <si>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</si>
  <si>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</si>
  <si>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</si>
  <si>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</si>
  <si>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</si>
  <si>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</si>
  <si>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</si>
  <si>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</si>
  <si>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</si>
  <si>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</si>
  <si>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</si>
  <si>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</si>
  <si>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</si>
  <si>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</si>
  <si>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</si>
  <si>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</si>
  <si>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</si>
  <si>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</si>
  <si>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</si>
  <si>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</si>
  <si>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</si>
  <si>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</si>
  <si>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</si>
  <si>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</si>
  <si>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</si>
  <si>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</si>
  <si>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</si>
  <si>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</si>
  <si>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</si>
  <si>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</si>
  <si>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</si>
  <si>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</si>
  <si>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</si>
  <si>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</si>
  <si>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</si>
  <si>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</si>
  <si>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</si>
  <si>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</si>
  <si>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</si>
  <si>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</si>
  <si>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</si>
  <si>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</si>
  <si>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</si>
  <si>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</si>
  <si>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</si>
  <si>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</si>
  <si>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</si>
  <si>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</si>
  <si>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</si>
  <si>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</si>
  <si>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</si>
  <si>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</si>
  <si>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</si>
  <si>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</si>
  <si>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</si>
  <si>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</si>
  <si>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</si>
  <si>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</si>
  <si>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</si>
  <si>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</si>
  <si>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</si>
  <si>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</si>
  <si>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</si>
  <si>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</si>
  <si>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</si>
  <si>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</si>
  <si>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</si>
  <si>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</si>
  <si>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</si>
  <si>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</si>
  <si>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</si>
  <si>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</si>
  <si>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</si>
  <si>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</si>
  <si>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</si>
  <si>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</si>
  <si>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</si>
  <si>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</si>
  <si>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</si>
  <si>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</si>
  <si>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</si>
  <si>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</si>
  <si>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</si>
  <si>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</si>
  <si>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</si>
  <si>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</si>
  <si>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</si>
  <si>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</si>
  <si>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</si>
  <si>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</si>
  <si>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</si>
  <si>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</si>
  <si>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</si>
  <si>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</si>
  <si>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</si>
  <si>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</si>
  <si>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</si>
  <si>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</si>
  <si>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</si>
  <si>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</si>
  <si>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</si>
  <si>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</si>
  <si>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</si>
  <si>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</si>
  <si>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</si>
  <si>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</si>
  <si>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</si>
  <si>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</si>
  <si>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</si>
  <si>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</si>
  <si>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</si>
  <si>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</si>
  <si>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</si>
  <si>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</si>
  <si>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</si>
  <si>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</si>
  <si>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</si>
  <si>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</si>
  <si>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</si>
  <si>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</si>
  <si>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</si>
  <si>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</si>
  <si>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</si>
  <si>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</si>
  <si>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</si>
  <si>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</si>
  <si>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</si>
  <si>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</si>
  <si>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</si>
  <si>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</si>
  <si>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</si>
  <si>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</si>
  <si>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</si>
  <si>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</si>
  <si>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</si>
  <si>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</si>
  <si>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</si>
  <si>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</si>
  <si>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</si>
  <si>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</si>
  <si>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</si>
  <si>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</si>
  <si>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</si>
  <si>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</si>
  <si>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</si>
  <si>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</si>
  <si>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</si>
  <si>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</si>
  <si>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</si>
  <si>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</si>
  <si>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</si>
  <si>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</si>
  <si>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</si>
  <si>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</si>
  <si>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</si>
  <si>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</si>
  <si>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</si>
  <si>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</si>
  <si>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</si>
  <si>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</si>
  <si>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</si>
  <si>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</si>
  <si>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</si>
  <si>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</si>
  <si>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</si>
  <si>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</si>
  <si>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</si>
  <si>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</si>
  <si>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</si>
  <si>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</si>
  <si>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</si>
  <si>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</si>
  <si>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</si>
  <si>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</si>
  <si>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</si>
  <si>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</si>
  <si>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</si>
  <si>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</si>
  <si>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</si>
  <si>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</si>
  <si>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</si>
  <si>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</si>
  <si>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</si>
  <si>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</si>
  <si>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</si>
  <si>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</si>
  <si>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</si>
  <si>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</si>
  <si>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</si>
  <si>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</si>
  <si>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</si>
  <si>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</si>
  <si>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</si>
  <si>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</si>
  <si>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</si>
  <si>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</si>
  <si>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</si>
  <si>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</si>
  <si>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</si>
  <si>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</si>
  <si>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</si>
  <si>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</si>
  <si>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</si>
  <si>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</si>
  <si>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</si>
  <si>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</si>
  <si>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</si>
  <si>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</si>
  <si>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</si>
  <si>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</si>
  <si>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</si>
  <si>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</si>
  <si>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</si>
  <si>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</si>
  <si>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</si>
  <si>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</si>
  <si>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</si>
  <si>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</si>
  <si>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</si>
  <si>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</si>
  <si>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</si>
  <si>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</si>
  <si>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</si>
  <si>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</si>
  <si>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</si>
  <si>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</si>
  <si>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</si>
  <si>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</si>
  <si>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</si>
  <si>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</si>
  <si>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</si>
  <si>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</si>
  <si>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</si>
  <si>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</si>
  <si>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</si>
  <si>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</si>
  <si>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</si>
  <si>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</si>
  <si>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</si>
  <si>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</si>
  <si>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</si>
  <si>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</si>
  <si>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</si>
  <si>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</si>
  <si>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</si>
  <si>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</si>
  <si>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</si>
  <si>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</si>
  <si>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</si>
  <si>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</si>
  <si>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</si>
  <si>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</si>
  <si>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</si>
  <si>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</si>
  <si>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</si>
  <si>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</si>
  <si>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</si>
  <si>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</si>
  <si>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</si>
  <si>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</si>
  <si>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</si>
  <si>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</si>
  <si>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</si>
  <si>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</si>
  <si>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</si>
  <si>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</si>
  <si>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</si>
  <si>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</si>
  <si>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</si>
  <si>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</si>
  <si>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</si>
  <si>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</si>
  <si>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</si>
  <si>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</si>
  <si>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</si>
  <si>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</si>
  <si>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</si>
  <si>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</si>
  <si>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</si>
  <si>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</si>
  <si>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</si>
  <si>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</si>
  <si>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</si>
  <si>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</si>
  <si>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</si>
  <si>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</si>
  <si>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</si>
  <si>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</si>
  <si>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</si>
  <si>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</si>
  <si>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</si>
  <si>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</si>
  <si>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</si>
  <si>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</si>
  <si>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</si>
  <si>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</si>
  <si>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</si>
  <si>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</si>
  <si>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</si>
  <si>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</si>
  <si>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</si>
  <si>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</si>
  <si>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</si>
  <si>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</si>
  <si>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</si>
  <si>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</si>
  <si>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</si>
  <si>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</si>
  <si>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</si>
  <si>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</si>
  <si>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</si>
  <si>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</si>
  <si>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</si>
  <si>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</si>
  <si>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</si>
  <si>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</si>
  <si>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</si>
  <si>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</si>
  <si>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</si>
  <si>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</si>
  <si>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</si>
  <si>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</si>
  <si>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</si>
  <si>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</si>
  <si>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</si>
  <si>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</si>
  <si>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</si>
  <si>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</si>
  <si>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</si>
  <si>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</si>
  <si>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</si>
  <si>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</si>
  <si>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</si>
  <si>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</si>
  <si>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</si>
  <si>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</si>
  <si>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</si>
  <si>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</si>
  <si>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</si>
  <si>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</si>
  <si>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</si>
  <si>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</si>
  <si>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</si>
  <si>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</si>
  <si>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</si>
  <si>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</si>
  <si>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</si>
  <si>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</si>
  <si>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</si>
  <si>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</si>
  <si>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</si>
  <si>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</si>
  <si>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</si>
  <si>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</si>
  <si>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</si>
  <si>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</si>
  <si>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</si>
  <si>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</si>
  <si>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</si>
  <si>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</si>
  <si>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</si>
  <si>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</si>
  <si>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</si>
  <si>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</si>
  <si>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</si>
  <si>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</si>
  <si>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</si>
  <si>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</si>
  <si>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</si>
  <si>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</si>
  <si>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</si>
  <si>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</si>
  <si>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</si>
  <si>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</si>
  <si>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</si>
  <si>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</si>
  <si>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</si>
  <si>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</si>
  <si>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</si>
  <si>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</si>
  <si>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</si>
  <si>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</si>
  <si>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</si>
  <si>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</si>
  <si>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</si>
  <si>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</si>
  <si>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</si>
  <si>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</si>
  <si>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</si>
  <si>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</si>
  <si>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</si>
  <si>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</si>
  <si>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</si>
  <si>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</si>
  <si>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</si>
  <si>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</si>
  <si>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</si>
  <si>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</si>
  <si>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</si>
  <si>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</si>
  <si>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</si>
  <si>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</si>
  <si>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</si>
  <si>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</si>
  <si>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</si>
  <si>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</si>
  <si>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</si>
  <si>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</si>
  <si>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</si>
  <si>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</si>
  <si>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</si>
  <si>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</si>
  <si>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</si>
  <si>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</si>
  <si>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</si>
  <si>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</si>
  <si>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</si>
  <si>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</si>
  <si>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</si>
  <si>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</si>
  <si>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</si>
  <si>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</si>
  <si>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</si>
  <si>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</si>
  <si>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</si>
  <si>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</si>
  <si>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</si>
  <si>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</si>
  <si>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</si>
  <si>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</si>
  <si>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</si>
  <si>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</si>
  <si>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</si>
  <si>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</si>
  <si>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</si>
  <si>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</si>
  <si>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</si>
  <si>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</si>
  <si>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</si>
  <si>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</si>
  <si>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</si>
  <si>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</si>
  <si>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</si>
  <si>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</si>
  <si>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</si>
  <si>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</si>
  <si>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</si>
  <si>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</si>
  <si>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</si>
  <si>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</si>
  <si>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</si>
  <si>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</si>
  <si>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</si>
  <si>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</si>
  <si>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</si>
  <si>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</si>
  <si>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</si>
  <si>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</si>
  <si>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</si>
  <si>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</si>
  <si>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</si>
  <si>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</si>
  <si>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</si>
  <si>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</si>
  <si>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</si>
  <si>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</si>
  <si>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</si>
  <si>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</si>
  <si>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</si>
  <si>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</si>
  <si>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</si>
  <si>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</si>
  <si>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</si>
  <si>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</si>
  <si>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</si>
  <si>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</si>
  <si>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</si>
  <si>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</si>
  <si>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</si>
  <si>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</si>
  <si>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</si>
  <si>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</si>
  <si>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</si>
  <si>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</si>
  <si>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</si>
  <si>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</si>
  <si>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</si>
  <si>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</si>
  <si>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</si>
  <si>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</si>
  <si>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</si>
  <si>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</si>
  <si>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</si>
  <si>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</si>
  <si>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</si>
  <si>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</si>
  <si>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</si>
  <si>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</si>
  <si>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</si>
  <si>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</si>
  <si>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</si>
  <si>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</si>
  <si>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</si>
  <si>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</si>
  <si>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</si>
  <si>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</si>
  <si>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</si>
  <si>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</si>
  <si>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</si>
  <si>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</si>
  <si>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</si>
  <si>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</si>
  <si>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</si>
  <si>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</si>
  <si>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</si>
  <si>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</si>
  <si>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</si>
  <si>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</si>
  <si>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</si>
  <si>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</si>
  <si>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</si>
  <si>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</si>
  <si>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</si>
  <si>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</si>
  <si>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</si>
  <si>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</si>
  <si>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</si>
  <si>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</si>
  <si>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</si>
  <si>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</si>
  <si>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</si>
  <si>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</si>
  <si>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</si>
  <si>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</si>
  <si>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</si>
  <si>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</si>
  <si>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</si>
  <si>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</si>
  <si>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</si>
  <si>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</si>
  <si>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</si>
  <si>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</si>
  <si>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</si>
  <si>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</si>
  <si>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</si>
  <si>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</si>
  <si>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</si>
  <si>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</si>
  <si>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</si>
  <si>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</si>
  <si>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</si>
  <si>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</si>
  <si>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</si>
  <si>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</si>
  <si>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</si>
  <si>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</si>
  <si>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</si>
  <si>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</si>
  <si>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</si>
  <si>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</si>
  <si>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</si>
  <si>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</si>
  <si>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</si>
  <si>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</si>
  <si>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</si>
  <si>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</si>
  <si>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</si>
  <si>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</si>
  <si>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</si>
  <si>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</si>
  <si>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</si>
  <si>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</si>
  <si>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</si>
  <si>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</si>
  <si>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</si>
  <si>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</si>
  <si>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</si>
  <si>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</si>
  <si>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</si>
  <si>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</si>
  <si>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</si>
  <si>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</si>
  <si>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</si>
  <si>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</si>
  <si>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</si>
  <si>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</si>
  <si>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</si>
  <si>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</si>
  <si>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</si>
  <si>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</si>
  <si>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</si>
  <si>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</si>
  <si>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</si>
  <si>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</si>
  <si>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</si>
  <si>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</si>
  <si>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</si>
  <si>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</si>
  <si>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</si>
  <si>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</si>
  <si>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</si>
  <si>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</si>
  <si>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</si>
  <si>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</si>
  <si>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</si>
  <si>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</si>
  <si>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</si>
  <si>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</si>
  <si>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</si>
  <si>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</si>
  <si>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</si>
  <si>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</si>
  <si>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</si>
  <si>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</si>
  <si>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</si>
  <si>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</si>
  <si>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</si>
  <si>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</si>
  <si>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</si>
  <si>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</si>
  <si>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</si>
  <si>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</si>
  <si>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</si>
  <si>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</si>
  <si>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</si>
  <si>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</si>
  <si>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</si>
  <si>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</si>
  <si>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</si>
  <si>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</si>
  <si>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</si>
  <si>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</si>
  <si>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</si>
  <si>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</si>
  <si>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</si>
  <si>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</si>
  <si>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</si>
  <si>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</si>
  <si>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</si>
  <si>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</si>
  <si>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</si>
  <si>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</si>
  <si>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</si>
  <si>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</si>
  <si>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</si>
  <si>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</si>
  <si>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</si>
  <si>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</si>
  <si>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</si>
  <si>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</si>
  <si>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</si>
  <si>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</si>
  <si>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</si>
  <si>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</si>
  <si>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</si>
  <si>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</si>
  <si>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</si>
  <si>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</si>
  <si>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</si>
  <si>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</si>
  <si>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</si>
  <si>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</si>
  <si>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</si>
  <si>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</si>
  <si>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</si>
  <si>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</si>
  <si>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</si>
  <si>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</si>
  <si>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</si>
  <si>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</si>
  <si>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</si>
  <si>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</si>
  <si>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</si>
  <si>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</si>
  <si>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</si>
  <si>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</si>
  <si>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</si>
  <si>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</si>
  <si>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</si>
  <si>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</si>
  <si>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</si>
  <si>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</si>
  <si>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</si>
  <si>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</si>
  <si>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</si>
  <si>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</si>
  <si>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</si>
  <si>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</si>
  <si>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</si>
  <si>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</si>
  <si>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</si>
  <si>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</si>
  <si>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</si>
  <si>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</si>
  <si>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</si>
  <si>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</si>
  <si>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</si>
  <si>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</si>
  <si>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</si>
  <si>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</si>
  <si>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</si>
  <si>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</si>
  <si>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</si>
  <si>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</si>
  <si>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</si>
  <si>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</si>
  <si>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</si>
  <si>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</si>
  <si>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</si>
  <si>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</si>
  <si>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</si>
  <si>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</si>
  <si>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</si>
  <si>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</si>
  <si>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</si>
  <si>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</si>
  <si>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</si>
  <si>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</si>
  <si>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</si>
  <si>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</si>
  <si>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</si>
  <si>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</si>
  <si>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</si>
  <si>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</si>
  <si>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</si>
  <si>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</si>
  <si>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</si>
  <si>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</si>
  <si>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</si>
  <si>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</si>
  <si>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</si>
  <si>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</si>
  <si>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</si>
  <si>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</si>
  <si>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</si>
  <si>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</si>
  <si>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</si>
  <si>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</si>
  <si>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</si>
  <si>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</si>
  <si>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</si>
  <si>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</si>
  <si>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</si>
  <si>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</si>
  <si>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</si>
  <si>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</si>
  <si>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</si>
  <si>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</si>
  <si>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</si>
  <si>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</si>
  <si>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</si>
  <si>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</si>
  <si>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</si>
  <si>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</si>
  <si>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</si>
  <si>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</si>
  <si>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</si>
  <si>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</si>
  <si>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</si>
  <si>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</si>
  <si>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</si>
  <si>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</si>
  <si>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</si>
  <si>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</si>
  <si>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</si>
  <si>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</si>
  <si>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</si>
  <si>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</si>
  <si>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</si>
  <si>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</si>
  <si>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</si>
  <si>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</si>
  <si>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</si>
  <si>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</si>
  <si>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</si>
  <si>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</si>
  <si>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</si>
  <si>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</si>
  <si>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</si>
  <si>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</si>
  <si>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</si>
  <si>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</si>
  <si>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</si>
  <si>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</si>
  <si>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</si>
  <si>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</si>
  <si>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</si>
  <si>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</si>
  <si>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</si>
  <si>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</si>
  <si>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</si>
  <si>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</si>
  <si>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</si>
  <si>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</si>
  <si>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</si>
  <si>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</si>
  <si>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</si>
  <si>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</si>
  <si>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</si>
  <si>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</si>
  <si>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</si>
  <si>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</si>
  <si>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</si>
  <si>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</si>
  <si>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</si>
  <si>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</si>
  <si>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</si>
  <si>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</si>
  <si>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</si>
  <si>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</si>
  <si>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</si>
  <si>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</si>
  <si>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</si>
  <si>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</si>
  <si>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</si>
  <si>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</si>
  <si>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</si>
  <si>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</si>
  <si>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</si>
  <si>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</si>
  <si>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</si>
  <si>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</si>
  <si>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</si>
  <si>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</si>
  <si>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</si>
  <si>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</si>
  <si>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</si>
  <si>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</si>
  <si>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</si>
  <si>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</si>
  <si>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</si>
  <si>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</si>
  <si>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</si>
  <si>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</si>
  <si>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</si>
  <si>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</si>
  <si>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</si>
  <si>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</si>
  <si>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</si>
  <si>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</si>
  <si>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</si>
  <si>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</si>
  <si>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</si>
  <si>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</si>
  <si>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</si>
  <si>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</si>
  <si>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</si>
  <si>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</si>
  <si>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</si>
  <si>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</si>
  <si>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</si>
  <si>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</si>
  <si>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</si>
  <si>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</si>
  <si>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</si>
  <si>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</si>
  <si>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</si>
  <si>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</si>
  <si>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</si>
  <si>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</si>
  <si>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</si>
  <si>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</si>
  <si>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</si>
  <si>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</si>
  <si>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</si>
  <si>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</si>
  <si>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</si>
  <si>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</si>
  <si>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</si>
  <si>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</si>
  <si>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</si>
  <si>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</si>
  <si>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</si>
  <si>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</si>
  <si>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</si>
  <si>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</si>
  <si>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</si>
  <si>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</si>
  <si>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</si>
  <si>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</si>
  <si>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</si>
  <si>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</si>
  <si>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</si>
  <si>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</si>
  <si>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</si>
  <si>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</si>
  <si>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</si>
  <si>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</si>
  <si>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</si>
  <si>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</si>
  <si>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</si>
  <si>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</si>
  <si>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</si>
  <si>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</si>
  <si>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</si>
  <si>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</si>
  <si>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</si>
  <si>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</si>
  <si>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</si>
  <si>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</si>
  <si>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</si>
  <si>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</si>
  <si>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</si>
  <si>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</si>
  <si>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</si>
  <si>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</si>
  <si>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</si>
  <si>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</si>
  <si>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</si>
  <si>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</si>
  <si>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</si>
  <si>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</si>
  <si>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</si>
  <si>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</si>
  <si>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</si>
  <si>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</si>
  <si>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</si>
  <si>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</si>
  <si>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</si>
  <si>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</si>
  <si>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</si>
  <si>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</si>
  <si>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</si>
  <si>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</si>
  <si>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</si>
  <si>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</si>
  <si>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</si>
  <si>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</si>
  <si>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</si>
  <si>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</si>
  <si>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</si>
  <si>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</si>
  <si>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</si>
  <si>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</si>
  <si>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</si>
  <si>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</si>
  <si>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</si>
  <si>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</si>
  <si>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</si>
  <si>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</si>
  <si>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</si>
  <si>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</si>
  <si>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</si>
  <si>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</si>
  <si>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</si>
  <si>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</si>
  <si>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</si>
  <si>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</si>
  <si>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</si>
  <si>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</si>
  <si>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</si>
  <si>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</si>
  <si>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</si>
  <si>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</si>
  <si>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</si>
  <si>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</si>
  <si>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</si>
  <si>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</si>
  <si>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</si>
  <si>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</si>
  <si>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</si>
  <si>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</si>
  <si>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</si>
  <si>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</si>
  <si>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</si>
  <si>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</si>
  <si>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</si>
  <si>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</si>
  <si>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</si>
  <si>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</si>
  <si>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</si>
  <si>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</si>
  <si>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</si>
  <si>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</si>
  <si>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</si>
  <si>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</si>
  <si>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</si>
  <si>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</si>
  <si>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</si>
  <si>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</si>
  <si>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</si>
  <si>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</si>
  <si>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</si>
  <si>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</si>
  <si>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</si>
  <si>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</si>
  <si>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</si>
  <si>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</si>
  <si>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</si>
  <si>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</si>
  <si>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</si>
  <si>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</si>
  <si>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</si>
  <si>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</si>
  <si>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</si>
  <si>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</si>
  <si>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</si>
  <si>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</si>
  <si>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</si>
  <si>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</si>
  <si>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</si>
  <si>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</si>
  <si>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</si>
  <si>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</si>
  <si>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</si>
  <si>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</si>
  <si>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</si>
  <si>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</si>
  <si>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</si>
  <si>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</si>
  <si>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</si>
  <si>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</si>
  <si>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</si>
  <si>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</si>
  <si>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</si>
  <si>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</si>
  <si>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</si>
  <si>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</si>
  <si>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</si>
  <si>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</si>
  <si>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</si>
  <si>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</si>
  <si>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</si>
  <si>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</si>
  <si>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</si>
  <si>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</si>
  <si>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</si>
  <si>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</si>
  <si>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</si>
  <si>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</si>
  <si>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</si>
  <si>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</si>
  <si>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</si>
  <si>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</si>
  <si>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</si>
  <si>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</si>
  <si>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</si>
  <si>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</si>
  <si>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</si>
  <si>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</si>
  <si>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</si>
  <si>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</si>
  <si>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</si>
  <si>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</si>
  <si>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</si>
  <si>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</si>
  <si>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</si>
  <si>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</si>
  <si>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</si>
  <si>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</si>
  <si>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</si>
  <si>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</si>
  <si>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</si>
  <si>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</si>
  <si>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</si>
  <si>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</si>
  <si>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</si>
  <si>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</si>
  <si>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</si>
  <si>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</si>
  <si>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</si>
  <si>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</si>
  <si>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</si>
  <si>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</si>
  <si>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</si>
  <si>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</si>
  <si>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</si>
  <si>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</si>
  <si>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</si>
  <si>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</si>
  <si>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</si>
  <si>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</si>
  <si>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</si>
  <si>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</si>
  <si>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</si>
  <si>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</si>
  <si>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</si>
  <si>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</si>
  <si>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</si>
  <si>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</si>
  <si>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</si>
  <si>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</si>
  <si>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</si>
  <si>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</si>
  <si>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</si>
  <si>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</si>
  <si>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</si>
  <si>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</si>
  <si>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</si>
  <si>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</si>
  <si>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</si>
  <si>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</si>
  <si>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</si>
  <si>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</si>
  <si>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</si>
  <si>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</si>
  <si>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</si>
  <si>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</si>
  <si>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</si>
  <si>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</si>
  <si>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</si>
  <si>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</si>
  <si>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</si>
  <si>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</si>
  <si>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</si>
  <si>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</si>
  <si>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</si>
  <si>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</si>
  <si>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</si>
  <si>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</si>
  <si>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</si>
  <si>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</si>
  <si>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</si>
  <si>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</si>
  <si>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</si>
  <si>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</si>
  <si>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</si>
  <si>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</si>
  <si>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</si>
  <si>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</si>
  <si>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</si>
  <si>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</si>
  <si>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</si>
  <si>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</si>
  <si>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</si>
  <si>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</si>
  <si>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</si>
  <si>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</si>
  <si>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</si>
  <si>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</si>
  <si>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</si>
  <si>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</si>
  <si>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</si>
  <si>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</si>
  <si>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</si>
  <si>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</si>
  <si>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</si>
  <si>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</si>
  <si>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</si>
  <si>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</si>
  <si>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</si>
  <si>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</si>
  <si>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</si>
  <si>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</si>
  <si>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</si>
  <si>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</si>
  <si>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</si>
  <si>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</si>
  <si>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</si>
  <si>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</si>
  <si>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</si>
  <si>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</si>
  <si>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</si>
  <si>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</si>
  <si>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</si>
  <si>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</si>
  <si>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</si>
  <si>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</si>
  <si>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</si>
  <si>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</si>
  <si>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</si>
  <si>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</si>
  <si>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</si>
  <si>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</si>
  <si>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</si>
  <si>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</si>
  <si>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</si>
  <si>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</si>
  <si>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</si>
  <si>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</si>
  <si>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</si>
  <si>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</si>
  <si>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</si>
  <si>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</si>
  <si>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</si>
  <si>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</si>
  <si>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</si>
  <si>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</si>
  <si>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</si>
  <si>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</si>
  <si>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</si>
  <si>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</si>
  <si>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</si>
  <si>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</si>
  <si>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</si>
  <si>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</si>
  <si>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</si>
  <si>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</si>
  <si>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</si>
  <si>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</si>
  <si>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</si>
  <si>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</si>
  <si>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</si>
  <si>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</si>
  <si>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</si>
  <si>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</si>
  <si>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</si>
  <si>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</si>
  <si>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</si>
  <si>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</si>
  <si>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</si>
  <si>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</si>
  <si>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</si>
  <si>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</si>
  <si>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</si>
  <si>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</si>
  <si>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</si>
  <si>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</si>
  <si>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</si>
  <si>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</si>
  <si>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</si>
  <si>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</si>
  <si>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</si>
  <si>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</si>
  <si>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</si>
  <si>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</si>
  <si>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</si>
  <si>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</si>
  <si>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</si>
  <si>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</si>
  <si>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</si>
  <si>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</si>
  <si>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</si>
  <si>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</si>
  <si>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</si>
  <si>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</si>
  <si>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</si>
  <si>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</si>
  <si>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</si>
  <si>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</si>
  <si>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</si>
  <si>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</si>
  <si>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</si>
  <si>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</si>
  <si>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</si>
  <si>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</si>
  <si>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</si>
  <si>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</si>
  <si>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</si>
  <si>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</si>
  <si>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</si>
  <si>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</si>
  <si>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</si>
  <si>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</si>
  <si>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</si>
  <si>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</si>
  <si>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</si>
  <si>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</si>
  <si>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</si>
  <si>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</si>
  <si>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</si>
  <si>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</si>
  <si>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</si>
  <si>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</si>
  <si>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</si>
  <si>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</si>
  <si>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</si>
  <si>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</si>
  <si>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</si>
  <si>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</si>
  <si>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</si>
  <si>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</si>
  <si>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</si>
  <si>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</si>
  <si>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</si>
  <si>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</si>
  <si>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</si>
  <si>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</si>
  <si>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</si>
  <si>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</si>
  <si>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</si>
  <si>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</si>
  <si>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</si>
  <si>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</si>
  <si>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</si>
  <si>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</si>
  <si>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</si>
  <si>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</si>
  <si>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</si>
  <si>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</si>
  <si>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</si>
  <si>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</si>
  <si>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</si>
  <si>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</si>
  <si>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</si>
  <si>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</si>
  <si>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</si>
  <si>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</si>
  <si>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</si>
  <si>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</si>
  <si>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</si>
  <si>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</si>
  <si>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</si>
  <si>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</si>
  <si>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</si>
  <si>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</si>
  <si>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</si>
  <si>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</si>
  <si>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</si>
  <si>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</si>
  <si>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</si>
  <si>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</si>
  <si>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</si>
  <si>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</si>
  <si>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</si>
  <si>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</si>
  <si>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</si>
  <si>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</si>
  <si>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</si>
  <si>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</si>
  <si>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</si>
  <si>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</si>
  <si>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</si>
  <si>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</si>
  <si>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</si>
  <si>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</si>
  <si>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</si>
  <si>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</si>
  <si>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</si>
  <si>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</si>
  <si>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</si>
  <si>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</si>
  <si>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</si>
  <si>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</si>
  <si>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</si>
  <si>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</si>
  <si>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</si>
  <si>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</si>
  <si>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</si>
  <si>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</si>
  <si>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</si>
  <si>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</si>
  <si>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</si>
  <si>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</si>
  <si>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</si>
  <si>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</si>
  <si>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</si>
  <si>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</si>
  <si>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</si>
  <si>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</si>
  <si>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</si>
  <si>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</si>
  <si>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</si>
  <si>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</si>
  <si>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</si>
  <si>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</si>
  <si>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</si>
  <si>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</si>
  <si>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</si>
  <si>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</si>
  <si>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</si>
  <si>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</si>
  <si>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</si>
  <si>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</si>
  <si>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</si>
  <si>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</si>
  <si>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</si>
  <si>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</si>
  <si>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</si>
  <si>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</si>
  <si>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</si>
  <si>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</si>
  <si>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</si>
  <si>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</si>
  <si>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</si>
  <si>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</si>
  <si>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</si>
  <si>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</si>
  <si>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</si>
  <si>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</si>
  <si>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</si>
  <si>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</si>
  <si>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</si>
  <si>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</si>
  <si>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</si>
  <si>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</si>
  <si>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</si>
  <si>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</si>
  <si>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</si>
  <si>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</si>
  <si>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</si>
  <si>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</si>
  <si>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</si>
  <si>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</si>
  <si>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</si>
  <si>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</si>
  <si>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</si>
  <si>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</si>
  <si>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</si>
  <si>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</si>
  <si>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</si>
  <si>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</si>
  <si>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</si>
  <si>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</si>
  <si>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</si>
  <si>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</si>
  <si>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</si>
  <si>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</si>
  <si>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</si>
  <si>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</si>
  <si>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</si>
  <si>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</si>
  <si>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</si>
  <si>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</si>
  <si>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</si>
  <si>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</si>
  <si>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</si>
  <si>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</si>
  <si>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</si>
  <si>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</si>
  <si>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</si>
  <si>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</si>
  <si>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</si>
  <si>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</si>
  <si>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</si>
  <si>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</si>
  <si>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</si>
  <si>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</si>
  <si>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</si>
  <si>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</si>
  <si>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</si>
  <si>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</si>
  <si>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</si>
  <si>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</si>
  <si>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</si>
  <si>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</si>
  <si>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</si>
  <si>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</si>
  <si>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</si>
  <si>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</si>
  <si>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</si>
  <si>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</si>
  <si>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</si>
  <si>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</si>
  <si>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</si>
  <si>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</si>
  <si>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</si>
  <si>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</si>
  <si>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</si>
  <si>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</si>
  <si>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</si>
  <si>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</si>
  <si>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</si>
  <si>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</si>
  <si>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</si>
  <si>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</si>
  <si>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</si>
  <si>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</si>
  <si>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</si>
  <si>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</si>
  <si>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</si>
  <si>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</si>
  <si>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</si>
  <si>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</si>
  <si>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</si>
  <si>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</si>
  <si>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</si>
  <si>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</si>
  <si>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</si>
  <si>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</si>
  <si>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</si>
  <si>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</si>
  <si>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</si>
  <si>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</si>
  <si>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</si>
  <si>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</si>
  <si>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</si>
  <si>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</si>
  <si>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</si>
  <si>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</si>
  <si>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</si>
  <si>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</si>
  <si>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</si>
  <si>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</si>
  <si>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</si>
  <si>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</si>
  <si>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</si>
  <si>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</si>
  <si>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</si>
  <si>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</si>
  <si>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</si>
  <si>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</si>
  <si>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</si>
  <si>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</si>
  <si>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</si>
  <si>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</si>
  <si>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</si>
  <si>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</si>
  <si>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</si>
  <si>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</si>
  <si>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</si>
  <si>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</si>
  <si>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</si>
  <si>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</si>
  <si>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</si>
  <si>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</si>
  <si>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</si>
  <si>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</si>
  <si>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</si>
  <si>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</si>
  <si>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</si>
  <si>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</si>
  <si>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</si>
  <si>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</si>
  <si>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</si>
  <si>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</si>
  <si>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</si>
  <si>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</si>
  <si>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</si>
  <si>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</si>
  <si>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</si>
  <si>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</si>
  <si>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</si>
  <si>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</si>
  <si>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</si>
  <si>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</si>
  <si>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</si>
  <si>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</si>
  <si>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</si>
  <si>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</si>
  <si>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</si>
  <si>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</si>
  <si>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</si>
  <si>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</si>
  <si>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</si>
  <si>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</si>
  <si>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</si>
  <si>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</si>
  <si>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</si>
  <si>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</si>
  <si>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</si>
  <si>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</si>
  <si>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</si>
  <si>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</si>
  <si>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</si>
  <si>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</si>
  <si>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</si>
  <si>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</si>
  <si>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</si>
  <si>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</si>
  <si>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</si>
  <si>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</si>
  <si>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</si>
  <si>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</si>
  <si>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</si>
  <si>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</si>
  <si>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</si>
  <si>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</si>
  <si>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</si>
  <si>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</si>
  <si>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</si>
  <si>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</si>
  <si>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</si>
  <si>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</si>
  <si>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</si>
  <si>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</si>
  <si>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</si>
  <si>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</si>
  <si>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</si>
  <si>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</si>
  <si>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</si>
  <si>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</si>
  <si>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</si>
  <si>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</si>
  <si>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</si>
  <si>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</si>
  <si>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</si>
  <si>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</si>
  <si>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</si>
  <si>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</si>
  <si>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</si>
  <si>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</si>
  <si>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</si>
  <si>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</si>
  <si>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</si>
  <si>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</si>
  <si>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</si>
  <si>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</si>
  <si>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</si>
  <si>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</si>
  <si>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</si>
  <si>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</si>
  <si>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</si>
  <si>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</si>
  <si>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</si>
  <si>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</si>
  <si>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</si>
  <si>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</si>
  <si>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</si>
  <si>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</si>
  <si>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</si>
  <si>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</si>
  <si>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</si>
  <si>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</si>
  <si>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</si>
  <si>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</si>
  <si>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</si>
  <si>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</si>
  <si>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</si>
  <si>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</si>
  <si>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</si>
  <si>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</si>
  <si>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</si>
  <si>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</si>
  <si>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</si>
  <si>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</si>
  <si>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</si>
  <si>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</si>
  <si>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</si>
  <si>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</si>
  <si>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</si>
  <si>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</si>
  <si>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</si>
  <si>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</si>
  <si>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</si>
  <si>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</si>
  <si>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</si>
  <si>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</si>
  <si>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</si>
  <si>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</si>
  <si>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</si>
  <si>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</si>
  <si>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</si>
  <si>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</si>
  <si>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</si>
  <si>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</si>
  <si>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</si>
  <si>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</si>
  <si>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</si>
  <si>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</si>
  <si>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</si>
  <si>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</si>
  <si>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</si>
  <si>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</si>
  <si>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</si>
  <si>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</si>
  <si>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</si>
  <si>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</si>
  <si>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</si>
  <si>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</si>
  <si>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</si>
  <si>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</si>
  <si>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</si>
  <si>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</si>
  <si>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</si>
  <si>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</si>
  <si>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</si>
  <si>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</si>
  <si>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</si>
  <si>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</si>
  <si>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</si>
  <si>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</si>
  <si>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</si>
  <si>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</si>
  <si>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</si>
  <si>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</si>
  <si>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</si>
  <si>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</si>
  <si>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</si>
  <si>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</si>
  <si>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</si>
  <si>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</si>
  <si>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</si>
  <si>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</si>
  <si>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</si>
  <si>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</si>
  <si>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</si>
  <si>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</si>
  <si>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</si>
  <si>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</si>
  <si>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</si>
  <si>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</si>
  <si>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</si>
  <si>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</si>
  <si>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</si>
  <si>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</si>
  <si>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</si>
  <si>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</si>
  <si>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</si>
  <si>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</si>
  <si>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</si>
  <si>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</si>
  <si>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</si>
  <si>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</si>
  <si>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</si>
  <si>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</si>
  <si>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</si>
  <si>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</si>
  <si>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</si>
  <si>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</si>
  <si>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</si>
  <si>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</si>
  <si>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</si>
  <si>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</si>
  <si>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</si>
  <si>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</si>
  <si>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</si>
  <si>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</si>
  <si>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</si>
  <si>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</si>
  <si>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</si>
  <si>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</si>
  <si>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</si>
  <si>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</si>
  <si>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</si>
  <si>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</si>
  <si>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</si>
  <si>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</si>
  <si>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</si>
  <si>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</si>
  <si>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</si>
  <si>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</si>
  <si>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</si>
  <si>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</si>
  <si>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</si>
  <si>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</si>
  <si>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</si>
  <si>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</si>
  <si>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</si>
  <si>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</si>
  <si>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</si>
  <si>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</si>
  <si>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</si>
  <si>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</si>
  <si>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</si>
  <si>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</si>
  <si>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</si>
  <si>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</si>
  <si>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</si>
  <si>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</si>
  <si>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</si>
  <si>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</si>
  <si>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</si>
  <si>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</si>
  <si>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</si>
  <si>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</si>
  <si>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</si>
  <si>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</si>
  <si>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</si>
  <si>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</si>
  <si>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</si>
  <si>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</si>
  <si>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</si>
  <si>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</si>
  <si>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</si>
  <si>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</si>
  <si>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</si>
  <si>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</si>
  <si>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</si>
  <si>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</si>
  <si>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</si>
  <si>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</si>
  <si>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</si>
  <si>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</si>
  <si>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</si>
  <si>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</si>
  <si>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</si>
  <si>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</si>
  <si>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</si>
  <si>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</si>
  <si>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</si>
  <si>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</si>
  <si>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</si>
  <si>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</si>
  <si>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</si>
  <si>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</si>
  <si>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</si>
  <si>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</si>
  <si>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</si>
  <si>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</si>
  <si>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</si>
  <si>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</si>
  <si>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</si>
  <si>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</si>
  <si>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</si>
  <si>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</si>
  <si>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</si>
  <si>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</si>
  <si>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</si>
  <si>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</si>
  <si>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</si>
  <si>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</si>
  <si>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</si>
  <si>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</si>
  <si>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</si>
  <si>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</si>
  <si>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</si>
  <si>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</si>
  <si>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</si>
  <si>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</si>
  <si>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</si>
  <si>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</si>
  <si>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</si>
  <si>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</si>
  <si>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</si>
  <si>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</si>
  <si>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</si>
  <si>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</si>
  <si>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</si>
  <si>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</si>
  <si>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</si>
  <si>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</si>
  <si>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</si>
  <si>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</si>
  <si>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</si>
  <si>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</si>
  <si>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</si>
  <si>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</si>
  <si>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</si>
  <si>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</si>
  <si>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</si>
  <si>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</si>
  <si>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</si>
  <si>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</si>
  <si>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</si>
  <si>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</si>
  <si>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</si>
  <si>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</si>
  <si>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</si>
  <si>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</si>
  <si>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</si>
  <si>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</si>
  <si>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</si>
  <si>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</si>
  <si>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</si>
  <si>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</si>
  <si>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</si>
  <si>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</si>
  <si>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</si>
  <si>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</si>
  <si>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</si>
  <si>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</si>
  <si>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</si>
  <si>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</si>
  <si>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</si>
  <si>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</si>
  <si>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</si>
  <si>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</si>
  <si>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</si>
  <si>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</si>
  <si>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</si>
  <si>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</si>
  <si>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</si>
  <si>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</si>
  <si>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</si>
  <si>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</si>
  <si>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</si>
  <si>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</si>
  <si>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</si>
  <si>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</si>
  <si>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</si>
  <si>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</si>
  <si>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</si>
  <si>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</si>
  <si>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</si>
  <si>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</si>
  <si>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</si>
  <si>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</si>
  <si>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</si>
  <si>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</si>
  <si>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</si>
  <si>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</si>
  <si>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</si>
  <si>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</si>
  <si>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</si>
  <si>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</si>
  <si>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</si>
  <si>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</si>
  <si>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</si>
  <si>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</si>
  <si>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</si>
  <si>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</si>
  <si>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</si>
  <si>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</si>
  <si>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</si>
  <si>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</si>
  <si>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</si>
  <si>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</si>
  <si>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</si>
  <si>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</si>
  <si>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</si>
  <si>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</si>
  <si>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</si>
  <si>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</si>
  <si>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</si>
  <si>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</si>
  <si>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</si>
  <si>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</si>
  <si>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</si>
  <si>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</si>
  <si>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</si>
  <si>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</si>
  <si>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</si>
  <si>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</si>
  <si>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</si>
  <si>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</si>
  <si>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</si>
  <si>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</si>
  <si>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</si>
  <si>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</si>
  <si>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</si>
  <si>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</si>
  <si>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</si>
  <si>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</si>
  <si>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</si>
  <si>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</si>
  <si>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</si>
  <si>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</si>
  <si>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</si>
  <si>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</si>
  <si>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</si>
  <si>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</si>
  <si>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</si>
  <si>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</si>
  <si>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</si>
  <si>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</si>
  <si>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</si>
  <si>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</si>
  <si>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</si>
  <si>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</si>
  <si>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</si>
  <si>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</si>
  <si>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</si>
  <si>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</si>
  <si>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</si>
  <si>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</si>
  <si>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</si>
  <si>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</si>
  <si>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</si>
  <si>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</si>
  <si>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</si>
  <si>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</si>
  <si>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</si>
  <si>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</si>
  <si>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</si>
  <si>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</si>
  <si>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</si>
  <si>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</si>
  <si>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</si>
  <si>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</si>
  <si>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</si>
  <si>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</si>
  <si>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</si>
  <si>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</si>
  <si>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</si>
  <si>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</si>
  <si>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</si>
  <si>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</si>
  <si>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</si>
  <si>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</si>
  <si>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</si>
  <si>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</si>
  <si>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</si>
  <si>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</si>
  <si>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</si>
  <si>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</si>
  <si>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</si>
  <si>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</si>
  <si>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</si>
  <si>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</si>
  <si>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</si>
  <si>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</si>
  <si>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</si>
  <si>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</si>
  <si>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</si>
  <si>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</si>
  <si>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</si>
  <si>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</si>
  <si>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</si>
  <si>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</si>
  <si>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</si>
  <si>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</si>
  <si>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</si>
  <si>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</si>
  <si>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</si>
  <si>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</si>
  <si>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</si>
  <si>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</si>
  <si>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</si>
  <si>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</si>
  <si>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</si>
  <si>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</si>
  <si>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</si>
  <si>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</si>
  <si>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</si>
  <si>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</si>
  <si>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</si>
  <si>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</si>
  <si>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</si>
  <si>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</si>
  <si>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</si>
  <si>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</si>
  <si>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</si>
  <si>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</si>
  <si>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</si>
  <si>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</si>
  <si>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</si>
  <si>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</si>
  <si>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</si>
  <si>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</si>
  <si>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</si>
  <si>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</si>
  <si>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</si>
  <si>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</si>
  <si>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</si>
  <si>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</si>
  <si>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</si>
  <si>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</si>
  <si>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</si>
  <si>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</si>
  <si>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</si>
  <si>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</si>
  <si>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</si>
  <si>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</si>
  <si>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</si>
  <si>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</si>
  <si>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</si>
  <si>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</si>
  <si>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</si>
  <si>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</si>
  <si>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</si>
  <si>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</si>
  <si>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</si>
  <si>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</si>
  <si>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</si>
  <si>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</si>
  <si>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</si>
  <si>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</si>
  <si>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</si>
  <si>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</si>
  <si>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</si>
  <si>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</si>
  <si>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</si>
  <si>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</si>
  <si>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</si>
  <si>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</si>
  <si>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</si>
  <si>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</si>
  <si>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</si>
  <si>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</si>
  <si>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</si>
  <si>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</si>
  <si>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</si>
  <si>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</si>
  <si>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</si>
  <si>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</si>
  <si>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</si>
  <si>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</si>
  <si>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</si>
  <si>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</si>
  <si>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</si>
  <si>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</si>
  <si>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</si>
  <si>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</si>
  <si>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</si>
  <si>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</si>
  <si>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</si>
  <si>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</si>
  <si>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</si>
  <si>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</si>
  <si>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</si>
  <si>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</si>
  <si>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</si>
  <si>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</si>
  <si>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</si>
  <si>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</si>
  <si>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</si>
  <si>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</si>
  <si>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</si>
  <si>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</si>
  <si>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</si>
  <si>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</si>
  <si>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</si>
  <si>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</si>
  <si>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</si>
  <si>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</si>
  <si>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</si>
  <si>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</si>
  <si>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</si>
  <si>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</si>
  <si>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</si>
  <si>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</si>
  <si>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</si>
  <si>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</si>
  <si>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</si>
  <si>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</si>
  <si>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</si>
  <si>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</si>
  <si>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</si>
  <si>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</si>
  <si>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</si>
  <si>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</si>
  <si>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</si>
  <si>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</si>
  <si>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</si>
  <si>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</si>
  <si>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</si>
  <si>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</si>
  <si>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</si>
  <si>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</si>
  <si>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</si>
  <si>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</si>
  <si>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</si>
  <si>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</si>
  <si>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</si>
  <si>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</si>
  <si>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</si>
  <si>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</si>
  <si>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</si>
  <si>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</si>
  <si>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</si>
  <si>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</si>
  <si>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</si>
  <si>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</si>
  <si>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</si>
  <si>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</si>
  <si>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</si>
  <si>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</si>
  <si>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</si>
  <si>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</si>
  <si>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</si>
  <si>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</si>
  <si>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</si>
  <si>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</si>
  <si>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</si>
  <si>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</si>
  <si>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</si>
  <si>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</si>
  <si>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</si>
  <si>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</si>
  <si>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</si>
  <si>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</si>
  <si>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</si>
  <si>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</si>
  <si>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</si>
  <si>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</si>
  <si>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</si>
  <si>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</si>
  <si>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</si>
  <si>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</si>
  <si>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</si>
  <si>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</si>
  <si>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</si>
  <si>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</si>
  <si>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</si>
  <si>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</si>
  <si>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</si>
  <si>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</si>
  <si>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</si>
  <si>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</si>
  <si>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</si>
  <si>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</si>
  <si>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</si>
  <si>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</si>
  <si>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</si>
  <si>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</si>
  <si>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</si>
  <si>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</si>
  <si>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</si>
  <si>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</si>
  <si>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</si>
  <si>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</si>
  <si>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</si>
  <si>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</si>
  <si>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</si>
  <si>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</si>
  <si>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</si>
  <si>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</si>
  <si>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</si>
  <si>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</si>
  <si>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</si>
  <si>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</si>
  <si>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</si>
  <si>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</si>
  <si>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</si>
  <si>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</si>
  <si>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</si>
  <si>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</si>
  <si>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</si>
  <si>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</si>
  <si>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</si>
  <si>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</si>
  <si>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</si>
  <si>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</si>
  <si>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이루다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</si>
  <si>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</si>
  <si>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</si>
  <si>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</si>
  <si>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</si>
  <si>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</si>
  <si>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</si>
  <si>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</si>
  <si>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</si>
  <si>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</si>
  <si>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</si>
  <si>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</si>
  <si>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</si>
  <si>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</si>
  <si>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</si>
  <si>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</si>
  <si>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</si>
  <si>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</si>
  <si>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</si>
  <si>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</si>
  <si>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</si>
  <si>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</si>
  <si>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</si>
  <si>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</si>
  <si>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</si>
  <si>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</si>
  <si>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</si>
  <si>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</si>
  <si>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</si>
  <si>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</si>
  <si>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</si>
  <si>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</si>
  <si>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</si>
  <si>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</si>
  <si>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</si>
  <si>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</si>
  <si>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</si>
  <si>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</si>
  <si>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</si>
  <si>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</si>
  <si>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</si>
  <si>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</si>
  <si>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</si>
  <si>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</si>
  <si>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</si>
  <si>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</si>
  <si>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</si>
  <si>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</si>
  <si>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</si>
  <si>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</si>
  <si>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</si>
  <si>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</si>
  <si>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</si>
  <si>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</si>
  <si>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</si>
  <si>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</si>
  <si>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</si>
  <si>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</si>
  <si>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</si>
  <si>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</si>
  <si>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</si>
  <si>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</si>
  <si>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</si>
  <si>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</si>
  <si>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</si>
  <si>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</si>
  <si>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</si>
  <si>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</si>
  <si>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</si>
  <si>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</si>
  <si>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</si>
  <si>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</si>
  <si>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</si>
  <si>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</si>
  <si>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</si>
  <si>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</si>
  <si>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</si>
  <si>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</si>
  <si>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</si>
  <si>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</si>
  <si>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</si>
  <si>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</si>
  <si>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</si>
  <si>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</si>
  <si>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</si>
  <si>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</si>
  <si>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</si>
  <si>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</si>
  <si>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</si>
  <si>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</si>
  <si>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</si>
  <si>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</si>
  <si>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</si>
  <si>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</si>
  <si>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</si>
  <si>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</si>
  <si>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</si>
  <si>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</si>
  <si>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</si>
  <si>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</si>
  <si>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</si>
  <si>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</si>
  <si>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</si>
  <si>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</si>
  <si>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</si>
  <si>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</si>
  <si>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</si>
  <si>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</si>
  <si>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</si>
  <si>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</si>
  <si>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</si>
  <si>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</si>
  <si>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</si>
  <si>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</si>
  <si>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</si>
  <si>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</si>
  <si>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</si>
  <si>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</si>
  <si>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</si>
  <si>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</si>
  <si>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</si>
  <si>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</si>
  <si>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</si>
  <si>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</si>
  <si>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</si>
  <si>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</si>
  <si>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</si>
  <si>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</si>
  <si>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</si>
  <si>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</si>
  <si>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</si>
  <si>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</si>
  <si>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</si>
  <si>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</si>
  <si>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</si>
  <si>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</si>
  <si>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</si>
  <si>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</si>
  <si>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</si>
  <si>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</si>
  <si>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</si>
  <si>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</si>
  <si>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</si>
  <si>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</si>
  <si>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</si>
  <si>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</si>
  <si>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</si>
  <si>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</si>
  <si>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</si>
  <si>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</si>
  <si>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</si>
  <si>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</si>
  <si>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</si>
  <si>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</si>
  <si>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</si>
  <si>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</si>
  <si>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</si>
  <si>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</si>
  <si>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</si>
  <si>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</si>
  <si>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</si>
  <si>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</si>
  <si>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</si>
  <si>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</si>
  <si>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</si>
  <si>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</si>
  <si>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</si>
  <si>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</si>
  <si>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</si>
  <si>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</si>
  <si>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</si>
  <si>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</si>
  <si>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</si>
  <si>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</si>
  <si>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</si>
  <si>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</si>
  <si>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</si>
  <si>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</si>
  <si>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</si>
  <si>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</si>
  <si>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</si>
  <si>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</si>
  <si>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</si>
  <si>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</si>
  <si>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</si>
  <si>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</si>
  <si>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</si>
  <si>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</si>
  <si>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</si>
  <si>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</si>
  <si>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</si>
  <si>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</si>
  <si>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</si>
  <si>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</si>
  <si>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</si>
  <si>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</si>
  <si>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</si>
  <si>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</si>
  <si>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</si>
  <si>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</si>
  <si>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</si>
  <si>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</si>
  <si>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</si>
  <si>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</si>
  <si>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</si>
  <si>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</si>
  <si>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</si>
  <si>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</si>
  <si>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</si>
  <si>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</si>
  <si>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</si>
  <si>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</si>
  <si>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</si>
  <si>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</si>
  <si>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</si>
  <si>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</si>
  <si>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</si>
  <si>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</si>
  <si>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</si>
  <si>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</si>
  <si>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</si>
  <si>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</si>
  <si>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</si>
  <si>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</si>
  <si>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</si>
  <si>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</si>
  <si>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</si>
  <si>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</si>
  <si>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</si>
  <si>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</si>
  <si>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</si>
  <si>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</si>
  <si>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</si>
  <si>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</si>
  <si>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</si>
  <si>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</si>
  <si>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</si>
  <si>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</si>
  <si>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</si>
  <si>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</si>
  <si>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</si>
  <si>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</si>
  <si>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</si>
  <si>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</si>
  <si>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</si>
  <si>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</si>
  <si>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</si>
  <si>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</si>
  <si>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</si>
  <si>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</si>
  <si>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</si>
  <si>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</si>
  <si>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</si>
  <si>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</si>
  <si>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</si>
  <si>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</si>
  <si>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</si>
  <si>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</si>
  <si>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</si>
  <si>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</si>
  <si>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</si>
  <si>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</si>
  <si>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</si>
  <si>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</si>
  <si>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</si>
  <si>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</si>
  <si>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</si>
  <si>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</si>
  <si>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</si>
  <si>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</si>
  <si>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</si>
  <si>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</si>
  <si>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</si>
  <si>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</si>
  <si>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</si>
  <si>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</si>
  <si>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</si>
  <si>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</si>
  <si>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</si>
  <si>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</si>
  <si>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</si>
  <si>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</si>
  <si>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</si>
  <si>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</si>
  <si>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</si>
  <si>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</si>
  <si>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</si>
  <si>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</si>
  <si>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</si>
  <si>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</si>
  <si>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</si>
  <si>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</si>
  <si>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</si>
  <si>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</si>
  <si>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</si>
  <si>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</si>
  <si>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</si>
  <si>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</si>
  <si>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</si>
  <si>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</si>
  <si>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</si>
  <si>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</si>
  <si>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</si>
  <si>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</si>
  <si>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</si>
  <si>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</si>
  <si>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</si>
  <si>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</si>
  <si>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</si>
  <si>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</si>
  <si>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</si>
  <si>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</si>
  <si>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</si>
  <si>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</si>
  <si>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</si>
  <si>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</si>
  <si>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</si>
  <si>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</si>
  <si>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</si>
  <si>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</si>
  <si>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</si>
  <si>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</si>
  <si>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</si>
  <si>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</si>
  <si>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</si>
  <si>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</si>
  <si>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</si>
  <si>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</si>
  <si>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</si>
  <si>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</si>
  <si>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</si>
  <si>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</si>
  <si>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</si>
  <si>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</si>
  <si>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</si>
  <si>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</si>
  <si>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</si>
  <si>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</si>
  <si>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</si>
  <si>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</si>
  <si>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</si>
  <si>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</si>
  <si>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</si>
  <si>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</si>
  <si>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</si>
  <si>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</si>
  <si>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</si>
  <si>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</si>
  <si>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</si>
  <si>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</si>
  <si>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</si>
  <si>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</si>
  <si>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</si>
  <si>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</si>
  <si>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</si>
  <si>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</si>
  <si>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</si>
  <si>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</si>
  <si>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</si>
  <si>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</si>
  <si>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</si>
  <si>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</si>
  <si>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</si>
  <si>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</si>
  <si>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</si>
  <si>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</si>
  <si>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</si>
  <si>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</si>
  <si>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</si>
  <si>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</si>
  <si>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</si>
  <si>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</si>
  <si>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</si>
  <si>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</si>
  <si>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</si>
  <si>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</si>
  <si>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</si>
  <si>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</si>
  <si>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</si>
  <si>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</si>
  <si>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</si>
  <si>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</si>
  <si>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</si>
  <si>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</si>
  <si>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</si>
  <si>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</si>
  <si>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</si>
  <si>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</si>
  <si>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</si>
  <si>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</si>
  <si>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</si>
  <si>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</si>
  <si>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</si>
  <si>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</si>
  <si>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</si>
  <si>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</si>
  <si>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</si>
  <si>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</si>
  <si>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</si>
  <si>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</si>
  <si>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</si>
  <si>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</si>
  <si>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</si>
  <si>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</si>
  <si>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</si>
  <si>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</si>
  <si>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</si>
  <si>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</si>
  <si>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</si>
  <si>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</si>
  <si>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</si>
  <si>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</si>
  <si>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</si>
  <si>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</si>
  <si>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</si>
  <si>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</si>
  <si>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</si>
  <si>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</si>
  <si>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</si>
  <si>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</si>
  <si>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</si>
  <si>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</si>
  <si>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</si>
  <si>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</si>
  <si>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</si>
  <si>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</si>
  <si>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</si>
  <si>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</si>
  <si>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</si>
  <si>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</si>
  <si>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</si>
  <si>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</si>
  <si>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</si>
  <si>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</si>
  <si>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</si>
  <si>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</si>
  <si>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</si>
  <si>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</si>
  <si>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</si>
  <si>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</si>
  <si>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</si>
  <si>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</si>
  <si>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</si>
  <si>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</si>
  <si>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</si>
  <si>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</si>
  <si>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</si>
  <si>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</si>
  <si>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</si>
  <si>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</si>
  <si>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</si>
  <si>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</si>
  <si>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</si>
  <si>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</si>
  <si>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</si>
  <si>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</si>
  <si>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</si>
  <si>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</si>
  <si>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</si>
  <si>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</si>
  <si>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</si>
  <si>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</si>
  <si>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</si>
  <si>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</si>
  <si>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</si>
  <si>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</si>
  <si>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</si>
  <si>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</si>
  <si>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</si>
  <si>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</si>
  <si>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</si>
  <si>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</si>
  <si>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</si>
  <si>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</si>
  <si>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</si>
  <si>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</si>
  <si>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</si>
  <si>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</si>
  <si>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</si>
  <si>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</si>
  <si>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</si>
  <si>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</si>
  <si>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</si>
  <si>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</si>
  <si>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</si>
  <si>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</si>
  <si>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</si>
  <si>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</si>
  <si>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</si>
  <si>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</si>
  <si>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</si>
  <si>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</si>
  <si>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</si>
  <si>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</si>
  <si>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</si>
  <si>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</si>
  <si>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</si>
  <si>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</si>
  <si>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</si>
  <si>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</si>
  <si>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</si>
  <si>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</si>
  <si>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</si>
  <si>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</si>
  <si>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</si>
  <si>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</si>
  <si>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</si>
  <si>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</si>
  <si>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</si>
  <si>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</si>
  <si>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</si>
  <si>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</si>
  <si>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</si>
  <si>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</si>
  <si>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</si>
  <si>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</si>
  <si>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</si>
  <si>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</si>
  <si>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</si>
  <si>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</si>
  <si>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</si>
  <si>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</si>
  <si>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</si>
  <si>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</si>
  <si>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</si>
  <si>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</si>
  <si>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</si>
  <si>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</si>
  <si>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</si>
  <si>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</si>
  <si>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</si>
  <si>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</si>
  <si>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</si>
  <si>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</si>
  <si>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</si>
  <si>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</si>
  <si>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</si>
  <si>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</si>
  <si>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</si>
  <si>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</si>
  <si>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</si>
  <si>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</si>
  <si>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</si>
  <si>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</si>
  <si>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</si>
  <si>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</si>
  <si>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</si>
  <si>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</si>
  <si>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</si>
  <si>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</si>
  <si>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</si>
  <si>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</si>
  <si>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</si>
  <si>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</si>
  <si>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</si>
  <si>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</si>
  <si>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</si>
  <si>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</si>
  <si>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</si>
  <si>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</si>
  <si>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</si>
  <si>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</si>
  <si>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</si>
  <si>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</si>
  <si>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</si>
  <si>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</si>
  <si>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</si>
  <si>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</si>
  <si>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</si>
  <si>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</si>
  <si>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</si>
  <si>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</si>
  <si>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</si>
  <si>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</si>
  <si>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</si>
  <si>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</si>
  <si>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</si>
  <si>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</si>
  <si>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</si>
  <si>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</si>
  <si>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</si>
  <si>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</si>
  <si>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</si>
  <si>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</si>
  <si>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</si>
  <si>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</si>
  <si>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</si>
  <si>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</si>
  <si>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</si>
  <si>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</si>
  <si>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</si>
  <si>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</si>
  <si>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</si>
  <si>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</si>
  <si>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</si>
  <si>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</si>
  <si>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</si>
  <si>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</si>
  <si>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</si>
  <si>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</si>
  <si>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</si>
  <si>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</si>
  <si>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</si>
  <si>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</si>
  <si>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</si>
  <si>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</si>
  <si>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</si>
  <si>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</si>
  <si>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</si>
  <si>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</si>
  <si>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</si>
  <si>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</si>
  <si>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</si>
  <si>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</si>
  <si>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</si>
  <si>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</si>
  <si>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</si>
  <si>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</si>
  <si>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</si>
  <si>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</si>
  <si>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</si>
  <si>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</si>
  <si>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</si>
  <si>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</si>
  <si>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</si>
  <si>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</si>
  <si>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</si>
  <si>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</si>
  <si>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</si>
  <si>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</si>
  <si>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</si>
  <si>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</si>
  <si>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</si>
  <si>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</si>
  <si>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</si>
  <si>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</si>
  <si>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</si>
  <si>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</si>
  <si>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</si>
  <si>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</si>
  <si>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</si>
  <si>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</si>
  <si>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</si>
  <si>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</si>
  <si>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</si>
  <si>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</si>
  <si>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</si>
  <si>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</si>
  <si>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</si>
  <si>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</si>
  <si>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</si>
  <si>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</si>
  <si>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</si>
  <si>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</si>
  <si>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</si>
  <si>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</si>
  <si>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</si>
  <si>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</si>
  <si>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</si>
  <si>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</si>
  <si>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</si>
  <si>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</si>
  <si>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</si>
  <si>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</si>
  <si>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</si>
  <si>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</si>
  <si>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</si>
  <si>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</si>
  <si>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</si>
  <si>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</si>
  <si>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</si>
  <si>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</si>
  <si>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</si>
  <si>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</si>
  <si>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</si>
  <si>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</si>
  <si>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</si>
  <si>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</si>
  <si>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</si>
  <si>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</si>
  <si>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</si>
  <si>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</si>
  <si>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</si>
  <si>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</si>
  <si>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</si>
  <si>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</si>
  <si>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</si>
  <si>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</si>
  <si>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</si>
  <si>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</si>
  <si>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</si>
  <si>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</si>
  <si>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</si>
  <si>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</si>
  <si>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</si>
  <si>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</si>
  <si>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</si>
  <si>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</si>
  <si>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</si>
  <si>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</si>
  <si>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</si>
  <si>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</si>
  <si>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</si>
  <si>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</si>
  <si>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</si>
  <si>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</si>
  <si>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</si>
  <si>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</si>
  <si>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</si>
  <si>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</si>
  <si>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</si>
  <si>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</si>
  <si>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</si>
  <si>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</si>
  <si>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</si>
  <si>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</si>
  <si>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</si>
  <si>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</si>
  <si>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</si>
  <si>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</si>
  <si>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</si>
  <si>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</si>
  <si>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</si>
  <si>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</si>
  <si>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</si>
  <si>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</si>
  <si>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</si>
  <si>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</si>
  <si>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</si>
  <si>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</si>
  <si>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</si>
  <si>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</si>
  <si>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</si>
  <si>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</si>
  <si>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</si>
  <si>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</si>
  <si>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</si>
  <si>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</si>
  <si>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</si>
  <si>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</si>
  <si>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</si>
  <si>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</si>
  <si>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</si>
  <si>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</si>
  <si>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</si>
  <si>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</si>
  <si>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</si>
  <si>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</si>
  <si>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</si>
  <si>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</si>
  <si>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</si>
  <si>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</si>
  <si>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</si>
  <si>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</si>
  <si>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</si>
  <si>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</si>
  <si>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</si>
  <si>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</si>
  <si>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</si>
  <si>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</si>
  <si>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</si>
  <si>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</si>
  <si>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</si>
  <si>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</si>
  <si>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</si>
  <si>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</si>
  <si>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</si>
  <si>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</si>
  <si>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</si>
  <si>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</si>
  <si>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</si>
  <si>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</si>
  <si>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</si>
  <si>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</si>
  <si>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</si>
  <si>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</si>
  <si>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</si>
  <si>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</si>
  <si>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</si>
  <si>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</si>
  <si>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</si>
  <si>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</si>
  <si>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</si>
  <si>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</si>
  <si>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</si>
  <si>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</si>
  <si>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</si>
  <si>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</si>
  <si>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</si>
  <si>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</si>
  <si>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</si>
  <si>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</si>
  <si>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</si>
  <si>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</si>
  <si>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</si>
  <si>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</si>
  <si>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</si>
  <si>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</si>
  <si>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</si>
  <si>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</si>
  <si>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</si>
  <si>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</si>
  <si>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</si>
  <si>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</si>
  <si>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</si>
  <si>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</si>
  <si>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</si>
  <si>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</si>
  <si>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</si>
  <si>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</si>
  <si>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</si>
  <si>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</si>
  <si>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</si>
  <si>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</si>
  <si>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</si>
  <si>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</si>
  <si>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</si>
  <si>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</si>
  <si>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</si>
  <si>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</si>
  <si>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</si>
  <si>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</si>
  <si>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</si>
  <si>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</si>
  <si>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</si>
  <si>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</si>
  <si>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</si>
  <si>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</si>
  <si>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</si>
  <si>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</si>
  <si>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</si>
  <si>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</si>
  <si>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</si>
  <si>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</si>
  <si>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</si>
  <si>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</si>
  <si>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</si>
  <si>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</si>
  <si>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</si>
  <si>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</si>
  <si>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</si>
  <si>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</si>
  <si>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</si>
  <si>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</si>
  <si>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</si>
  <si>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</si>
  <si>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</si>
  <si>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</si>
  <si>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</si>
  <si>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</si>
  <si>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</si>
  <si>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</si>
  <si>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</si>
  <si>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</si>
  <si>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</si>
  <si>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</si>
  <si>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</si>
  <si>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</si>
  <si>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</si>
  <si>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</si>
  <si>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</si>
  <si>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</si>
  <si>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</si>
  <si>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</si>
  <si>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</si>
  <si>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</si>
  <si>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</si>
  <si>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</si>
  <si>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</si>
  <si>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</si>
  <si>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</si>
  <si>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</si>
  <si>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</si>
  <si>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</si>
  <si>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</si>
  <si>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</si>
  <si>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</si>
  <si>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</si>
  <si>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</si>
  <si>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</si>
  <si>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</si>
  <si>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</si>
  <si>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</si>
  <si>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</si>
  <si>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</si>
  <si>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</si>
  <si>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</si>
  <si>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</si>
  <si>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</si>
  <si>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</si>
  <si>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</si>
  <si>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</si>
  <si>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</si>
  <si>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</si>
  <si>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</si>
  <si>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</si>
  <si>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</si>
  <si>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</si>
  <si>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</si>
  <si>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</si>
  <si>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</si>
  <si>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</si>
  <si>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</si>
  <si>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</si>
  <si>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</si>
  <si>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</si>
  <si>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</si>
  <si>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</si>
  <si>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</si>
  <si>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</si>
  <si>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</si>
  <si>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</si>
  <si>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</si>
  <si>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</si>
  <si>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</si>
  <si>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</si>
  <si>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</si>
  <si>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</si>
  <si>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</si>
  <si>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</si>
  <si>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</si>
  <si>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</si>
  <si>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</si>
  <si>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</si>
  <si>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</si>
  <si>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</si>
  <si>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</si>
  <si>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</si>
  <si>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</si>
  <si>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</si>
  <si>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</si>
  <si>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</si>
  <si>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</si>
  <si>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</si>
  <si>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</si>
  <si>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</si>
  <si>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</si>
  <si>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</si>
  <si>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</si>
  <si>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</si>
  <si>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</si>
  <si>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</si>
  <si>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</si>
  <si>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</si>
  <si>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</si>
  <si>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</si>
  <si>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</si>
  <si>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</si>
  <si>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</si>
  <si>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</si>
  <si>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</si>
  <si>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</si>
  <si>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</si>
  <si>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</si>
  <si>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</si>
  <si>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</si>
  <si>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</si>
  <si>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</si>
  <si>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</si>
  <si>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</si>
  <si>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</si>
  <si>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</si>
  <si>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</si>
  <si>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</si>
  <si>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</si>
  <si>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</si>
  <si>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</si>
  <si>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</si>
  <si>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</si>
  <si>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</si>
  <si>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</si>
  <si>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</si>
  <si>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</si>
  <si>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</si>
  <si>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</si>
  <si>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</si>
  <si>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</si>
  <si>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</si>
  <si>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</si>
  <si>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</si>
  <si>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</si>
  <si>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</si>
  <si>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</si>
  <si>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</si>
  <si>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</si>
  <si>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</si>
  <si>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</si>
  <si>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</si>
  <si>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</si>
  <si>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</si>
  <si>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</si>
  <si>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</si>
  <si>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</si>
  <si>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</si>
  <si>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</si>
  <si>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</si>
  <si>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</si>
  <si>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</si>
  <si>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</si>
  <si>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</si>
  <si>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</si>
  <si>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</si>
  <si>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</si>
  <si>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</si>
  <si>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</si>
  <si>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</si>
  <si>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</si>
  <si>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</si>
  <si>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</si>
  <si>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</si>
  <si>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</si>
  <si>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</si>
  <si>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</si>
  <si>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</si>
  <si>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</si>
  <si>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</si>
  <si>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</si>
  <si>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</si>
  <si>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</si>
  <si>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</si>
  <si>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</si>
  <si>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</si>
  <si>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</si>
  <si>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</si>
  <si>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</si>
  <si>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</si>
  <si>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</si>
  <si>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</si>
  <si>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</si>
  <si>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</si>
  <si>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</si>
  <si>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</si>
  <si>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</si>
  <si>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</si>
  <si>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</si>
  <si>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</si>
  <si>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</si>
  <si>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</si>
  <si>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</si>
  <si>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</si>
  <si>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</si>
  <si>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</si>
  <si>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</si>
  <si>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</si>
  <si>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</si>
  <si>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</si>
  <si>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</si>
  <si>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</si>
  <si>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</si>
  <si>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</si>
  <si>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</si>
  <si>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</si>
  <si>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</si>
  <si>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</si>
  <si>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</si>
  <si>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</si>
  <si>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</si>
  <si>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</si>
  <si>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</si>
  <si>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</si>
  <si>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</si>
  <si>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</si>
  <si>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</si>
  <si>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</si>
  <si>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</si>
  <si>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</si>
  <si>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</si>
  <si>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</si>
  <si>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</si>
  <si>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</si>
  <si>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</si>
  <si>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</si>
  <si>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</si>
  <si>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</si>
  <si>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</si>
  <si>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</si>
  <si>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</si>
  <si>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</si>
  <si>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</si>
  <si>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</si>
  <si>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</si>
  <si>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</si>
  <si>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</si>
  <si>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</si>
  <si>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</si>
  <si>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</si>
  <si>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</si>
  <si>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</si>
  <si>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</si>
  <si>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</si>
  <si>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</si>
  <si>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</si>
  <si>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</si>
  <si>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</si>
  <si>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</si>
  <si>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</si>
  <si>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</si>
  <si>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</si>
  <si>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</si>
  <si>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</si>
  <si>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</si>
  <si>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</si>
  <si>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</si>
  <si>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</si>
  <si>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</si>
  <si>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</si>
  <si>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</si>
  <si>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</si>
  <si>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</si>
  <si>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</si>
  <si>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</si>
  <si>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</si>
  <si>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</si>
  <si>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</si>
  <si>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</si>
  <si>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</si>
  <si>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</si>
  <si>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</si>
  <si>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</si>
  <si>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</si>
  <si>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</si>
  <si>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</si>
  <si>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</si>
  <si>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</si>
  <si>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</si>
  <si>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</si>
  <si>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</si>
  <si>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</si>
  <si>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</si>
  <si>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</si>
  <si>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</si>
  <si>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</si>
  <si>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</si>
  <si>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</si>
  <si>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</si>
  <si>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</si>
  <si>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</si>
  <si>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</si>
  <si>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</si>
  <si>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</si>
  <si>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</si>
  <si>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</si>
  <si>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</si>
  <si>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</si>
  <si>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</si>
  <si>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</si>
  <si>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</si>
  <si>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</si>
  <si>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</si>
  <si>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</si>
  <si>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</si>
  <si>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</si>
  <si>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</si>
  <si>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</si>
  <si>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</si>
  <si>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</si>
  <si>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</si>
  <si>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</si>
  <si>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</si>
  <si>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</si>
  <si>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</si>
  <si>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</si>
  <si>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</si>
  <si>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</si>
  <si>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</si>
  <si>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</si>
  <si>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</si>
  <si>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</si>
  <si>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</si>
  <si>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</si>
  <si>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</si>
  <si>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</si>
  <si>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</si>
  <si>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</si>
  <si>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</si>
  <si>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</si>
  <si>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</si>
  <si>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</si>
  <si>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</si>
  <si>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</si>
  <si>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</si>
  <si>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</si>
  <si>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</si>
  <si>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</si>
  <si>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</si>
  <si>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</si>
  <si>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</si>
  <si>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</si>
  <si>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</si>
  <si>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</si>
  <si>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</si>
  <si>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</si>
  <si>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</si>
  <si>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</si>
  <si>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</si>
  <si>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</si>
  <si>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</si>
  <si>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</si>
  <si>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</si>
  <si>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</si>
  <si>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</si>
  <si>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</si>
  <si>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</si>
  <si>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</si>
  <si>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</si>
  <si>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</si>
  <si>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</si>
  <si>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</si>
  <si>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</si>
  <si>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</si>
  <si>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</si>
  <si>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</si>
  <si>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</si>
  <si>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</si>
  <si>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</si>
  <si>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</si>
  <si>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</si>
  <si>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</si>
  <si>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</si>
  <si>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</si>
  <si>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</si>
  <si>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</si>
  <si>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</si>
  <si>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</si>
  <si>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</si>
  <si>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</si>
  <si>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</si>
  <si>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</si>
  <si>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</si>
  <si>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</si>
  <si>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</si>
  <si>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</si>
  <si>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</si>
  <si>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</si>
  <si>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</si>
  <si>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</si>
  <si>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</si>
  <si>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</si>
  <si>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</si>
  <si>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</si>
  <si>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</si>
  <si>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</si>
  <si>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</si>
  <si>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</si>
  <si>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</si>
  <si>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</si>
  <si>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</si>
  <si>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</si>
  <si>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</si>
  <si>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</si>
  <si>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</si>
  <si>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</si>
  <si>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</si>
  <si>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</si>
  <si>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</si>
  <si>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</si>
  <si>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</si>
  <si>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</si>
  <si>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</si>
  <si>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</si>
  <si>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</si>
  <si>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</si>
  <si>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</si>
  <si>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</si>
  <si>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</si>
  <si>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</si>
  <si>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</si>
  <si>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</si>
  <si>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</si>
  <si>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</si>
  <si>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</si>
  <si>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</si>
  <si>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</si>
  <si>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</si>
  <si>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</si>
  <si>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</si>
  <si>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</si>
  <si>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</si>
  <si>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</si>
  <si>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</si>
  <si>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</si>
  <si>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</si>
  <si>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</si>
  <si>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</si>
  <si>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</si>
  <si>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</si>
  <si>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</si>
  <si>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</si>
  <si>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</si>
  <si>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</si>
  <si>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</si>
  <si>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</si>
  <si>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</si>
  <si>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</si>
  <si>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</si>
  <si>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</si>
  <si>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</si>
  <si>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</si>
  <si>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</si>
  <si>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</si>
  <si>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</si>
  <si>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</si>
  <si>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</si>
  <si>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</si>
  <si>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</si>
  <si>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</si>
  <si>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</si>
  <si>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</si>
  <si>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</si>
  <si>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</si>
  <si>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</si>
  <si>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</si>
  <si>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</si>
  <si>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</si>
  <si>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</si>
  <si>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</si>
  <si>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</si>
  <si>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</si>
  <si>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</si>
  <si>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</si>
  <si>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</si>
  <si>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</si>
  <si>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</si>
  <si>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</si>
  <si>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</si>
  <si>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</si>
  <si>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</si>
  <si>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</si>
  <si>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</si>
  <si>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</si>
  <si>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</si>
  <si>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</si>
  <si>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</si>
  <si>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</si>
  <si>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</si>
  <si>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</si>
  <si>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</si>
  <si>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</si>
  <si>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</si>
  <si>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</si>
  <si>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</si>
  <si>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</si>
  <si>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</si>
  <si>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</si>
  <si>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</si>
  <si>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</si>
  <si>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</si>
  <si>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</si>
  <si>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</si>
  <si>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</si>
  <si>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</si>
  <si>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</si>
  <si>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</si>
  <si>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</si>
  <si>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</si>
  <si>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</si>
  <si>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</si>
  <si>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</si>
  <si>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</si>
  <si>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</si>
  <si>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</si>
  <si>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</si>
  <si>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</si>
  <si>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</si>
  <si>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</si>
  <si>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</si>
  <si>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</si>
  <si>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</si>
  <si>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</si>
  <si>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</si>
  <si>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</si>
  <si>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</si>
  <si>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</si>
  <si>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</si>
  <si>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</si>
  <si>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</si>
  <si>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</si>
  <si>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</si>
  <si>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</si>
  <si>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</si>
  <si>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</si>
  <si>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</si>
  <si>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</si>
  <si>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</si>
  <si>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</si>
  <si>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</si>
  <si>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</si>
  <si>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</si>
  <si>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</si>
  <si>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</si>
  <si>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</si>
  <si>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</si>
  <si>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</si>
  <si>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</si>
  <si>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</si>
  <si>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</si>
  <si>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</si>
  <si>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</si>
  <si>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</si>
  <si>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</si>
  <si>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</si>
  <si>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</si>
  <si>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</si>
  <si>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</si>
  <si>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</si>
  <si>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</si>
  <si>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</si>
  <si>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</si>
  <si>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</si>
  <si>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</si>
  <si>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</si>
  <si>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</si>
  <si>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</si>
  <si>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</si>
  <si>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</si>
  <si>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</si>
  <si>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</si>
  <si>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</si>
  <si>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</si>
  <si>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</si>
  <si>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</si>
  <si>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</si>
  <si>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</si>
  <si>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</si>
  <si>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</si>
  <si>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</si>
  <si>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</si>
  <si>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</si>
  <si>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</si>
  <si>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</si>
  <si>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</si>
  <si>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</si>
  <si>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</si>
  <si>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</si>
  <si>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</si>
  <si>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</si>
  <si>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</si>
  <si>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</si>
  <si>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</si>
  <si>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</si>
  <si>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</si>
  <si>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</si>
  <si>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</si>
  <si>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</si>
  <si>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</si>
  <si>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</si>
  <si>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</si>
  <si>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</si>
  <si>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</si>
  <si>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</si>
  <si>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</si>
  <si>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</si>
  <si>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</si>
  <si>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</si>
  <si>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</si>
  <si>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</si>
  <si>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</si>
  <si>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</si>
  <si>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</si>
  <si>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</si>
  <si>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</si>
  <si>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</si>
  <si>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</si>
  <si>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</si>
  <si>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</si>
  <si>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</si>
  <si>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</si>
  <si>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</si>
  <si>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</si>
  <si>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</si>
  <si>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</si>
  <si>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</si>
  <si>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</si>
  <si>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</si>
  <si>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</si>
  <si>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</si>
  <si>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</si>
  <si>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</si>
  <si>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</si>
  <si>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</si>
  <si>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</si>
  <si>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</si>
  <si>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</si>
  <si>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</si>
  <si>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</si>
  <si>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</si>
  <si>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</si>
  <si>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</si>
  <si>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</si>
  <si>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</si>
  <si>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</si>
  <si>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</si>
  <si>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</si>
  <si>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</si>
  <si>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</si>
  <si>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</si>
  <si>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</si>
  <si>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</si>
  <si>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</si>
  <si>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</si>
  <si>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</si>
  <si>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</si>
  <si>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</si>
  <si>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</si>
  <si>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</si>
  <si>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</si>
  <si>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</si>
  <si>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</si>
  <si>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</si>
  <si>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</si>
  <si>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</si>
  <si>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</si>
  <si>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</si>
  <si>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</si>
  <si>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</si>
  <si>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</si>
  <si>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</si>
  <si>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</si>
  <si>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</si>
  <si>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</si>
  <si>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</si>
  <si>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</si>
  <si>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</si>
  <si>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</si>
  <si>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</si>
  <si>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</si>
  <si>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</si>
  <si>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</si>
  <si>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</si>
  <si>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</si>
  <si>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</si>
  <si>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</si>
  <si>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</si>
  <si>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</si>
  <si>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</si>
  <si>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</si>
  <si>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</si>
  <si>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</si>
  <si>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</si>
  <si>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</si>
  <si>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</si>
  <si>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</si>
  <si>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</si>
  <si>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</si>
  <si>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</si>
  <si>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</si>
  <si>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</si>
  <si>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</si>
  <si>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</si>
  <si>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</si>
  <si>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</si>
  <si>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</si>
  <si>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</si>
  <si>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</si>
  <si>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</si>
  <si>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</si>
  <si>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</si>
  <si>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</si>
  <si>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</si>
  <si>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</si>
  <si>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</si>
  <si>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</si>
  <si>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</si>
  <si>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</si>
  <si>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</si>
  <si>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</si>
  <si>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</si>
  <si>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</si>
  <si>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</si>
  <si>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</si>
  <si>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</si>
  <si>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</si>
  <si>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</si>
  <si>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</si>
  <si>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</si>
  <si>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</si>
  <si>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</si>
  <si>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</si>
  <si>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</si>
  <si>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</si>
  <si>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</si>
  <si>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</si>
  <si>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</si>
  <si>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</si>
  <si>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</si>
  <si>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</si>
  <si>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</si>
  <si>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</si>
  <si>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</si>
  <si>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</si>
  <si>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</si>
  <si>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</si>
  <si>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</si>
  <si>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</si>
  <si>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</si>
  <si>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</si>
  <si>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</si>
  <si>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</si>
  <si>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</si>
  <si>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</si>
  <si>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</si>
  <si>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</si>
  <si>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</si>
  <si>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</si>
  <si>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</si>
  <si>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</si>
  <si>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</si>
  <si>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</si>
  <si>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</si>
  <si>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</si>
  <si>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</si>
  <si>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</si>
  <si>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</si>
  <si>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</si>
  <si>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</si>
  <si>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</si>
  <si>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</si>
  <si>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</si>
  <si>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</si>
  <si>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</si>
  <si>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</si>
  <si>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</si>
  <si>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</si>
  <si>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</si>
  <si>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</si>
  <si>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</si>
  <si>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</si>
  <si>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</si>
  <si>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</si>
  <si>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</si>
  <si>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</si>
  <si>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</si>
  <si>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</si>
  <si>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</si>
  <si>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</si>
  <si>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</si>
  <si>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</si>
  <si>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</si>
  <si>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</si>
  <si>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</si>
  <si>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</si>
  <si>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</si>
  <si>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</si>
  <si>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</si>
  <si>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</si>
  <si>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</si>
  <si>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</si>
  <si>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</si>
  <si>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</si>
  <si>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</si>
  <si>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</si>
  <si>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</si>
  <si>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</si>
  <si>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</si>
  <si>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</si>
  <si>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</si>
  <si>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</si>
  <si>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</si>
  <si>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</si>
  <si>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</si>
  <si>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</si>
  <si>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</si>
  <si>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</si>
  <si>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</si>
  <si>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</si>
  <si>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</si>
  <si>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</si>
  <si>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</si>
  <si>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</si>
  <si>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</si>
  <si>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</si>
  <si>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</si>
  <si>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</si>
  <si>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</si>
  <si>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</si>
  <si>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</si>
  <si>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</si>
  <si>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</si>
  <si>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</si>
  <si>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</si>
  <si>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</si>
  <si>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</si>
  <si>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</si>
  <si>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</si>
  <si>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</si>
  <si>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</si>
  <si>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</si>
  <si>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</si>
  <si>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</si>
  <si>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</si>
  <si>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</si>
  <si>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</si>
  <si>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</si>
  <si>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</si>
  <si>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</si>
  <si>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</si>
  <si>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</si>
  <si>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</si>
  <si>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</si>
  <si>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</si>
  <si>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</si>
  <si>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</si>
  <si>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</si>
  <si>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</si>
  <si>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</si>
  <si>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</si>
  <si>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</si>
  <si>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</si>
  <si>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</si>
  <si>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</si>
  <si>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</si>
  <si>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</si>
  <si>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</si>
  <si>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</si>
  <si>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</si>
  <si>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</si>
  <si>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</si>
  <si>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</si>
  <si>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</si>
  <si>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</si>
  <si>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</si>
  <si>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</si>
  <si>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</si>
  <si>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</si>
  <si>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</si>
  <si>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</si>
  <si>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</si>
  <si>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</si>
  <si>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</si>
  <si>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</si>
  <si>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</si>
  <si>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</si>
  <si>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</si>
  <si>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</si>
  <si>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</si>
  <si>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</si>
  <si>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</si>
  <si>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</si>
  <si>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</si>
  <si>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</si>
  <si>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</si>
  <si>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</si>
  <si>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</si>
  <si>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</si>
  <si>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</si>
  <si>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</si>
  <si>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</si>
  <si>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</si>
  <si>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</si>
  <si>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</si>
  <si>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</si>
  <si>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</si>
  <si>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</si>
  <si>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</si>
  <si>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</si>
  <si>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</si>
  <si>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</si>
  <si>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</si>
  <si>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</si>
  <si>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</si>
  <si>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</si>
  <si>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</si>
  <si>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</si>
  <si>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</si>
  <si>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</si>
  <si>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</si>
  <si>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</si>
  <si>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</si>
  <si>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</si>
  <si>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</si>
  <si>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</si>
  <si>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</si>
  <si>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</si>
  <si>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</si>
  <si>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</si>
  <si>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</si>
  <si>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</si>
  <si>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</si>
  <si>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</si>
  <si>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</si>
  <si>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</si>
  <si>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</si>
  <si>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</si>
  <si>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</si>
  <si>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</si>
  <si>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</si>
  <si>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</si>
  <si>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</si>
  <si>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</si>
  <si>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</si>
  <si>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</si>
  <si>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</si>
  <si>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</si>
  <si>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</si>
  <si>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</si>
  <si>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</si>
  <si>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</si>
  <si>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</si>
  <si>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</si>
  <si>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</si>
  <si>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</si>
  <si>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</si>
  <si>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</si>
  <si>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</si>
  <si>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</si>
  <si>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</si>
  <si>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</si>
  <si>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</si>
  <si>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</si>
  <si>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</si>
  <si>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</si>
  <si>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</si>
  <si>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</si>
  <si>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</si>
  <si>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</si>
  <si>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</si>
  <si>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</si>
  <si>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</si>
  <si>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</si>
  <si>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</si>
  <si>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</si>
  <si>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</si>
  <si>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</si>
  <si>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</si>
  <si>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</si>
  <si>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</si>
  <si>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</si>
  <si>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</si>
  <si>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</si>
  <si>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</si>
  <si>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</si>
  <si>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</si>
  <si>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</si>
  <si>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</si>
  <si>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</si>
  <si>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</si>
  <si>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</si>
  <si>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</si>
  <si>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</si>
  <si>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</si>
  <si>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</si>
  <si>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</si>
  <si>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</si>
  <si>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</si>
  <si>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</si>
  <si>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</si>
  <si>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</si>
  <si>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</si>
  <si>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</si>
  <si>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</si>
  <si>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</si>
  <si>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</si>
  <si>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</si>
  <si>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</si>
  <si>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</si>
  <si>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</si>
  <si>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</si>
  <si>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</si>
  <si>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</si>
  <si>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</si>
  <si>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</si>
  <si>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</si>
  <si>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</si>
  <si>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</si>
  <si>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</si>
  <si>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</si>
  <si>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</si>
  <si>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</si>
  <si>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</si>
  <si>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</si>
  <si>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</si>
  <si>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</si>
  <si>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</si>
  <si>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</si>
  <si>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</si>
  <si>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</si>
  <si>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</si>
  <si>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</si>
  <si>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</si>
  <si>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</si>
  <si>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</si>
  <si>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</si>
  <si>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</si>
  <si>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</si>
  <si>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</si>
  <si>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</si>
  <si>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</si>
  <si>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</si>
  <si>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</si>
  <si>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</si>
  <si>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</si>
  <si>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</si>
  <si>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</si>
  <si>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</si>
  <si>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</si>
  <si>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</si>
  <si>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</si>
  <si>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</si>
  <si>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</si>
  <si>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</si>
  <si>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</si>
  <si>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</si>
  <si>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</si>
  <si>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</si>
  <si>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</si>
  <si>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</si>
  <si>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</si>
  <si>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</si>
  <si>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</si>
  <si>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</si>
  <si>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</si>
  <si>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</si>
  <si>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</si>
  <si>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</si>
  <si>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</si>
  <si>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</si>
  <si>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</si>
  <si>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</si>
  <si>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</si>
  <si>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</si>
  <si>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</si>
  <si>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</si>
  <si>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</si>
  <si>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</si>
  <si>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</si>
  <si>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</si>
  <si>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</si>
  <si>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</si>
  <si>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</si>
  <si>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</si>
  <si>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</si>
  <si>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</si>
  <si>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</si>
  <si>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</si>
  <si>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</si>
  <si>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</si>
  <si>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</si>
  <si>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</si>
  <si>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</si>
  <si>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</si>
  <si>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</si>
  <si>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</si>
  <si>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</si>
  <si>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</si>
  <si>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</si>
  <si>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</si>
  <si>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</si>
  <si>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</si>
  <si>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</si>
  <si>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</si>
  <si>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</si>
  <si>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</si>
  <si>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</si>
  <si>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</si>
  <si>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</si>
  <si>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</si>
  <si>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</si>
  <si>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</si>
  <si>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</si>
  <si>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</si>
  <si>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</si>
  <si>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</si>
  <si>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</si>
  <si>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</si>
  <si>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</si>
  <si>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</si>
  <si>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</si>
  <si>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</si>
  <si>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</si>
  <si>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</si>
  <si>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</si>
  <si>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</si>
  <si>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</si>
  <si>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</si>
  <si>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</si>
  <si>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</si>
  <si>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</si>
  <si>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</si>
  <si>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</si>
  <si>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</si>
  <si>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</si>
  <si>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</si>
  <si>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</si>
  <si>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</si>
  <si>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</si>
  <si>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</si>
  <si>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</si>
  <si>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</si>
  <si>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</si>
  <si>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</si>
  <si>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</si>
  <si>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</si>
  <si>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</si>
  <si>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</si>
  <si>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</si>
  <si>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</si>
  <si>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</si>
  <si>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</si>
  <si>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</si>
  <si>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</si>
  <si>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</si>
  <si>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</si>
  <si>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</si>
  <si>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</si>
  <si>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</si>
  <si>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</si>
  <si>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</si>
  <si>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</si>
  <si>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</si>
  <si>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</si>
  <si>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</si>
  <si>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</si>
  <si>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</si>
  <si>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</si>
  <si>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</si>
  <si>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</si>
  <si>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</si>
  <si>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</si>
  <si>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</si>
  <si>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</si>
  <si>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</si>
  <si>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</si>
  <si>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</si>
  <si>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</si>
  <si>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</si>
  <si>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</si>
  <si>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</si>
  <si>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</si>
  <si>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</si>
  <si>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</si>
  <si>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</si>
  <si>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</si>
  <si>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</si>
  <si>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</si>
  <si>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</si>
  <si>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</si>
  <si>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</si>
  <si>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</si>
  <si>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</si>
  <si>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</si>
  <si>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</si>
  <si>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</si>
  <si>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</si>
  <si>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</si>
  <si>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</si>
  <si>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</si>
  <si>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</si>
  <si>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</si>
  <si>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</si>
  <si>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</si>
  <si>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</si>
  <si>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</si>
  <si>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</si>
  <si>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</si>
  <si>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</si>
  <si>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</si>
  <si>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</si>
  <si>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</si>
  <si>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</si>
  <si>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</si>
  <si>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</si>
  <si>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</si>
  <si>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</si>
  <si>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</si>
  <si>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</si>
  <si>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</si>
  <si>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</si>
  <si>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</si>
  <si>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</si>
  <si>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</si>
  <si>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</si>
  <si>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</si>
  <si>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</si>
  <si>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</si>
  <si>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</si>
  <si>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</si>
  <si>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</si>
  <si>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</si>
  <si>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</si>
  <si>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</si>
  <si>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</si>
  <si>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</si>
  <si>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</si>
  <si>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</si>
  <si>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</si>
  <si>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</si>
  <si>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</si>
  <si>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</si>
  <si>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</si>
  <si>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</si>
  <si>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</si>
  <si>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</si>
  <si>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</si>
  <si>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</si>
  <si>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</si>
  <si>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</si>
  <si>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</si>
  <si>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</si>
  <si>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</si>
  <si>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</si>
  <si>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</si>
  <si>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</si>
  <si>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</si>
  <si>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</si>
  <si>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</si>
  <si>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</si>
  <si>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</si>
  <si>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</si>
  <si>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</si>
  <si>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</si>
  <si>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</si>
  <si>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</si>
  <si>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</si>
  <si>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</si>
  <si>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</si>
  <si>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</si>
  <si>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</si>
  <si>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</si>
  <si>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</si>
  <si>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</si>
  <si>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</si>
  <si>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</si>
  <si>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</si>
  <si>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</si>
  <si>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</si>
  <si>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</si>
  <si>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</si>
  <si>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</si>
  <si>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</si>
  <si>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</si>
  <si>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</si>
  <si>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</si>
  <si>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</si>
  <si>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</si>
  <si>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</si>
  <si>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</si>
  <si>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</si>
  <si>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</si>
  <si>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</si>
  <si>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</si>
  <si>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</si>
  <si>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</si>
  <si>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</si>
  <si>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</si>
  <si>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</si>
  <si>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</si>
  <si>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</si>
  <si>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</si>
  <si>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</si>
  <si>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</si>
  <si>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</si>
  <si>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</si>
  <si>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</si>
  <si>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</si>
  <si>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</si>
  <si>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</si>
  <si>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</si>
  <si>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</si>
  <si>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</si>
  <si>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</si>
  <si>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</si>
  <si>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</si>
  <si>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</si>
  <si>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</si>
  <si>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</si>
  <si>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</si>
  <si>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</si>
  <si>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</si>
  <si>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</si>
  <si>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</si>
  <si>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</si>
  <si>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</si>
  <si>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</si>
  <si>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</si>
  <si>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</si>
  <si>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</si>
  <si>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</si>
  <si>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</si>
  <si>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</si>
  <si>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</si>
  <si>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</si>
  <si>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</si>
  <si>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</si>
  <si>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</si>
  <si>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</si>
  <si>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</si>
  <si>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</si>
  <si>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</si>
  <si>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</si>
  <si>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</si>
  <si>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</si>
  <si>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</si>
  <si>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</si>
  <si>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</si>
  <si>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</si>
  <si>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</si>
  <si>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</si>
  <si>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</si>
  <si>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</si>
  <si>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</si>
  <si>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</si>
  <si>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</si>
  <si>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</si>
  <si>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</si>
  <si>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</si>
  <si>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</si>
  <si>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</si>
  <si>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</si>
  <si>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</si>
  <si>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</si>
  <si>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</si>
  <si>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</si>
  <si>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</si>
  <si>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</si>
  <si>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</si>
  <si>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</si>
  <si>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</si>
  <si>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</si>
  <si>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</si>
  <si>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</si>
  <si>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</si>
  <si>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</si>
  <si>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</si>
  <si>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</si>
  <si>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</si>
  <si>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</si>
  <si>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</si>
  <si>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</si>
  <si>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</si>
  <si>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</si>
  <si>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</si>
  <si>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</si>
  <si>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</si>
  <si>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</si>
  <si>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</si>
  <si>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</si>
  <si>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</si>
  <si>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</si>
  <si>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</si>
  <si>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</si>
  <si>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</si>
  <si>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</si>
  <si>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</si>
  <si>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</si>
  <si>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</si>
  <si>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</si>
  <si>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</si>
  <si>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</si>
  <si>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</si>
  <si>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</si>
  <si>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</si>
  <si>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</si>
  <si>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</si>
  <si>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</si>
  <si>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</si>
  <si>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</si>
  <si>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</si>
  <si>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</si>
  <si>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</si>
  <si>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</si>
  <si>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</si>
  <si>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</si>
  <si>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</si>
  <si>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</si>
  <si>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</si>
  <si>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</si>
  <si>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</si>
  <si>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</si>
  <si>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</si>
  <si>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</si>
  <si>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</si>
  <si>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</si>
  <si>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</si>
  <si>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</si>
  <si>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</si>
  <si>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</si>
  <si>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</si>
  <si>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</si>
  <si>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</si>
  <si>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</si>
  <si>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</si>
  <si>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</si>
  <si>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</si>
  <si>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</si>
  <si>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</si>
  <si>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</si>
  <si>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</si>
  <si>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</si>
  <si>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</si>
  <si>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</si>
  <si>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</si>
  <si>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</si>
  <si>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</si>
  <si>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</si>
  <si>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</si>
  <si>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</si>
  <si>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</si>
  <si>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</si>
  <si>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</si>
  <si>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</si>
  <si>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</si>
  <si>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</si>
  <si>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</si>
  <si>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</si>
  <si>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</si>
  <si>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</si>
  <si>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</si>
  <si>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</si>
  <si>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</si>
  <si>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</si>
  <si>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</si>
  <si>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</si>
  <si>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</si>
  <si>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</si>
  <si>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</si>
  <si>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</si>
  <si>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</si>
  <si>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</si>
  <si>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</si>
  <si>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</si>
  <si>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</si>
  <si>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</si>
  <si>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</si>
  <si>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</si>
  <si>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</si>
  <si>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</si>
  <si>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</si>
  <si>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</si>
  <si>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</si>
  <si>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</si>
  <si>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</si>
  <si>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</si>
  <si>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</si>
  <si>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</si>
  <si>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</si>
  <si>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</si>
  <si>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</si>
  <si>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</si>
  <si>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</si>
  <si>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</si>
  <si>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</si>
  <si>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</si>
  <si>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</si>
  <si>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</si>
  <si>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</si>
  <si>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</si>
  <si>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</si>
  <si>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</si>
  <si>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</si>
  <si>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</si>
  <si>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</si>
  <si>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</si>
  <si>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</si>
  <si>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</si>
  <si>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</si>
  <si>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</si>
  <si>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</si>
  <si>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</si>
  <si>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</si>
  <si>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</si>
  <si>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</si>
  <si>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</si>
  <si>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</si>
  <si>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</si>
  <si>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</si>
  <si>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</si>
  <si>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</si>
  <si>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</si>
  <si>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</si>
  <si>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</si>
  <si>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</si>
  <si>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</si>
  <si>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</si>
  <si>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</si>
  <si>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</si>
  <si>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</si>
  <si>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</si>
  <si>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</si>
  <si>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</si>
  <si>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</si>
  <si>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</si>
  <si>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</si>
  <si>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</si>
  <si>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</si>
  <si>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</si>
  <si>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</si>
  <si>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</si>
  <si>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</si>
  <si>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</si>
  <si>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</si>
  <si>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</si>
  <si>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</si>
  <si>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</si>
  <si>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</si>
  <si>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</si>
  <si>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</si>
  <si>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</si>
  <si>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</si>
  <si>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</si>
  <si>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</si>
  <si>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</si>
  <si>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</si>
  <si>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</si>
  <si>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</si>
  <si>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</si>
  <si>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</si>
  <si>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</si>
  <si>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</si>
  <si>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</si>
  <si>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</si>
  <si>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</si>
  <si>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</si>
  <si>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</si>
  <si>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</si>
  <si>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</si>
  <si>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</si>
  <si>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</si>
  <si>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</si>
  <si>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</si>
  <si>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</si>
  <si>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</si>
  <si>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</si>
  <si>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</si>
  <si>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</si>
  <si>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</si>
  <si>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</si>
  <si>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</si>
  <si>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</si>
  <si>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</si>
  <si>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</si>
  <si>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</si>
  <si>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</si>
  <si>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</si>
  <si>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</si>
  <si>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</si>
  <si>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</si>
  <si>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</si>
  <si>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</si>
  <si>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</si>
  <si>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</si>
  <si>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</si>
  <si>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</si>
  <si>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</si>
  <si>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</si>
  <si>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</si>
  <si>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</si>
  <si>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</si>
  <si>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</si>
  <si>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</si>
  <si>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</si>
  <si>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</si>
  <si>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</si>
  <si>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</si>
  <si>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</si>
  <si>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</si>
  <si>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</si>
  <si>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</si>
  <si>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</si>
  <si>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</si>
  <si>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</si>
  <si>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</si>
  <si>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</si>
  <si>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</si>
  <si>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</si>
  <si>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</si>
  <si>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</si>
  <si>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</si>
  <si>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</si>
  <si>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</si>
  <si>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</si>
  <si>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</si>
  <si>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</si>
  <si>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</si>
  <si>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</si>
  <si>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</si>
  <si>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</si>
  <si>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</si>
  <si>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</si>
  <si>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</si>
  <si>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</si>
  <si>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</si>
  <si>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</si>
  <si>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</si>
  <si>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</si>
  <si>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</si>
  <si>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</si>
  <si>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</si>
  <si>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</si>
  <si>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</si>
  <si>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</si>
  <si>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</si>
  <si>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</si>
  <si>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</si>
  <si>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</si>
  <si>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</si>
  <si>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</si>
  <si>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</si>
  <si>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</si>
  <si>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</si>
  <si>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</si>
  <si>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</si>
  <si>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</si>
  <si>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</si>
  <si>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</si>
  <si>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</si>
  <si>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</si>
  <si>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</si>
  <si>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</si>
  <si>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</si>
  <si>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</si>
  <si>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</si>
  <si>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</si>
  <si>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</si>
  <si>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</si>
  <si>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</si>
  <si>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</si>
  <si>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</si>
  <si>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</si>
  <si>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</si>
  <si>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</si>
  <si>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</si>
  <si>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</si>
  <si>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</si>
  <si>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</si>
  <si>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</si>
  <si>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</si>
  <si>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</si>
  <si>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</si>
  <si>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</si>
  <si>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</si>
  <si>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</si>
  <si>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</si>
  <si>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</si>
  <si>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</si>
  <si>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</si>
  <si>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</si>
  <si>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</si>
  <si>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</si>
  <si>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</si>
  <si>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</si>
  <si>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</si>
  <si>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</si>
  <si>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</si>
  <si>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</si>
  <si>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</si>
  <si>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</si>
  <si>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</si>
  <si>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</si>
  <si>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</si>
  <si>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</si>
  <si>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</si>
  <si>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</si>
  <si>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</si>
  <si>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</si>
  <si>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</si>
  <si>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</si>
  <si>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</si>
  <si>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</si>
  <si>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</si>
  <si>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</si>
  <si>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</si>
  <si>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</si>
  <si>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</si>
  <si>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</si>
  <si>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</si>
  <si>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</si>
  <si>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</si>
  <si>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</si>
  <si>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</si>
  <si>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</si>
  <si>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</si>
  <si>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</si>
  <si>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</si>
  <si>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</si>
  <si>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</si>
  <si>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</si>
  <si>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</si>
  <si>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</si>
  <si>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</si>
  <si>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</si>
  <si>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</si>
  <si>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</si>
  <si>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</si>
  <si>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</si>
  <si>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</si>
  <si>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</si>
  <si>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</si>
  <si>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</si>
  <si>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</si>
  <si>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</si>
  <si>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</si>
  <si>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</si>
  <si>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</si>
  <si>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</si>
  <si>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</si>
  <si>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</si>
  <si>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</si>
  <si>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</si>
  <si>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</si>
  <si>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</si>
  <si>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</si>
  <si>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</si>
  <si>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</si>
  <si>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</si>
  <si>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</si>
  <si>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</si>
  <si>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</si>
  <si>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</si>
  <si>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</si>
  <si>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</si>
  <si>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</si>
  <si>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</si>
  <si>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</si>
  <si>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</si>
  <si>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</si>
  <si>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</si>
  <si>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</si>
  <si>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</si>
  <si>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</si>
  <si>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</si>
  <si>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</si>
  <si>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</si>
  <si>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</si>
  <si>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</si>
  <si>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</si>
  <si>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</si>
  <si>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</si>
  <si>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</si>
  <si>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</si>
  <si>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</si>
  <si>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</si>
  <si>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</si>
  <si>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</si>
  <si>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</si>
  <si>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</si>
  <si>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</si>
  <si>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</si>
  <si>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</si>
  <si>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</si>
  <si>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</si>
  <si>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</si>
  <si>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</si>
  <si>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</si>
  <si>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</si>
  <si>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</si>
  <si>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</si>
  <si>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</si>
  <si>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</si>
  <si>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</si>
  <si>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</si>
  <si>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</si>
  <si>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</si>
  <si>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</si>
  <si>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</si>
  <si>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</si>
  <si>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</si>
  <si>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</si>
  <si>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</si>
  <si>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</si>
  <si>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</si>
  <si>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</si>
  <si>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</si>
  <si>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</si>
  <si>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</si>
  <si>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</si>
  <si>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</si>
  <si>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</si>
  <si>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</si>
  <si>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</si>
  <si>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</si>
  <si>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</si>
  <si>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</si>
  <si>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</si>
  <si>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</si>
  <si>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</si>
  <si>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</si>
  <si>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</si>
  <si>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</si>
  <si>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</si>
  <si>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</si>
  <si>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</si>
  <si>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</si>
  <si>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</si>
  <si>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</si>
  <si>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</si>
  <si>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</si>
  <si>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</si>
  <si>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</si>
  <si>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</si>
  <si>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</si>
  <si>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</si>
  <si>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</si>
  <si>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</si>
  <si>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</si>
  <si>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</si>
  <si>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</si>
  <si>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</si>
  <si>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</si>
  <si>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</si>
  <si>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</si>
  <si>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</si>
  <si>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</si>
  <si>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</si>
  <si>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</si>
  <si>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</si>
  <si>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</si>
  <si>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</si>
  <si>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</si>
  <si>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</si>
  <si>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</si>
  <si>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</si>
  <si>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</si>
  <si>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</si>
  <si>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</si>
  <si>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</si>
  <si>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</si>
  <si>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</si>
  <si>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</si>
  <si>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</si>
  <si>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</si>
  <si>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</si>
  <si>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</si>
  <si>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</si>
  <si>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</si>
  <si>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</si>
  <si>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</si>
  <si>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</si>
  <si>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</si>
  <si>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</si>
  <si>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</si>
  <si>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</si>
  <si>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</si>
  <si>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</si>
  <si>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</si>
  <si>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</si>
  <si>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</si>
  <si>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</si>
  <si>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</si>
  <si>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</si>
  <si>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</si>
  <si>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</si>
  <si>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</si>
  <si>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</si>
  <si>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</si>
  <si>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</si>
  <si>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</si>
  <si>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</si>
  <si>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</si>
  <si>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</si>
  <si>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</si>
  <si>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</si>
  <si>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</si>
  <si>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</si>
  <si>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</si>
  <si>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</si>
  <si>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</si>
  <si>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</si>
  <si>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</si>
  <si>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</si>
  <si>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</si>
  <si>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</si>
  <si>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</si>
  <si>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</si>
  <si>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</si>
  <si>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</si>
  <si>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</si>
  <si>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</si>
  <si>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</si>
  <si>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</si>
  <si>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</si>
  <si>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</si>
  <si>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</si>
  <si>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</si>
  <si>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</si>
  <si>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</si>
  <si>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</si>
  <si>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</si>
  <si>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</si>
  <si>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</si>
  <si>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</si>
  <si>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</si>
  <si>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</si>
  <si>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</si>
  <si>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</si>
  <si>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</si>
  <si>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</si>
  <si>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</si>
  <si>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</si>
  <si>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</si>
  <si>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</si>
  <si>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</si>
  <si>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</si>
  <si>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</si>
  <si>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</si>
  <si>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</si>
  <si>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</si>
  <si>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</si>
  <si>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</si>
  <si>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</si>
  <si>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</si>
  <si>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</si>
  <si>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</si>
  <si>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</si>
  <si>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</si>
  <si>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</si>
  <si>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</si>
  <si>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</si>
  <si>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</si>
  <si>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</si>
  <si>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</si>
  <si>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</si>
  <si>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</si>
  <si>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</si>
  <si>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</si>
  <si>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</si>
  <si>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</si>
  <si>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</si>
  <si>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</si>
  <si>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</si>
  <si>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</si>
  <si>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</si>
  <si>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</si>
  <si>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</si>
  <si>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</si>
  <si>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</si>
  <si>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</si>
  <si>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</si>
  <si>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</si>
  <si>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</si>
  <si>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</si>
  <si>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</si>
  <si>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</si>
  <si>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</si>
  <si>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</si>
  <si>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</si>
  <si>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</si>
  <si>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</si>
  <si>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</si>
  <si>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</si>
  <si>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</si>
  <si>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</si>
  <si>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</si>
  <si>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</si>
  <si>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</si>
  <si>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</si>
  <si>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</si>
  <si>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</si>
  <si>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</si>
  <si>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</si>
  <si>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</si>
  <si>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</si>
  <si>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</si>
  <si>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</si>
  <si>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</si>
  <si>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</si>
  <si>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</si>
  <si>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</si>
  <si>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</si>
  <si>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</si>
  <si>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</si>
  <si>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</si>
  <si>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</si>
  <si>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</si>
  <si>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</si>
  <si>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</si>
  <si>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</si>
  <si>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</si>
  <si>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</si>
  <si>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</si>
  <si>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</si>
  <si>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</si>
  <si>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</si>
  <si>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</si>
  <si>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</si>
  <si>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</si>
  <si>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</si>
  <si>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</si>
  <si>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</si>
  <si>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</si>
  <si>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</si>
  <si>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</si>
  <si>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</si>
  <si>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</si>
  <si>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</si>
  <si>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</si>
  <si>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</si>
  <si>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</si>
  <si>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</si>
  <si>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</si>
  <si>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</si>
  <si>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</si>
  <si>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</si>
  <si>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</si>
  <si>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</si>
  <si>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</si>
  <si>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</si>
  <si>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</si>
  <si>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</si>
  <si>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</si>
  <si>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</si>
  <si>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</si>
  <si>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</si>
  <si>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</si>
  <si>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</si>
  <si>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</si>
  <si>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</si>
  <si>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</si>
  <si>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</si>
  <si>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</si>
  <si>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</si>
  <si>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</si>
  <si>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</si>
  <si>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</si>
  <si>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</si>
  <si>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</si>
  <si>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</si>
  <si>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</si>
  <si>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</si>
  <si>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</si>
  <si>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</si>
  <si>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</si>
  <si>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</si>
  <si>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</si>
  <si>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</si>
  <si>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</si>
  <si>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</si>
  <si>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</si>
  <si>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</si>
  <si>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</si>
  <si>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</si>
  <si>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</si>
  <si>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</si>
  <si>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</si>
  <si>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</si>
  <si>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</si>
  <si>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</si>
  <si>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</si>
  <si>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</si>
  <si>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</si>
  <si>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</si>
  <si>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</si>
  <si>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</si>
  <si>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</si>
  <si>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</si>
  <si>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</si>
  <si>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</si>
  <si>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</si>
  <si>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</si>
  <si>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</si>
  <si>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</si>
  <si>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</si>
  <si>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</si>
  <si>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</si>
  <si>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</si>
  <si>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</si>
  <si>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</si>
  <si>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</si>
  <si>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</si>
  <si>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</si>
  <si>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</si>
  <si>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</si>
  <si>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</si>
  <si>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</si>
  <si>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</si>
  <si>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</si>
  <si>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</si>
  <si>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</si>
  <si>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</si>
  <si>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</si>
  <si>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</si>
  <si>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</si>
  <si>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</si>
  <si>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어스앤에어로스페이스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</si>
  <si>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</si>
  <si>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</si>
  <si>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</si>
  <si>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</si>
  <si>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</si>
  <si>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</si>
  <si>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</si>
  <si>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</si>
  <si>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</si>
  <si>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</si>
  <si>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</si>
  <si>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</si>
  <si>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</si>
  <si>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</si>
  <si>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</si>
  <si>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</si>
  <si>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</si>
  <si>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</si>
  <si>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</si>
  <si>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</si>
  <si>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</si>
  <si>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</si>
  <si>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</si>
  <si>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</si>
  <si>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</si>
  <si>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</si>
  <si>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</si>
  <si>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</si>
  <si>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</si>
  <si>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</si>
  <si>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</si>
  <si>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</si>
  <si>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</si>
  <si>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</si>
  <si>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</si>
  <si>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</si>
  <si>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</si>
  <si>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</si>
  <si>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</si>
  <si>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</si>
  <si>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</si>
  <si>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</si>
  <si>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</si>
  <si>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</si>
  <si>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</si>
  <si>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</si>
  <si>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</si>
  <si>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</si>
  <si>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</si>
  <si>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</si>
  <si>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</si>
  <si>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</si>
  <si>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</si>
  <si>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</si>
  <si>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</si>
  <si>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</si>
  <si>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</si>
  <si>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</si>
  <si>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</si>
  <si>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</si>
  <si>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</si>
  <si>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</si>
  <si>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</si>
  <si>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</si>
  <si>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</si>
  <si>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</si>
  <si>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</si>
  <si>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</si>
  <si>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</si>
  <si>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</si>
  <si>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</si>
  <si>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</si>
  <si>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</si>
  <si>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</si>
  <si>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</si>
  <si>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</si>
  <si>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</si>
  <si>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</si>
  <si>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</si>
  <si>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</si>
  <si>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</si>
  <si>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</si>
  <si>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</si>
  <si>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</si>
  <si>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</si>
  <si>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</si>
  <si>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</si>
  <si>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</si>
  <si>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</si>
  <si>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</si>
  <si>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</si>
  <si>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</si>
  <si>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</si>
  <si>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</si>
  <si>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</si>
  <si>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</si>
  <si>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</si>
  <si>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</si>
  <si>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</si>
  <si>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</si>
  <si>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</si>
  <si>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</si>
  <si>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</si>
  <si>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</si>
  <si>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</si>
  <si>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</si>
  <si>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</si>
  <si>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</si>
  <si>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</si>
  <si>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</si>
  <si>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</si>
  <si>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</si>
  <si>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</si>
  <si>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</si>
  <si>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</si>
  <si>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</si>
  <si>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</si>
  <si>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</si>
  <si>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</si>
  <si>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</si>
  <si>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</si>
  <si>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</si>
  <si>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</si>
  <si>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</si>
  <si>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</si>
  <si>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</si>
  <si>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</si>
  <si>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</si>
  <si>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</si>
  <si>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</si>
  <si>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</si>
  <si>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</si>
  <si>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</si>
  <si>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</si>
  <si>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</si>
  <si>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</si>
  <si>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</si>
  <si>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</si>
  <si>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</si>
  <si>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</si>
  <si>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</si>
  <si>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</si>
  <si>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</si>
  <si>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</si>
  <si>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</si>
  <si>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</si>
  <si>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</si>
  <si>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</si>
  <si>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</si>
  <si>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</si>
  <si>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</si>
  <si>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</si>
  <si>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</si>
  <si>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</si>
  <si>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</si>
  <si>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</si>
  <si>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</si>
  <si>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</si>
  <si>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</si>
  <si>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</si>
  <si>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</si>
  <si>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</si>
  <si>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</si>
  <si>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</si>
  <si>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</si>
  <si>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</si>
  <si>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</si>
  <si>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</si>
  <si>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</si>
  <si>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</si>
  <si>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</si>
  <si>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</si>
  <si>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</si>
  <si>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</si>
  <si>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</si>
  <si>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</si>
  <si>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</si>
  <si>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</si>
  <si>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</si>
  <si>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</si>
  <si>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</si>
  <si>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</si>
  <si>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</si>
  <si>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</si>
  <si>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</si>
  <si>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</si>
  <si>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</si>
  <si>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</si>
  <si>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</si>
  <si>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</si>
  <si>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</si>
  <si>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</si>
  <si>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</si>
  <si>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</si>
  <si>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</si>
  <si>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</si>
  <si>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</si>
  <si>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</si>
  <si>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</si>
  <si>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</si>
  <si>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</si>
  <si>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</si>
  <si>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</si>
  <si>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</si>
  <si>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</si>
  <si>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</si>
  <si>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</si>
  <si>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</si>
  <si>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</si>
  <si>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</si>
  <si>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</si>
  <si>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</si>
  <si>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</si>
  <si>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</si>
  <si>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</si>
  <si>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</si>
  <si>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</si>
  <si>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</si>
  <si>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</si>
  <si>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</si>
  <si>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</si>
  <si>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</si>
  <si>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</si>
  <si>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</si>
  <si>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</si>
  <si>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</si>
  <si>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</si>
  <si>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</si>
  <si>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</si>
  <si>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</si>
  <si>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</si>
  <si>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</si>
  <si>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</si>
  <si>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</si>
  <si>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</si>
  <si>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</si>
  <si>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</si>
  <si>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</si>
  <si>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</si>
  <si>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</si>
  <si>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</si>
  <si>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</si>
  <si>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</si>
  <si>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</si>
  <si>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</si>
  <si>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</si>
  <si>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</si>
  <si>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</si>
  <si>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</si>
  <si>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</si>
  <si>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</si>
  <si>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</si>
  <si>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</si>
  <si>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</si>
  <si>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</si>
  <si>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</si>
  <si>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</si>
  <si>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</si>
  <si>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</si>
  <si>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</si>
  <si>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</si>
  <si>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</si>
  <si>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</si>
  <si>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</si>
  <si>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</si>
  <si>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</si>
  <si>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</si>
  <si>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</si>
  <si>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</si>
  <si>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</si>
  <si>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</si>
  <si>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</si>
  <si>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</si>
  <si>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</si>
  <si>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</si>
  <si>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</si>
  <si>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</si>
  <si>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</si>
  <si>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</si>
  <si>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</si>
  <si>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</si>
  <si>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</si>
  <si>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</si>
  <si>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</si>
  <si>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</si>
  <si>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</si>
  <si>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</si>
  <si>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</si>
  <si>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</si>
  <si>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</si>
  <si>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</si>
  <si>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</si>
  <si>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</si>
  <si>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</si>
  <si>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</si>
  <si>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</si>
  <si>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</si>
  <si>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</si>
  <si>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</si>
  <si>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</si>
  <si>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</si>
  <si>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</si>
  <si>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</si>
  <si>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</si>
  <si>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</si>
  <si>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</si>
  <si>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</si>
  <si>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</si>
  <si>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</si>
  <si>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</si>
  <si>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</si>
  <si>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</si>
  <si>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</si>
  <si>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</si>
  <si>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</si>
  <si>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</si>
  <si>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</si>
  <si>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</si>
  <si>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</si>
  <si>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</si>
  <si>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</si>
  <si>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</si>
  <si>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</si>
  <si>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</si>
  <si>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</si>
  <si>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</si>
  <si>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</si>
  <si>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</si>
  <si>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</si>
  <si>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</si>
  <si>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</si>
  <si>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</si>
  <si>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</si>
  <si>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</si>
  <si>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</si>
  <si>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</si>
  <si>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</si>
  <si>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</si>
  <si>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</si>
  <si>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</si>
  <si>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</si>
  <si>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</si>
  <si>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</si>
  <si>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</si>
  <si>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</si>
  <si>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</si>
  <si>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</si>
  <si>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</si>
  <si>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</si>
  <si>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</si>
  <si>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</si>
  <si>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</si>
  <si>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</si>
  <si>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</si>
  <si>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</si>
  <si>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</si>
  <si>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</si>
  <si>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</si>
  <si>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</si>
  <si>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</si>
  <si>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</si>
  <si>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</si>
  <si>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</si>
  <si>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</si>
  <si>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</si>
  <si>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</si>
  <si>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</si>
  <si>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</si>
  <si>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</si>
  <si>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</si>
  <si>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</si>
  <si>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</si>
  <si>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</si>
  <si>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</si>
  <si>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</si>
  <si>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</si>
  <si>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</si>
  <si>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</si>
  <si>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</si>
  <si>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</si>
  <si>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</si>
  <si>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</si>
  <si>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</si>
  <si>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</si>
  <si>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</si>
  <si>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</si>
  <si>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</si>
  <si>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</si>
  <si>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</si>
  <si>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</si>
  <si>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</si>
  <si>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</si>
  <si>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</si>
  <si>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</si>
  <si>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</si>
  <si>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</si>
  <si>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</si>
  <si>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</si>
  <si>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</si>
  <si>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</si>
  <si>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</si>
  <si>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</si>
  <si>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</si>
  <si>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</si>
  <si>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</si>
  <si>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</si>
  <si>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</si>
  <si>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</si>
  <si>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</si>
  <si>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</si>
  <si>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</si>
  <si>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</si>
  <si>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</si>
  <si>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</si>
  <si>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</si>
  <si>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</si>
  <si>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</si>
  <si>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</si>
  <si>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</si>
  <si>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</si>
  <si>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</si>
  <si>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</si>
  <si>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</si>
  <si>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</si>
  <si>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</si>
  <si>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</si>
  <si>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</si>
  <si>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</si>
  <si>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</si>
  <si>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</si>
  <si>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</si>
  <si>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</si>
  <si>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</si>
  <si>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</si>
  <si>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</si>
  <si>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</si>
  <si>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</si>
  <si>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</si>
  <si>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</si>
  <si>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</si>
  <si>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</si>
  <si>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</si>
  <si>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</si>
  <si>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</si>
  <si>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</si>
  <si>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</si>
  <si>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</si>
  <si>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</si>
  <si>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</si>
  <si>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</si>
  <si>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</si>
  <si>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</si>
  <si>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</si>
  <si>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</si>
  <si>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</si>
  <si>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</si>
  <si>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</si>
  <si>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</si>
  <si>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</si>
  <si>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</si>
  <si>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</si>
  <si>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</si>
  <si>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</si>
  <si>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</si>
  <si>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</si>
  <si>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</si>
  <si>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</si>
  <si>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</si>
  <si>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</si>
  <si>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</si>
  <si>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</si>
  <si>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</si>
  <si>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</si>
  <si>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</si>
  <si>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</si>
  <si>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</si>
  <si>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</si>
  <si>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</si>
  <si>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</si>
  <si>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</si>
  <si>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</si>
  <si>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</si>
  <si>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</si>
  <si>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</si>
  <si>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</si>
  <si>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</si>
  <si>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</si>
  <si>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</si>
  <si>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</si>
  <si>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</si>
  <si>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</si>
  <si>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</si>
  <si>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</si>
  <si>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</si>
  <si>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</si>
  <si>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</si>
  <si>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</si>
  <si>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</si>
  <si>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</si>
  <si>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</si>
  <si>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</si>
  <si>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</si>
  <si>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</si>
  <si>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</si>
  <si>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</si>
  <si>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</si>
  <si>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</si>
  <si>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</si>
  <si>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</si>
  <si>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</si>
  <si>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</si>
  <si>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</si>
  <si>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</si>
  <si>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</si>
  <si>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</si>
  <si>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</si>
  <si>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</si>
  <si>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</si>
  <si>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</si>
  <si>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</si>
  <si>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</si>
  <si>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</si>
  <si>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</si>
  <si>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</si>
  <si>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</si>
  <si>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</si>
  <si>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</si>
  <si>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</si>
  <si>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</si>
  <si>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</si>
  <si>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</si>
  <si>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</si>
  <si>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</si>
  <si>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</si>
  <si>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</si>
  <si>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</si>
  <si>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</si>
  <si>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</si>
  <si>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</si>
  <si>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</si>
  <si>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</si>
  <si>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</si>
  <si>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</si>
  <si>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</si>
  <si>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</si>
  <si>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</si>
  <si>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</si>
  <si>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</si>
  <si>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</si>
  <si>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</si>
  <si>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</si>
  <si>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</si>
  <si>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</si>
  <si>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</si>
  <si>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</si>
  <si>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</si>
  <si>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</si>
  <si>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</si>
  <si>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</si>
  <si>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</si>
  <si>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</si>
  <si>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</si>
  <si>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</si>
  <si>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</si>
  <si>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</si>
  <si>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</si>
  <si>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</si>
  <si>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</si>
  <si>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</si>
  <si>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</si>
  <si>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</si>
  <si>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</si>
  <si>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</si>
  <si>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</si>
  <si>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</si>
  <si>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</si>
  <si>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</si>
  <si>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</si>
  <si>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</si>
  <si>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</si>
  <si>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</si>
  <si>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</si>
  <si>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</si>
  <si>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</si>
  <si>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</si>
  <si>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</si>
  <si>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</si>
  <si>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</si>
  <si>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</si>
  <si>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</si>
  <si>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</si>
  <si>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</si>
  <si>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</si>
  <si>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</si>
  <si>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</si>
  <si>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</si>
  <si>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</si>
  <si>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</si>
  <si>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</si>
  <si>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</si>
  <si>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</si>
  <si>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</si>
  <si>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</si>
  <si>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</si>
  <si>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</si>
  <si>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</si>
  <si>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</si>
  <si>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</si>
  <si>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</si>
  <si>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</si>
  <si>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</si>
  <si>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</si>
  <si>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</si>
  <si>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</si>
  <si>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</si>
  <si>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</si>
  <si>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</si>
  <si>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</si>
  <si>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</si>
  <si>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</si>
  <si>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</si>
  <si>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</si>
  <si>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</si>
  <si>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</si>
  <si>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</si>
  <si>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</si>
  <si>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</si>
  <si>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</si>
  <si>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</si>
  <si>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</si>
  <si>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</si>
  <si>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</si>
  <si>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</si>
  <si>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</si>
  <si>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</si>
  <si>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</si>
  <si>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</si>
  <si>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</si>
  <si>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</si>
  <si>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</si>
  <si>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</si>
  <si>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</si>
  <si>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</si>
  <si>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</si>
  <si>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</si>
  <si>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</si>
  <si>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</si>
  <si>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</si>
  <si>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</si>
  <si>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</si>
  <si>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</si>
  <si>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</si>
  <si>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</si>
  <si>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</si>
  <si>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</si>
  <si>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</si>
  <si>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</si>
  <si>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</si>
  <si>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</si>
  <si>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</si>
  <si>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</si>
  <si>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</si>
  <si>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</si>
  <si>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</si>
  <si>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</si>
  <si>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</si>
  <si>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</si>
  <si>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</si>
  <si>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</si>
  <si>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</si>
  <si>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</si>
  <si>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</si>
  <si>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</si>
  <si>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</si>
  <si>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</si>
  <si>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</si>
  <si>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</si>
  <si>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</si>
  <si>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</si>
  <si>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</si>
  <si>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</si>
  <si>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</si>
  <si>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</si>
  <si>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</si>
  <si>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</si>
  <si>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</si>
  <si>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</si>
  <si>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</si>
  <si>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</si>
  <si>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</si>
  <si>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</si>
  <si>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</si>
  <si>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</si>
  <si>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</si>
  <si>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</si>
  <si>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</si>
  <si>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</si>
  <si>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</si>
  <si>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</si>
  <si>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</si>
  <si>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</si>
  <si>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</si>
  <si>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</si>
  <si>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</si>
  <si>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</si>
  <si>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</si>
  <si>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</si>
  <si>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</si>
  <si>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</si>
  <si>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</si>
  <si>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</si>
  <si>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</si>
  <si>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</si>
  <si>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</si>
  <si>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</si>
  <si>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</si>
  <si>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</si>
  <si>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</si>
  <si>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</si>
  <si>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</si>
  <si>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</si>
  <si>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</si>
  <si>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</si>
  <si>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</si>
  <si>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</si>
  <si>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</si>
  <si>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</si>
  <si>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</si>
  <si>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</si>
  <si>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</si>
  <si>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</si>
  <si>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</si>
  <si>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</si>
  <si>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</si>
  <si>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</si>
  <si>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</si>
  <si>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</si>
  <si>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</si>
  <si>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</si>
  <si>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</si>
  <si>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</si>
  <si>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</si>
  <si>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</si>
  <si>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</si>
  <si>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</si>
  <si>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</si>
  <si>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</si>
  <si>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</si>
  <si>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</si>
  <si>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</si>
  <si>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</si>
  <si>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</si>
  <si>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</si>
  <si>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</si>
  <si>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</si>
  <si>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</si>
  <si>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</si>
  <si>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</si>
  <si>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</si>
  <si>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</si>
  <si>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</si>
  <si>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</si>
  <si>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</si>
  <si>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</si>
  <si>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</si>
  <si>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</si>
  <si>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</si>
  <si>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</si>
  <si>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</si>
  <si>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</si>
  <si>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</si>
  <si>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</si>
  <si>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</si>
  <si>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</si>
  <si>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</si>
  <si>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</si>
  <si>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</si>
  <si>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</si>
  <si>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</si>
  <si>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</si>
  <si>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</si>
  <si>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</si>
  <si>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</si>
  <si>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</si>
  <si>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</si>
  <si>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</si>
  <si>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</si>
  <si>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</si>
  <si>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</si>
  <si>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</si>
  <si>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</si>
  <si>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</si>
  <si>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</si>
  <si>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</si>
  <si>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</si>
  <si>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</si>
  <si>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</si>
  <si>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</si>
  <si>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</si>
  <si>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</si>
  <si>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</si>
  <si>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</si>
  <si>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</si>
  <si>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</si>
  <si>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</si>
  <si>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</si>
  <si>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</si>
  <si>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</si>
  <si>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</si>
  <si>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</si>
  <si>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</si>
  <si>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</si>
  <si>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</si>
  <si>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</si>
  <si>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</si>
  <si>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</si>
  <si>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</si>
  <si>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</si>
  <si>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</si>
  <si>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</si>
  <si>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</si>
  <si>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</si>
  <si>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</si>
  <si>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</si>
  <si>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</si>
  <si>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</si>
  <si>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</si>
  <si>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</si>
  <si>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</si>
  <si>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</si>
  <si>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</si>
  <si>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</si>
  <si>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</si>
  <si>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</si>
  <si>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</si>
  <si>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</si>
  <si>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</si>
  <si>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</si>
  <si>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</si>
  <si>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</si>
  <si>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</si>
  <si>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</si>
  <si>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</si>
  <si>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</si>
  <si>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</si>
  <si>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</si>
  <si>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</si>
  <si>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</si>
  <si>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</si>
  <si>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</si>
  <si>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</si>
  <si>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</si>
  <si>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</si>
  <si>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</si>
  <si>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</si>
  <si>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</si>
  <si>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</si>
  <si>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</si>
  <si>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</si>
  <si>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</si>
  <si>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</si>
  <si>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</si>
  <si>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</si>
  <si>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</si>
  <si>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</si>
  <si>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</si>
  <si>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</si>
  <si>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</si>
  <si>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</si>
  <si>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</si>
  <si>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</si>
  <si>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</si>
  <si>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</si>
  <si>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</si>
  <si>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</si>
  <si>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</si>
  <si>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</si>
  <si>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</si>
  <si>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</si>
  <si>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</si>
  <si>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</si>
  <si>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</si>
  <si>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</si>
  <si>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</si>
  <si>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</si>
  <si>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</si>
  <si>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</si>
  <si>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</si>
  <si>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</si>
  <si>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</si>
  <si>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</si>
  <si>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</si>
  <si>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</si>
  <si>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</si>
  <si>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</si>
  <si>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</si>
  <si>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</si>
  <si>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</si>
  <si>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</si>
  <si>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</si>
  <si>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</si>
  <si>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</si>
  <si>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</si>
  <si>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</si>
  <si>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</si>
  <si>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</si>
  <si>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</si>
  <si>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</si>
  <si>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</si>
  <si>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</si>
  <si>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</si>
  <si>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</si>
  <si>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</si>
  <si>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</si>
  <si>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</si>
  <si>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</si>
  <si>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</si>
  <si>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</si>
  <si>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</si>
  <si>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</si>
  <si>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</si>
  <si>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</si>
  <si>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</si>
  <si>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</si>
  <si>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</si>
  <si>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</si>
  <si>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</si>
  <si>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</si>
  <si>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</si>
  <si>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</si>
  <si>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</si>
  <si>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</si>
  <si>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</si>
  <si>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</si>
  <si>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</si>
  <si>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</si>
  <si>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</si>
  <si>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</si>
  <si>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</si>
  <si>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</si>
  <si>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</si>
  <si>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</si>
  <si>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</si>
  <si>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</si>
  <si>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</si>
  <si>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</si>
  <si>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</si>
  <si>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</si>
  <si>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</si>
  <si>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</si>
  <si>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</si>
  <si>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</si>
  <si>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</si>
  <si>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</si>
  <si>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</si>
  <si>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</si>
  <si>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</si>
  <si>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</si>
  <si>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</si>
  <si>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</si>
  <si>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</si>
  <si>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</si>
  <si>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</si>
  <si>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</si>
  <si>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</si>
  <si>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</si>
  <si>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</si>
  <si>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</si>
  <si>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</si>
  <si>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</si>
  <si>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</si>
  <si>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</si>
  <si>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</si>
  <si>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</si>
  <si>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</si>
  <si>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</si>
  <si>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</si>
  <si>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</si>
  <si>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</si>
  <si>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</si>
  <si>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</si>
  <si>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</si>
  <si>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</si>
  <si>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</si>
  <si>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</si>
  <si>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</si>
  <si>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</si>
  <si>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</si>
  <si>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</si>
  <si>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</si>
  <si>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</si>
  <si>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</si>
  <si>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</si>
  <si>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</si>
  <si>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</si>
  <si>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</si>
  <si>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</si>
  <si>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</si>
  <si>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</si>
  <si>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</si>
  <si>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</si>
  <si>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</si>
  <si>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</si>
  <si>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</si>
  <si>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</si>
  <si>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</si>
  <si>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</si>
  <si>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</si>
  <si>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</si>
  <si>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</si>
  <si>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</si>
  <si>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</si>
  <si>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</si>
  <si>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</si>
  <si>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</si>
  <si>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</si>
  <si>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</si>
  <si>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</si>
  <si>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</si>
  <si>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</si>
  <si>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</si>
  <si>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</si>
  <si>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</si>
  <si>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</si>
  <si>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</si>
  <si>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</si>
  <si>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</si>
  <si>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</si>
  <si>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</si>
  <si>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</si>
  <si>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</si>
  <si>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</si>
  <si>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</si>
  <si>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</si>
  <si>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</si>
  <si>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</si>
  <si>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</si>
  <si>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</si>
  <si>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</si>
  <si>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</si>
  <si>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</si>
  <si>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</si>
  <si>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</si>
  <si>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</si>
  <si>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</si>
  <si>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</si>
  <si>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</si>
  <si>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</si>
  <si>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</si>
  <si>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</si>
  <si>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</si>
  <si>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</si>
  <si>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</si>
  <si>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</si>
  <si>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</si>
  <si>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</si>
  <si>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</si>
  <si>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</si>
  <si>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</si>
  <si>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</si>
  <si>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</si>
  <si>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</si>
  <si>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</si>
  <si>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</si>
  <si>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</si>
  <si>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</si>
  <si>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</si>
  <si>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</si>
  <si>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</si>
  <si>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</si>
  <si>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</si>
  <si>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</si>
  <si>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</si>
  <si>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</si>
  <si>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</si>
  <si>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</si>
  <si>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</si>
  <si>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</si>
  <si>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</si>
  <si>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</si>
  <si>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</si>
  <si>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</si>
  <si>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</si>
  <si>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</si>
  <si>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</si>
  <si>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</si>
  <si>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</si>
  <si>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</si>
  <si>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</si>
  <si>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</si>
  <si>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</si>
  <si>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</si>
  <si>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</si>
  <si>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</si>
  <si>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</si>
  <si>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</si>
  <si>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</si>
  <si>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</si>
  <si>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</si>
  <si>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</si>
  <si>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</si>
  <si>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</si>
  <si>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</si>
  <si>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</si>
  <si>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</si>
  <si>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</si>
  <si>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</si>
  <si>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</si>
  <si>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</si>
  <si>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</si>
  <si>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</si>
  <si>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</si>
  <si>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</si>
  <si>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</si>
  <si>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</si>
  <si>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</si>
  <si>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</si>
  <si>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</si>
  <si>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</si>
  <si>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</si>
  <si>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</si>
  <si>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</si>
  <si>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</si>
  <si>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</si>
  <si>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</si>
  <si>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</si>
  <si>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</si>
  <si>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</si>
  <si>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</si>
  <si>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</si>
  <si>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</si>
  <si>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</si>
  <si>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</si>
  <si>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</si>
  <si>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</si>
  <si>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</si>
  <si>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</si>
  <si>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</si>
  <si>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</si>
  <si>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</si>
  <si>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</si>
  <si>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</si>
  <si>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</si>
  <si>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</si>
  <si>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</si>
  <si>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</si>
  <si>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</si>
  <si>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</si>
  <si>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</si>
  <si>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</si>
  <si>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</si>
  <si>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</si>
  <si>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</si>
  <si>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</si>
  <si>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</si>
  <si>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</si>
  <si>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</si>
  <si>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</si>
  <si>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</si>
  <si>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</si>
  <si>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</si>
  <si>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</si>
  <si>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</si>
  <si>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</si>
  <si>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</si>
  <si>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</si>
  <si>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</si>
  <si>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</si>
  <si>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</si>
  <si>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</si>
  <si>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</si>
  <si>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</si>
  <si>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</si>
  <si>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</si>
  <si>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</si>
  <si>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</si>
  <si>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</si>
  <si>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</si>
  <si>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</si>
  <si>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</si>
  <si>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</si>
  <si>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</si>
  <si>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</si>
  <si>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</si>
  <si>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</si>
  <si>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</si>
  <si>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</si>
  <si>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</si>
  <si>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</si>
  <si>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</si>
  <si>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</si>
  <si>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</si>
  <si>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</si>
  <si>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</si>
  <si>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</si>
  <si>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</si>
  <si>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</si>
  <si>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</si>
  <si>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</si>
  <si>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</si>
  <si>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</si>
  <si>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</si>
  <si>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</si>
  <si>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</si>
  <si>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</si>
  <si>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</si>
  <si>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</si>
  <si>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</si>
  <si>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</si>
  <si>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</si>
  <si>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</si>
  <si>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</si>
  <si>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</si>
  <si>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</si>
  <si>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</si>
  <si>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</si>
  <si>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</si>
  <si>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</si>
  <si>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</si>
  <si>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</si>
  <si>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</si>
  <si>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</si>
  <si>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</si>
  <si>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</si>
  <si>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</si>
  <si>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</si>
  <si>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</si>
  <si>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</si>
  <si>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</si>
  <si>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</si>
  <si>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</si>
  <si>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</si>
  <si>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</si>
  <si>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</si>
  <si>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</si>
  <si>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</si>
  <si>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</si>
  <si>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</si>
  <si>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</si>
  <si>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</si>
  <si>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</si>
  <si>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</si>
  <si>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</si>
  <si>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</si>
  <si>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</si>
  <si>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</si>
  <si>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</si>
  <si>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</si>
  <si>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</si>
  <si>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</si>
  <si>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</si>
  <si>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</si>
  <si>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</si>
  <si>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</si>
  <si>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</si>
  <si>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</si>
  <si>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</si>
  <si>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</si>
  <si>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</si>
  <si>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</si>
  <si>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</si>
  <si>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</si>
  <si>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</si>
  <si>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</si>
  <si>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</si>
  <si>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</si>
  <si>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</si>
  <si>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</si>
  <si>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</si>
  <si>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</si>
  <si>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</si>
  <si>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</si>
  <si>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</si>
  <si>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</si>
  <si>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</si>
  <si>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</si>
  <si>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</si>
  <si>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</si>
  <si>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</si>
  <si>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</si>
  <si>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</si>
  <si>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</si>
  <si>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</si>
  <si>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</si>
  <si>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</si>
  <si>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</si>
  <si>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</si>
  <si>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</si>
  <si>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</si>
  <si>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</si>
  <si>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</si>
  <si>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</si>
  <si>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</si>
  <si>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</si>
  <si>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</si>
  <si>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</si>
  <si>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</si>
  <si>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</si>
  <si>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</si>
  <si>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</si>
  <si>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</si>
  <si>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</si>
  <si>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</si>
  <si>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</si>
  <si>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</si>
  <si>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</si>
  <si>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</si>
  <si>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</si>
  <si>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</si>
  <si>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</si>
  <si>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</si>
  <si>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</si>
  <si>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</si>
  <si>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</si>
  <si>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</si>
  <si>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</si>
  <si>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</si>
  <si>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</si>
  <si>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</si>
  <si>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</si>
  <si>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</si>
  <si>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</si>
  <si>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</si>
  <si>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</si>
  <si>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</si>
  <si>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</si>
  <si>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</si>
  <si>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</si>
  <si>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</si>
  <si>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</si>
  <si>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</si>
  <si>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</si>
  <si>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</si>
  <si>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</si>
  <si>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</si>
  <si>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</si>
  <si>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</si>
  <si>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</si>
  <si>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</si>
  <si>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</si>
  <si>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</si>
  <si>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</si>
  <si>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</si>
  <si>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</si>
  <si>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</si>
  <si>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</si>
  <si>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</si>
  <si>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</si>
  <si>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</si>
  <si>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</si>
  <si>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</si>
  <si>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</si>
  <si>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</si>
  <si>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</si>
  <si>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</si>
  <si>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</si>
  <si>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</si>
  <si>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</si>
  <si>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</si>
  <si>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</si>
  <si>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</si>
  <si>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</si>
  <si>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</si>
  <si>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</si>
  <si>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</si>
  <si>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</si>
  <si>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</si>
  <si>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</si>
  <si>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</si>
  <si>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</si>
  <si>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</si>
  <si>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</si>
  <si>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</si>
  <si>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</si>
  <si>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</si>
  <si>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</si>
  <si>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</si>
  <si>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</si>
  <si>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</si>
  <si>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</si>
  <si>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</si>
  <si>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</si>
  <si>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</si>
  <si>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</si>
  <si>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</si>
  <si>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</si>
  <si>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</si>
  <si>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</si>
  <si>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</si>
  <si>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</si>
  <si>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</si>
  <si>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</si>
  <si>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</si>
  <si>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</si>
  <si>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</si>
  <si>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</si>
  <si>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</si>
  <si>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</si>
  <si>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</si>
  <si>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</si>
  <si>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</si>
  <si>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</si>
  <si>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</si>
  <si>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</si>
  <si>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</si>
  <si>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</si>
  <si>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</si>
  <si>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</si>
  <si>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</si>
  <si>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</si>
  <si>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</si>
  <si>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</si>
  <si>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</si>
  <si>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</si>
  <si>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</si>
  <si>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</si>
  <si>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</si>
  <si>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</si>
  <si>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</si>
  <si>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</si>
  <si>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</si>
  <si>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</si>
  <si>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</si>
  <si>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</si>
  <si>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</si>
  <si>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</si>
  <si>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</si>
  <si>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</si>
  <si>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</si>
  <si>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</si>
  <si>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</si>
  <si>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</si>
  <si>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</si>
  <si>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</si>
  <si>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</si>
  <si>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</si>
  <si>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</si>
  <si>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</si>
  <si>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</si>
  <si>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</si>
  <si>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</si>
  <si>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</si>
  <si>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</si>
  <si>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</si>
  <si>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</si>
  <si>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</si>
  <si>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</si>
  <si>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</si>
  <si>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</si>
  <si>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</si>
  <si>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</si>
  <si>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</si>
  <si>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</si>
  <si>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</si>
  <si>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</si>
  <si>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</si>
  <si>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</si>
  <si>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</si>
  <si>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</si>
  <si>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</si>
  <si>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</si>
  <si>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</si>
  <si>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</si>
  <si>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</si>
  <si>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</si>
  <si>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</si>
  <si>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</si>
  <si>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</si>
  <si>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</si>
  <si>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</si>
  <si>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</si>
  <si>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</si>
  <si>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</si>
  <si>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</si>
  <si>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</si>
  <si>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</si>
  <si>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</si>
  <si>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</si>
  <si>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</si>
  <si>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</si>
  <si>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</si>
  <si>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</si>
  <si>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</si>
  <si>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</si>
  <si>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</si>
  <si>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</si>
  <si>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</si>
  <si>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</si>
  <si>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</si>
  <si>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</si>
  <si>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</si>
  <si>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</si>
  <si>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</si>
  <si>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</si>
  <si>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</si>
  <si>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</si>
  <si>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</si>
  <si>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</si>
  <si>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</si>
  <si>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</si>
  <si>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</si>
  <si>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</si>
  <si>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</si>
  <si>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</si>
  <si>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</si>
  <si>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</si>
  <si>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</si>
  <si>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</si>
  <si>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</si>
  <si>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</si>
  <si>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</si>
  <si>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</si>
  <si>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</si>
  <si>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</si>
  <si>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</si>
  <si>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</si>
  <si>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</si>
  <si>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</si>
  <si>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</si>
  <si>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</si>
  <si>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</si>
  <si>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</si>
  <si>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</si>
  <si>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</si>
  <si>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</si>
  <si>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</si>
  <si>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</si>
  <si>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</si>
  <si>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</si>
  <si>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</si>
  <si>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</si>
  <si>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</si>
  <si>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</si>
  <si>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</si>
  <si>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</si>
  <si>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</si>
  <si>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</si>
  <si>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</si>
  <si>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</si>
  <si>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</si>
  <si>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</si>
  <si>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</si>
  <si>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</si>
  <si>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</si>
  <si>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</si>
  <si>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</si>
  <si>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</si>
  <si>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</si>
  <si>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</si>
  <si>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</si>
  <si>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</si>
  <si>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</si>
  <si>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</si>
  <si>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</si>
  <si>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</si>
  <si>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</si>
  <si>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</si>
  <si>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</si>
  <si>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</si>
  <si>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</si>
  <si>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</si>
  <si>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</si>
  <si>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</si>
  <si>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</si>
  <si>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</si>
  <si>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</si>
  <si>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</si>
  <si>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</si>
  <si>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</si>
  <si>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</si>
  <si>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</si>
  <si>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</si>
  <si>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</si>
  <si>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</si>
  <si>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</si>
  <si>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</si>
  <si>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</si>
  <si>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</si>
  <si>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</si>
  <si>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</si>
  <si>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</si>
  <si>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</si>
  <si>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</si>
  <si>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</si>
  <si>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</si>
  <si>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</si>
  <si>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</si>
  <si>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</si>
  <si>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</si>
  <si>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</si>
  <si>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</si>
  <si>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</si>
  <si>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</si>
  <si>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</si>
  <si>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</si>
  <si>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</si>
  <si>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</si>
  <si>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</si>
  <si>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</si>
  <si>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</si>
  <si>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</si>
  <si>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</si>
  <si>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</si>
  <si>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</si>
  <si>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</si>
  <si>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</si>
  <si>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</si>
  <si>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</si>
  <si>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</si>
  <si>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</si>
  <si>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</si>
  <si>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</si>
  <si>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</si>
  <si>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</si>
  <si>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</si>
  <si>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</si>
  <si>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</si>
  <si>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</si>
  <si>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</si>
  <si>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</si>
  <si>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</si>
  <si>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</si>
  <si>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</si>
  <si>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</si>
  <si>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</si>
  <si>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</si>
  <si>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</si>
  <si>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</si>
  <si>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</si>
  <si>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</si>
  <si>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</si>
  <si>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</si>
  <si>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</si>
  <si>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</si>
  <si>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</si>
  <si>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</si>
  <si>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</si>
  <si>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</si>
  <si>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</si>
  <si>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</si>
  <si>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</si>
  <si>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</si>
  <si>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</si>
  <si>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</si>
  <si>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</si>
  <si>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</si>
  <si>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</si>
  <si>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</si>
  <si>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</si>
  <si>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</si>
  <si>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</si>
  <si>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</si>
  <si>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</si>
  <si>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</si>
  <si>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</si>
  <si>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</si>
  <si>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</si>
  <si>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</si>
  <si>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</si>
  <si>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</si>
  <si>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</si>
  <si>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</si>
  <si>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</si>
  <si>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</si>
  <si>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</si>
  <si>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</si>
  <si>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</si>
  <si>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</si>
  <si>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</si>
  <si>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</si>
  <si>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</si>
  <si>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</si>
  <si>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</si>
  <si>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</si>
  <si>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</si>
  <si>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</si>
  <si>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</si>
  <si>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</si>
  <si>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</si>
  <si>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</si>
  <si>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</si>
  <si>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</si>
  <si>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</si>
  <si>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</si>
  <si>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</si>
  <si>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</si>
  <si>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</si>
  <si>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</si>
  <si>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</si>
  <si>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</si>
  <si>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</si>
  <si>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</si>
  <si>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</si>
  <si>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</si>
  <si>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</si>
  <si>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</si>
  <si>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</si>
  <si>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</si>
  <si>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</si>
  <si>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</si>
  <si>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</si>
  <si>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</si>
  <si>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</si>
  <si>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</si>
  <si>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</si>
  <si>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</si>
  <si>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</si>
  <si>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</si>
  <si>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</si>
  <si>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</si>
  <si>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</si>
  <si>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</si>
  <si>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</si>
  <si>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</si>
  <si>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</si>
  <si>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</si>
  <si>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</si>
  <si>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</si>
  <si>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</si>
  <si>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</si>
  <si>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</si>
  <si>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</si>
  <si>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</si>
  <si>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</si>
  <si>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</si>
  <si>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</si>
  <si>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</si>
  <si>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</si>
  <si>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</si>
  <si>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</si>
  <si>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</si>
  <si>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</si>
  <si>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</si>
  <si>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</si>
  <si>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</si>
  <si>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</si>
  <si>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</si>
  <si>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</si>
  <si>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</si>
  <si>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</si>
  <si>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</si>
  <si>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</si>
  <si>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</si>
  <si>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</si>
  <si>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</si>
  <si>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</si>
  <si>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</si>
  <si>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</si>
  <si>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</si>
  <si>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</si>
  <si>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</si>
  <si>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</si>
  <si>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</si>
  <si>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</si>
  <si>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</si>
  <si>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</si>
  <si>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</si>
  <si>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</si>
  <si>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</si>
  <si>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</si>
  <si>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</si>
  <si>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</si>
  <si>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</si>
  <si>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</si>
  <si>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</si>
  <si>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</si>
  <si>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</si>
  <si>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</si>
  <si>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</si>
  <si>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</si>
  <si>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</si>
  <si>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</si>
  <si>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</si>
  <si>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</si>
  <si>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</si>
  <si>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</si>
  <si>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</si>
  <si>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</si>
  <si>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</si>
  <si>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</si>
  <si>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</si>
  <si>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</si>
  <si>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</si>
  <si>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</si>
  <si>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</si>
  <si>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</si>
  <si>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</si>
  <si>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</si>
  <si>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</si>
  <si>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</si>
  <si>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</si>
  <si>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</si>
  <si>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</si>
  <si>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</si>
  <si>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</si>
  <si>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</si>
  <si>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</si>
  <si>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</si>
  <si>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</si>
  <si>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</si>
  <si>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</si>
  <si>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</si>
  <si>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</si>
  <si>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</si>
  <si>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</si>
  <si>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</si>
  <si>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</si>
  <si>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</si>
  <si>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</si>
  <si>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</si>
  <si>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</si>
  <si>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</si>
  <si>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</si>
  <si>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</si>
  <si>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</si>
  <si>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</si>
  <si>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</si>
  <si>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</si>
  <si>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</si>
  <si>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</si>
  <si>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</si>
  <si>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</si>
  <si>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</si>
  <si>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</si>
  <si>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</si>
  <si>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</si>
  <si>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</si>
  <si>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</si>
  <si>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</si>
  <si>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</si>
  <si>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</si>
  <si>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</si>
  <si>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</si>
  <si>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</si>
  <si>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</si>
  <si>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</si>
  <si>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</si>
  <si>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</si>
  <si>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</si>
  <si>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</si>
  <si>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</si>
  <si>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</si>
  <si>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</si>
  <si>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</si>
  <si>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</si>
  <si>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</si>
  <si>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</si>
  <si>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</si>
  <si>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</si>
  <si>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</si>
  <si>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</si>
  <si>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</si>
  <si>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</si>
  <si>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</si>
  <si>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</si>
  <si>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</si>
  <si>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</si>
  <si>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</si>
  <si>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</si>
  <si>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</si>
  <si>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</si>
  <si>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</si>
  <si>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</si>
  <si>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</si>
  <si>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</si>
  <si>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</si>
  <si>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</si>
  <si>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</si>
  <si>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티엘아이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</si>
  <si>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</si>
  <si>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</si>
  <si>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</si>
  <si>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</si>
  <si>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</si>
  <si>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</si>
  <si>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</si>
  <si>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</si>
  <si>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</si>
  <si>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</si>
  <si>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</si>
  <si>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</si>
  <si>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</si>
  <si>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</si>
  <si>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</si>
  <si>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</si>
  <si>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</si>
  <si>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</si>
  <si>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</si>
  <si>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</si>
  <si>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</si>
  <si>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</si>
  <si>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</si>
  <si>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</si>
  <si>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</si>
  <si>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</si>
  <si>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</si>
  <si>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</si>
  <si>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</si>
  <si>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</si>
  <si>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</si>
  <si>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</si>
  <si>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</si>
  <si>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</si>
  <si>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</si>
  <si>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</si>
  <si>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</si>
  <si>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</si>
  <si>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</si>
  <si>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</si>
  <si>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</si>
  <si>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</si>
  <si>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</si>
  <si>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</si>
  <si>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</si>
  <si>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</si>
  <si>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</si>
  <si>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</si>
  <si>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</si>
  <si>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</si>
  <si>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</si>
  <si>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</si>
  <si>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</si>
  <si>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</si>
  <si>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</si>
  <si>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</si>
  <si>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</si>
  <si>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</si>
  <si>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</si>
  <si>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</si>
  <si>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</si>
  <si>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</si>
  <si>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</si>
  <si>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</si>
  <si>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</si>
  <si>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</si>
  <si>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</si>
  <si>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</si>
  <si>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</si>
  <si>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</si>
  <si>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</si>
  <si>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</si>
  <si>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</si>
  <si>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</si>
  <si>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</si>
  <si>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</si>
  <si>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</si>
  <si>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</si>
  <si>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</si>
  <si>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</si>
  <si>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</si>
  <si>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</si>
  <si>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</si>
  <si>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</si>
  <si>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</si>
  <si>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</si>
  <si>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</si>
  <si>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</si>
  <si>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</si>
  <si>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</si>
  <si>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</si>
  <si>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</si>
  <si>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</si>
  <si>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</si>
  <si>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</si>
  <si>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</si>
  <si>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</si>
  <si>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</si>
  <si>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</si>
  <si>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</si>
  <si>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</si>
  <si>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</si>
  <si>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</si>
  <si>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</si>
  <si>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</si>
  <si>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</si>
  <si>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</si>
  <si>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</si>
  <si>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</si>
  <si>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</si>
  <si>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</si>
  <si>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</si>
  <si>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</si>
  <si>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</si>
  <si>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</si>
  <si>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</si>
  <si>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</si>
  <si>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</si>
  <si>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</si>
  <si>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</si>
  <si>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</si>
  <si>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</si>
  <si>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</si>
  <si>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</si>
  <si>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</si>
  <si>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</si>
  <si>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</si>
  <si>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</si>
  <si>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</si>
  <si>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</si>
  <si>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</si>
  <si>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</si>
  <si>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</si>
  <si>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</si>
  <si>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</si>
  <si>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</si>
  <si>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</si>
  <si>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</si>
  <si>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</si>
  <si>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</si>
  <si>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</si>
  <si>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</si>
  <si>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</si>
  <si>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</si>
  <si>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</si>
  <si>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</si>
  <si>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</si>
  <si>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</si>
  <si>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</si>
  <si>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</si>
  <si>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</si>
  <si>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</si>
  <si>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</si>
  <si>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</si>
  <si>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</si>
  <si>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</si>
  <si>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</si>
  <si>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</si>
  <si>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</si>
  <si>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</si>
  <si>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</si>
  <si>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</si>
  <si>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</si>
  <si>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</si>
  <si>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</si>
  <si>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</si>
  <si>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</si>
  <si>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</si>
  <si>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</si>
  <si>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</si>
  <si>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</si>
  <si>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</si>
  <si>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</si>
  <si>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</si>
  <si>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</si>
  <si>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</si>
  <si>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</si>
  <si>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</si>
  <si>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</si>
  <si>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</si>
  <si>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</si>
  <si>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</si>
  <si>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</si>
  <si>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</si>
  <si>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</si>
  <si>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</si>
  <si>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</si>
  <si>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</si>
  <si>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</si>
  <si>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</si>
  <si>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</si>
  <si>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</si>
  <si>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</si>
  <si>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</si>
  <si>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</si>
  <si>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</si>
  <si>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</si>
  <si>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</si>
  <si>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</si>
  <si>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</si>
  <si>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</si>
  <si>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</si>
  <si>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</si>
  <si>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</si>
  <si>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</si>
  <si>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</si>
  <si>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</si>
  <si>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</si>
  <si>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</si>
  <si>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</si>
  <si>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</si>
  <si>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</si>
  <si>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</si>
  <si>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</si>
  <si>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</si>
  <si>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</si>
  <si>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</si>
  <si>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</si>
  <si>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</si>
  <si>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</si>
  <si>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</si>
  <si>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</si>
  <si>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</si>
  <si>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</si>
  <si>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</si>
  <si>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</si>
  <si>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</si>
  <si>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</si>
  <si>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</si>
  <si>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</si>
  <si>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</si>
  <si>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</si>
  <si>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</si>
  <si>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</si>
  <si>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</si>
  <si>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</si>
  <si>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</si>
  <si>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</si>
  <si>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</si>
  <si>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</si>
  <si>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</si>
  <si>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</si>
  <si>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</si>
  <si>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</si>
  <si>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</si>
  <si>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</si>
  <si>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</si>
  <si>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</si>
  <si>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</si>
  <si>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</si>
  <si>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</si>
  <si>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</si>
  <si>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</si>
  <si>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</si>
  <si>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</si>
  <si>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</si>
  <si>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</si>
  <si>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</si>
  <si>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</si>
  <si>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</si>
  <si>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</si>
  <si>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</si>
  <si>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</si>
  <si>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</si>
  <si>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</si>
  <si>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</si>
  <si>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</si>
  <si>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</si>
  <si>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</si>
  <si>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</si>
  <si>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</si>
  <si>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</si>
  <si>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</si>
  <si>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</si>
  <si>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</si>
  <si>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</si>
  <si>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</si>
  <si>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</si>
  <si>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</si>
  <si>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</si>
  <si>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</si>
  <si>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</si>
  <si>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</si>
  <si>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</si>
  <si>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</si>
  <si>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</si>
  <si>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</si>
  <si>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</si>
  <si>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</si>
  <si>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</si>
  <si>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</si>
  <si>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</si>
  <si>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</si>
  <si>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</si>
  <si>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</si>
  <si>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</si>
  <si>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</si>
  <si>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</si>
  <si>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</si>
  <si>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</si>
  <si>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</si>
  <si>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</si>
  <si>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</si>
  <si>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</si>
  <si>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</si>
  <si>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</si>
  <si>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</si>
  <si>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</si>
  <si>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</si>
  <si>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</si>
  <si>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</si>
  <si>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</si>
  <si>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</si>
  <si>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</si>
  <si>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</si>
  <si>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</si>
  <si>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</si>
  <si>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</si>
  <si>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</si>
  <si>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</si>
  <si>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</si>
  <si>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</si>
  <si>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</si>
  <si>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</si>
  <si>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</si>
  <si>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</si>
  <si>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</si>
  <si>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</si>
  <si>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</si>
  <si>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</si>
  <si>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</si>
  <si>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</si>
  <si>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</si>
  <si>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</si>
  <si>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</si>
  <si>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</si>
  <si>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</si>
  <si>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</si>
  <si>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</si>
  <si>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</si>
  <si>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</si>
  <si>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</si>
  <si>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</si>
  <si>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</si>
  <si>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</si>
  <si>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</si>
  <si>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</si>
  <si>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</si>
  <si>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</si>
  <si>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</si>
  <si>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</si>
  <si>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</si>
  <si>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</si>
  <si>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</si>
  <si>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</si>
  <si>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</si>
  <si>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</si>
  <si>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</si>
  <si>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</si>
  <si>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</si>
  <si>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</si>
  <si>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</si>
  <si>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</si>
  <si>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</si>
  <si>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</si>
  <si>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</si>
  <si>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</si>
  <si>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</si>
  <si>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</si>
  <si>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</si>
  <si>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</si>
  <si>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</si>
  <si>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</si>
  <si>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</si>
  <si>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</si>
  <si>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</si>
  <si>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</si>
  <si>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</si>
  <si>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</si>
  <si>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</si>
  <si>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</si>
  <si>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</si>
  <si>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</si>
  <si>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</si>
  <si>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</si>
  <si>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</si>
  <si>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</si>
  <si>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</si>
  <si>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</si>
  <si>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</si>
  <si>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</si>
  <si>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</si>
  <si>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</si>
  <si>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</si>
  <si>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</si>
  <si>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</si>
  <si>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</si>
  <si>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</si>
  <si>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</si>
  <si>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</si>
  <si>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</si>
  <si>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</si>
  <si>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</si>
  <si>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</si>
  <si>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</si>
  <si>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</si>
  <si>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</si>
  <si>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</si>
  <si>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</si>
  <si>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</si>
  <si>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</si>
  <si>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</si>
  <si>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</si>
  <si>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</si>
  <si>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</si>
  <si>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</si>
  <si>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</si>
  <si>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</si>
  <si>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</si>
  <si>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</si>
  <si>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</si>
  <si>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</si>
  <si>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</si>
  <si>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</si>
  <si>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</si>
  <si>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</si>
  <si>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</si>
  <si>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</si>
  <si>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</si>
  <si>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</si>
  <si>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</si>
  <si>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</si>
  <si>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</si>
  <si>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</si>
  <si>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</si>
  <si>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</si>
  <si>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</si>
  <si>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</si>
  <si>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</si>
  <si>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</si>
  <si>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</si>
  <si>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</si>
  <si>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</si>
  <si>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</si>
  <si>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</si>
  <si>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</si>
  <si>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</si>
  <si>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</si>
  <si>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</si>
  <si>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</si>
  <si>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</si>
  <si>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</si>
  <si>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</si>
  <si>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</si>
  <si>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</si>
  <si>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</si>
  <si>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</si>
  <si>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</si>
  <si>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</si>
  <si>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</si>
  <si>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</si>
  <si>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</si>
  <si>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</si>
  <si>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</si>
  <si>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</si>
  <si>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</si>
  <si>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</si>
  <si>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</si>
  <si>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</si>
  <si>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</si>
  <si>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</si>
  <si>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</si>
  <si>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</si>
  <si>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</si>
  <si>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</si>
  <si>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</si>
  <si>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</si>
  <si>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</si>
  <si>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</si>
  <si>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</si>
  <si>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</si>
  <si>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</si>
  <si>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</si>
  <si>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</si>
  <si>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</si>
  <si>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</si>
  <si>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</si>
  <si>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</si>
  <si>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</si>
  <si>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</si>
  <si>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</si>
  <si>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</si>
  <si>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</si>
  <si>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</si>
  <si>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</si>
  <si>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</si>
  <si>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</si>
  <si>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</si>
  <si>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</si>
  <si>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</si>
  <si>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</si>
  <si>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</si>
  <si>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</si>
  <si>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</si>
  <si>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</si>
  <si>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</si>
  <si>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</si>
  <si>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</si>
  <si>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</si>
  <si>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</si>
  <si>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</si>
  <si>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</si>
  <si>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</si>
  <si>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</si>
  <si>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</si>
  <si>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</si>
  <si>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</si>
  <si>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</si>
  <si>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</si>
  <si>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</si>
  <si>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</si>
  <si>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</si>
  <si>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</si>
  <si>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</si>
  <si>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</si>
  <si>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</si>
  <si>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</si>
  <si>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</si>
  <si>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</si>
  <si>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</si>
  <si>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</si>
  <si>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</si>
  <si>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</si>
  <si>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</si>
  <si>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</si>
  <si>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</si>
  <si>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</si>
  <si>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</si>
  <si>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</si>
  <si>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</si>
  <si>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</si>
  <si>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</si>
  <si>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</si>
  <si>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</si>
  <si>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</si>
  <si>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</si>
  <si>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</si>
  <si>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</si>
  <si>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</si>
  <si>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</si>
  <si>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</si>
  <si>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</si>
  <si>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</si>
  <si>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</si>
  <si>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</si>
  <si>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</si>
  <si>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</si>
  <si>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</si>
  <si>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</si>
  <si>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</si>
  <si>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</si>
  <si>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</si>
  <si>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</si>
  <si>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</si>
  <si>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</si>
  <si>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</si>
  <si>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</si>
  <si>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</si>
  <si>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</si>
  <si>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</si>
  <si>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</si>
  <si>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</si>
  <si>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</si>
  <si>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</si>
  <si>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</si>
  <si>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</si>
  <si>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</si>
  <si>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</si>
  <si>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</si>
  <si>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</si>
  <si>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</si>
  <si>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</si>
  <si>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</si>
  <si>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</si>
  <si>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</si>
  <si>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</si>
  <si>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</si>
  <si>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</si>
  <si>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</si>
  <si>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</si>
  <si>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</si>
  <si>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</si>
  <si>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</si>
  <si>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</si>
  <si>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</si>
  <si>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</si>
  <si>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</si>
  <si>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</si>
  <si>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</si>
  <si>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</si>
  <si>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</si>
  <si>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</si>
  <si>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</si>
  <si>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</si>
  <si>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</si>
  <si>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</si>
  <si>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</si>
  <si>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</si>
  <si>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</si>
  <si>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</si>
  <si>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</si>
  <si>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</si>
  <si>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</si>
  <si>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</si>
  <si>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</si>
  <si>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</si>
  <si>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</si>
  <si>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</si>
  <si>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</si>
  <si>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</si>
  <si>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</si>
  <si>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</si>
  <si>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</si>
  <si>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</si>
  <si>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</si>
  <si>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</si>
  <si>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</si>
  <si>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</si>
  <si>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</si>
  <si>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</si>
  <si>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</si>
  <si>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</si>
  <si>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</si>
  <si>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</si>
  <si>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</si>
  <si>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</si>
  <si>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</si>
  <si>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</si>
  <si>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</si>
  <si>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</si>
  <si>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</si>
  <si>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</si>
  <si>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</si>
  <si>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</si>
  <si>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</si>
  <si>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</si>
  <si>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</si>
  <si>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</si>
  <si>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</si>
  <si>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</si>
  <si>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</si>
  <si>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</si>
  <si>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</si>
  <si>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</si>
  <si>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</si>
  <si>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</si>
  <si>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</si>
  <si>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</si>
  <si>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</si>
  <si>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</si>
  <si>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</si>
  <si>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</si>
  <si>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</si>
  <si>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</si>
  <si>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</si>
  <si>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</si>
  <si>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</si>
  <si>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</si>
  <si>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</si>
  <si>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</si>
  <si>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</si>
  <si>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</si>
  <si>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</si>
  <si>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</si>
  <si>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</si>
  <si>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</si>
  <si>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</si>
  <si>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</si>
  <si>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</si>
  <si>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</si>
  <si>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</si>
  <si>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</si>
  <si>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</si>
  <si>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</si>
  <si>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</si>
  <si>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</si>
  <si>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</si>
  <si>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</si>
  <si>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</si>
  <si>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</si>
  <si>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</si>
  <si>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</si>
  <si>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</si>
  <si>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</si>
  <si>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</si>
  <si>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</si>
  <si>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</si>
  <si>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</si>
  <si>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</si>
  <si>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</si>
  <si>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</si>
  <si>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</si>
  <si>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</si>
  <si>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</si>
  <si>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</si>
  <si>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</si>
  <si>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</si>
  <si>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</si>
  <si>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</si>
  <si>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</si>
  <si>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</si>
  <si>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</si>
  <si>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</si>
  <si>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</si>
  <si>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</si>
  <si>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</si>
  <si>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</si>
  <si>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</si>
  <si>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</si>
  <si>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</si>
  <si>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</si>
  <si>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</si>
  <si>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</si>
  <si>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</si>
  <si>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</si>
  <si>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</si>
  <si>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</si>
  <si>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</si>
  <si>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</si>
  <si>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</si>
  <si>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</si>
  <si>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</si>
  <si>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</si>
  <si>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</si>
  <si>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</si>
  <si>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</si>
  <si>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</si>
  <si>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</si>
  <si>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</si>
  <si>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</si>
  <si>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</si>
  <si>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</si>
  <si>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</si>
  <si>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</si>
  <si>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</si>
  <si>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</si>
  <si>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</si>
  <si>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</si>
  <si>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</si>
  <si>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</si>
  <si>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</si>
  <si>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</si>
  <si>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</si>
  <si>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</si>
  <si>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</si>
  <si>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</si>
  <si>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</si>
  <si>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</si>
  <si>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</si>
  <si>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</si>
  <si>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</si>
  <si>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</si>
  <si>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</si>
  <si>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</si>
  <si>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</si>
  <si>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</si>
  <si>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</si>
  <si>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</si>
  <si>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</si>
  <si>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</si>
  <si>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</si>
  <si>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</si>
  <si>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</si>
  <si>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</si>
  <si>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</si>
  <si>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</si>
  <si>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</si>
  <si>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</si>
  <si>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</si>
  <si>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</si>
  <si>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</si>
  <si>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</si>
  <si>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</si>
  <si>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</si>
  <si>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</si>
  <si>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</si>
  <si>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</si>
  <si>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</si>
  <si>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</si>
  <si>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</si>
  <si>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</si>
  <si>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</si>
  <si>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</si>
  <si>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</si>
  <si>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</si>
  <si>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</si>
  <si>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</si>
  <si>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</si>
  <si>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</si>
  <si>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</si>
  <si>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</si>
  <si>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</si>
  <si>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</si>
  <si>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</si>
  <si>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</si>
  <si>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</si>
  <si>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</si>
  <si>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</si>
  <si>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</si>
  <si>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</si>
  <si>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</si>
  <si>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</si>
  <si>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</si>
  <si>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</si>
  <si>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</si>
  <si>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</si>
  <si>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</si>
  <si>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</si>
  <si>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</si>
  <si>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</si>
  <si>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</si>
  <si>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</si>
  <si>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</si>
  <si>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</si>
  <si>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</si>
  <si>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</si>
  <si>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</si>
  <si>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</si>
  <si>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</si>
  <si>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</si>
  <si>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</si>
  <si>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</si>
  <si>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</si>
  <si>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</si>
  <si>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</si>
  <si>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</si>
  <si>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</si>
  <si>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</si>
  <si>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</si>
  <si>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</si>
  <si>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</si>
  <si>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</si>
  <si>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</si>
  <si>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</si>
  <si>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</si>
  <si>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</si>
  <si>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</si>
  <si>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</si>
  <si>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</si>
  <si>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</si>
  <si>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</si>
  <si>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</si>
  <si>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</si>
  <si>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</si>
  <si>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</si>
  <si>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</si>
  <si>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</si>
  <si>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</si>
  <si>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</si>
  <si>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</si>
  <si>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</si>
  <si>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</si>
  <si>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</si>
  <si>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</si>
  <si>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</si>
  <si>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</si>
  <si>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</si>
  <si>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</si>
  <si>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</si>
  <si>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</si>
  <si>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</si>
  <si>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</si>
  <si>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</si>
  <si>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</si>
  <si>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</si>
  <si>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</si>
  <si>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</si>
  <si>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</si>
  <si>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</si>
  <si>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</si>
  <si>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</si>
  <si>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</si>
  <si>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</si>
  <si>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</si>
  <si>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</si>
  <si>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</si>
  <si>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</si>
  <si>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</si>
  <si>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</si>
  <si>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</si>
  <si>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</si>
  <si>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</si>
  <si>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</si>
  <si>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</si>
  <si>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</si>
  <si>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</si>
  <si>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</si>
  <si>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</si>
  <si>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</si>
  <si>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</si>
  <si>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</si>
  <si>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</si>
  <si>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</si>
  <si>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</si>
  <si>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</si>
  <si>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</si>
  <si>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</si>
  <si>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</si>
  <si>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</si>
  <si>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</si>
  <si>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</si>
  <si>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</si>
  <si>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</si>
  <si>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</si>
  <si>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</si>
  <si>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</si>
  <si>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</si>
  <si>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</si>
  <si>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</si>
  <si>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</si>
  <si>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</si>
  <si>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</si>
  <si>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</si>
  <si>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</si>
  <si>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</si>
  <si>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</si>
  <si>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</si>
  <si>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</si>
  <si>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</si>
  <si>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</si>
  <si>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</si>
  <si>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</si>
  <si>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</si>
  <si>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</si>
  <si>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</si>
  <si>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</si>
  <si>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</si>
  <si>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</si>
  <si>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</si>
  <si>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</si>
  <si>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</si>
  <si>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</si>
  <si>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</si>
  <si>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</si>
  <si>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</si>
  <si>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</si>
  <si>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</si>
  <si>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</si>
  <si>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</si>
  <si>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</si>
  <si>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</si>
  <si>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</si>
  <si>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</si>
  <si>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</si>
  <si>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</si>
  <si>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</si>
  <si>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</si>
  <si>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</si>
  <si>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</si>
  <si>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</si>
  <si>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</si>
  <si>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</si>
  <si>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</si>
  <si>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</si>
  <si>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</si>
  <si>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</si>
  <si>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</si>
  <si>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</si>
  <si>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</si>
  <si>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</si>
  <si>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</si>
  <si>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</si>
  <si>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</si>
  <si>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</si>
  <si>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</si>
  <si>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</si>
  <si>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</si>
  <si>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</si>
  <si>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</si>
  <si>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</si>
  <si>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</si>
  <si>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</si>
  <si>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</si>
  <si>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</si>
  <si>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</si>
  <si>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</si>
  <si>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</si>
  <si>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</si>
  <si>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</si>
  <si>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</si>
  <si>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</si>
  <si>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</si>
  <si>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</si>
  <si>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</si>
  <si>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</si>
  <si>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</si>
  <si>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</si>
  <si>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</si>
  <si>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</si>
  <si>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</si>
  <si>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</si>
  <si>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</si>
  <si>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</si>
  <si>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</si>
  <si>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</si>
  <si>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</si>
  <si>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</si>
  <si>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</si>
  <si>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</si>
  <si>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</si>
  <si>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</si>
  <si>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</si>
  <si>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</si>
  <si>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</si>
  <si>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</si>
  <si>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</si>
  <si>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</si>
  <si>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</si>
  <si>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</si>
  <si>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</si>
  <si>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</si>
  <si>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</si>
  <si>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</si>
  <si>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</si>
  <si>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</si>
  <si>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</si>
  <si>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</si>
  <si>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</si>
  <si>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</si>
  <si>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</si>
  <si>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</si>
  <si>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</si>
  <si>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</si>
  <si>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</si>
  <si>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</si>
  <si>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</si>
  <si>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</si>
  <si>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</si>
  <si>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</si>
  <si>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</si>
  <si>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</si>
  <si>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</si>
  <si>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</si>
  <si>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</si>
  <si>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</si>
  <si>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</si>
  <si>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</si>
  <si>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</si>
  <si>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</si>
  <si>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</si>
  <si>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</si>
  <si>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</si>
  <si>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</si>
  <si>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</si>
  <si>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</si>
  <si>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</si>
  <si>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</si>
  <si>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</si>
  <si>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</si>
  <si>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</si>
  <si>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</si>
  <si>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</si>
  <si>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</si>
  <si>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</si>
  <si>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</si>
  <si>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</si>
  <si>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</si>
  <si>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</si>
  <si>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</si>
  <si>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</si>
  <si>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</si>
  <si>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</si>
  <si>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</si>
  <si>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</si>
  <si>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</si>
  <si>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</si>
  <si>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</si>
  <si>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</si>
  <si>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</si>
  <si>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</si>
  <si>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</si>
  <si>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</si>
  <si>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</si>
  <si>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</si>
  <si>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</si>
  <si>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</si>
  <si>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</si>
  <si>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</si>
  <si>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</si>
  <si>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</si>
  <si>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</si>
  <si>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</si>
  <si>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</si>
  <si>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</si>
  <si>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</si>
  <si>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</si>
  <si>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</si>
  <si>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</si>
  <si>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</si>
  <si>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</si>
  <si>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</si>
  <si>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</si>
  <si>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</si>
  <si>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</si>
  <si>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</si>
  <si>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</si>
  <si>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</si>
  <si>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</si>
  <si>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</si>
  <si>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</si>
  <si>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</si>
  <si>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</si>
  <si>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</si>
  <si>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</si>
  <si>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</si>
  <si>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</si>
  <si>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</si>
  <si>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</si>
  <si>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</si>
  <si>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</si>
  <si>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</si>
  <si>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</si>
  <si>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</si>
  <si>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</si>
  <si>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</si>
  <si>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</si>
  <si>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</si>
  <si>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</si>
  <si>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</si>
  <si>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</si>
  <si>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</si>
  <si>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</si>
  <si>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</si>
  <si>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</si>
  <si>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</si>
  <si>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</si>
  <si>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</si>
  <si>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</si>
  <si>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</si>
  <si>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</si>
  <si>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</si>
  <si>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</si>
  <si>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</si>
  <si>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</si>
  <si>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</si>
  <si>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</si>
  <si>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</si>
  <si>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</si>
  <si>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</si>
  <si>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</si>
  <si>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</si>
  <si>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</si>
  <si>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</si>
  <si>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</si>
  <si>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</si>
  <si>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</si>
  <si>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</si>
  <si>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</si>
  <si>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</si>
  <si>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</si>
  <si>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</si>
  <si>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</si>
  <si>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</si>
  <si>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</si>
  <si>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</si>
  <si>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</si>
  <si>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</si>
  <si>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</si>
  <si>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</si>
  <si>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</si>
  <si>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</si>
  <si>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</si>
  <si>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</si>
  <si>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</si>
  <si>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</si>
  <si>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</si>
  <si>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</si>
  <si>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</si>
  <si>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</si>
  <si>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</si>
  <si>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</si>
  <si>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</si>
  <si>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</si>
  <si>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</si>
  <si>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</si>
  <si>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</si>
  <si>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</si>
  <si>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</si>
  <si>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</si>
  <si>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</si>
  <si>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</si>
  <si>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</si>
  <si>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</si>
  <si>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</si>
  <si>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</si>
  <si>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</si>
  <si>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</si>
  <si>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</si>
  <si>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</si>
  <si>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</si>
  <si>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</si>
  <si>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</si>
  <si>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</si>
  <si>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</si>
  <si>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</si>
  <si>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</si>
  <si>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</si>
  <si>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</si>
  <si>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</si>
  <si>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</si>
  <si>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</si>
  <si>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</si>
  <si>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</si>
  <si>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</si>
  <si>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</si>
  <si>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</si>
  <si>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</si>
  <si>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</si>
  <si>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</si>
  <si>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</si>
  <si>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</si>
  <si>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</si>
  <si>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</si>
  <si>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</si>
  <si>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</si>
  <si>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</si>
  <si>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</si>
  <si>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</si>
  <si>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</si>
  <si>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</si>
  <si>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</si>
  <si>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</si>
  <si>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</si>
  <si>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</si>
  <si>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</si>
  <si>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</si>
  <si>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</si>
  <si>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</si>
  <si>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</si>
  <si>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</si>
  <si>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</si>
  <si>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</si>
  <si>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</si>
  <si>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</si>
  <si>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</si>
  <si>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</si>
  <si>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</si>
  <si>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</si>
  <si>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</si>
  <si>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</si>
  <si>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</si>
  <si>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</si>
  <si>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</si>
  <si>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</si>
  <si>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</si>
  <si>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</si>
  <si>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</si>
  <si>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</si>
  <si>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</si>
  <si>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</si>
  <si>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</si>
  <si>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</si>
  <si>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</si>
  <si>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</si>
  <si>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</si>
  <si>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</si>
  <si>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</si>
  <si>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</si>
  <si>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</si>
  <si>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</si>
  <si>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</si>
  <si>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</si>
  <si>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</si>
  <si>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</si>
  <si>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</si>
  <si>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</si>
  <si>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</si>
  <si>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</si>
  <si>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</si>
  <si>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</si>
  <si>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</si>
  <si>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</si>
  <si>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</si>
  <si>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</si>
  <si>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</si>
  <si>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</si>
  <si>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</si>
  <si>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</si>
  <si>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</si>
  <si>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</si>
  <si>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</si>
  <si>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</si>
  <si>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</si>
  <si>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</si>
  <si>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</si>
  <si>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</si>
  <si>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</si>
  <si>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</si>
  <si>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</si>
  <si>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</si>
  <si>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</si>
  <si>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</si>
  <si>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</si>
  <si>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</si>
  <si>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</si>
  <si>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</si>
  <si>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</si>
  <si>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</si>
  <si>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</si>
  <si>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</si>
  <si>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</si>
  <si>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</si>
  <si>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</si>
  <si>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</si>
  <si>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</si>
  <si>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</si>
  <si>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</si>
  <si>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</si>
  <si>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</si>
  <si>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</si>
  <si>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</si>
  <si>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</si>
  <si>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</si>
  <si>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</si>
  <si>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</si>
  <si>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</si>
  <si>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</si>
  <si>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</si>
  <si>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</si>
  <si>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</si>
  <si>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</si>
  <si>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</si>
  <si>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</si>
  <si>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</si>
  <si>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</si>
  <si>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</si>
  <si>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</si>
  <si>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</si>
  <si>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</si>
  <si>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</si>
  <si>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</si>
  <si>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</si>
  <si>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</si>
  <si>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</si>
  <si>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</si>
  <si>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</si>
  <si>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</si>
  <si>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</si>
  <si>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</si>
  <si>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</si>
  <si>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</si>
  <si>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</si>
  <si>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</si>
  <si>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</si>
  <si>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</si>
  <si>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</si>
  <si>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</si>
  <si>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</si>
  <si>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</si>
  <si>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</si>
  <si>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</si>
  <si>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</si>
  <si>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</si>
  <si>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</si>
  <si>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</si>
  <si>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</si>
  <si>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</si>
  <si>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</si>
  <si>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</si>
  <si>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</si>
  <si>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</si>
  <si>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</si>
  <si>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</si>
  <si>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</si>
  <si>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</si>
  <si>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</si>
  <si>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</si>
  <si>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</si>
  <si>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</si>
  <si>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</si>
  <si>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</si>
  <si>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</si>
  <si>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</si>
  <si>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</si>
  <si>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</si>
  <si>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</si>
  <si>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</si>
  <si>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</si>
  <si>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</si>
  <si>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</si>
  <si>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</si>
  <si>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</si>
  <si>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</si>
  <si>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</si>
  <si>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</si>
  <si>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</si>
  <si>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</si>
  <si>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</si>
  <si>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</si>
  <si>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</si>
  <si>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</si>
  <si>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</si>
  <si>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</si>
  <si>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</si>
  <si>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</si>
  <si>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</si>
  <si>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</si>
  <si>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</si>
  <si>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</si>
  <si>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</si>
  <si>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</si>
  <si>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</si>
  <si>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</si>
  <si>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</si>
  <si>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</si>
  <si>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</si>
  <si>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</si>
  <si>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</si>
  <si>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</si>
  <si>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</si>
  <si>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</si>
  <si>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</si>
  <si>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</si>
  <si>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</si>
  <si>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</si>
  <si>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</si>
  <si>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</si>
  <si>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</si>
  <si>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</si>
  <si>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</si>
  <si>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</si>
  <si>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</si>
  <si>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</si>
  <si>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</si>
  <si>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</si>
  <si>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</si>
  <si>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</si>
  <si>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</si>
  <si>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</si>
  <si>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</si>
  <si>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</si>
  <si>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</si>
  <si>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</si>
  <si>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</si>
  <si>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</si>
  <si>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</si>
  <si>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</si>
  <si>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</si>
  <si>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</si>
  <si>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</si>
  <si>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</si>
  <si>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</si>
  <si>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</si>
  <si>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</si>
  <si>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</si>
  <si>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</si>
  <si>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</si>
  <si>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</si>
  <si>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</si>
  <si>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</si>
  <si>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</si>
  <si>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</si>
  <si>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</si>
  <si>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</si>
  <si>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</si>
  <si>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</si>
  <si>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</si>
  <si>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</si>
  <si>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</si>
  <si>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</si>
  <si>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</si>
  <si>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</si>
  <si>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</si>
  <si>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</si>
  <si>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</si>
  <si>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</si>
  <si>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</si>
  <si>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</si>
  <si>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</si>
  <si>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</si>
  <si>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</si>
  <si>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</si>
  <si>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</si>
  <si>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</si>
  <si>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</si>
  <si>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</si>
  <si>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</si>
  <si>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</si>
  <si>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</si>
  <si>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</si>
  <si>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</si>
  <si>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</si>
  <si>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</si>
  <si>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</si>
  <si>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</si>
  <si>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</si>
  <si>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</si>
  <si>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</si>
  <si>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</si>
  <si>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</si>
  <si>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</si>
  <si>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</si>
  <si>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</si>
  <si>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</si>
  <si>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</si>
  <si>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</si>
  <si>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</si>
  <si>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</si>
  <si>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</si>
  <si>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</si>
  <si>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</si>
  <si>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</si>
  <si>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</si>
  <si>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</si>
  <si>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</si>
  <si>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</si>
  <si>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</si>
  <si>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</si>
  <si>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</si>
  <si>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</si>
  <si>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</si>
  <si>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</si>
  <si>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</si>
  <si>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</si>
  <si>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</si>
  <si>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</si>
  <si>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</si>
  <si>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</si>
  <si>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</si>
  <si>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</si>
  <si>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</si>
  <si>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</si>
  <si>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</si>
  <si>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</si>
  <si>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</si>
  <si>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</si>
  <si>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</si>
  <si>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</si>
  <si>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</si>
  <si>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</si>
  <si>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</si>
  <si>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</si>
  <si>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</si>
  <si>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</si>
  <si>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</si>
  <si>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</si>
  <si>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</si>
  <si>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</si>
  <si>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</si>
  <si>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</si>
  <si>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</si>
  <si>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</si>
  <si>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</si>
  <si>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</si>
  <si>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</si>
  <si>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</si>
  <si>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</si>
  <si>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</si>
  <si>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</si>
  <si>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</si>
  <si>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</si>
  <si>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</si>
  <si>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</si>
  <si>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</si>
  <si>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</si>
  <si>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</si>
  <si>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</si>
  <si>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</si>
  <si>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</si>
  <si>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</si>
  <si>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</si>
  <si>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</si>
  <si>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</si>
  <si>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</si>
  <si>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</si>
  <si>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</si>
  <si>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</si>
  <si>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</si>
  <si>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</si>
  <si>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</si>
  <si>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</si>
  <si>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</si>
  <si>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</si>
  <si>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</si>
  <si>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</si>
  <si>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</si>
  <si>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</si>
  <si>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</si>
  <si>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</si>
  <si>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</si>
  <si>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</si>
  <si>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</si>
  <si>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</si>
  <si>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</si>
  <si>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</si>
  <si>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</si>
  <si>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</si>
  <si>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</si>
  <si>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</si>
  <si>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</si>
  <si>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</si>
  <si>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</si>
  <si>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</si>
  <si>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</si>
  <si>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</si>
  <si>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</si>
  <si>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</si>
  <si>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</si>
  <si>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</si>
  <si>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</si>
  <si>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</si>
  <si>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</si>
  <si>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</si>
  <si>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</si>
  <si>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</si>
  <si>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</si>
  <si>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</si>
  <si>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</si>
  <si>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</si>
  <si>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</si>
  <si>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</si>
  <si>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</si>
  <si>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</si>
  <si>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</si>
  <si>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</si>
  <si>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</si>
  <si>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</si>
  <si>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</si>
  <si>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</si>
  <si>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</si>
  <si>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</si>
  <si>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</si>
  <si>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</si>
  <si>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</si>
  <si>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</si>
  <si>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</si>
  <si>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</si>
  <si>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</si>
  <si>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</si>
  <si>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</si>
  <si>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</si>
  <si>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</si>
  <si>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</si>
  <si>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</si>
  <si>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</si>
  <si>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</si>
  <si>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</si>
  <si>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</si>
  <si>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</si>
  <si>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</si>
  <si>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</si>
  <si>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</si>
  <si>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</si>
  <si>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</si>
  <si>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</si>
  <si>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</si>
  <si>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</si>
  <si>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</si>
  <si>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</si>
  <si>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</si>
  <si>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</si>
  <si>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</si>
  <si>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</si>
  <si>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</si>
  <si>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</si>
  <si>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</si>
  <si>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</si>
  <si>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</si>
  <si>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</si>
  <si>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</si>
  <si>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</si>
  <si>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</si>
  <si>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</si>
  <si>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</si>
  <si>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</si>
  <si>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</si>
  <si>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</si>
  <si>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</si>
  <si>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</si>
  <si>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</si>
  <si>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</si>
  <si>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</si>
  <si>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</si>
  <si>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</si>
  <si>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</si>
  <si>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</si>
  <si>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</si>
  <si>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</si>
  <si>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</si>
  <si>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</si>
  <si>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</si>
  <si>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</si>
  <si>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</si>
  <si>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</si>
  <si>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</si>
  <si>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</si>
  <si>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</si>
  <si>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</si>
  <si>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</si>
  <si>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</si>
  <si>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</si>
  <si>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</si>
  <si>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</si>
  <si>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</si>
  <si>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</si>
  <si>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</si>
  <si>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</si>
  <si>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</si>
  <si>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</si>
  <si>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</si>
  <si>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</si>
  <si>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</si>
  <si>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</si>
  <si>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</si>
  <si>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</si>
  <si>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</si>
  <si>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</si>
  <si>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</si>
  <si>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</si>
  <si>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</si>
  <si>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</si>
  <si>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</si>
  <si>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</si>
  <si>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</si>
  <si>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</si>
  <si>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</si>
  <si>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</si>
  <si>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</si>
  <si>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</si>
  <si>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</si>
  <si>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</si>
  <si>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</si>
  <si>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</si>
  <si>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</si>
  <si>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</si>
  <si>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</si>
  <si>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</si>
  <si>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</si>
  <si>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</si>
  <si>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</si>
  <si>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</si>
  <si>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</si>
  <si>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</si>
  <si>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</si>
  <si>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</si>
  <si>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</si>
  <si>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</si>
  <si>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</si>
  <si>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</si>
  <si>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</si>
  <si>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</si>
  <si>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</si>
  <si>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</si>
  <si>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</si>
  <si>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</si>
  <si>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</si>
  <si>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</si>
  <si>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</si>
  <si>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</si>
  <si>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</si>
  <si>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</si>
  <si>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</si>
  <si>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</si>
  <si>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</si>
  <si>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</si>
  <si>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</si>
  <si>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</si>
  <si>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</si>
  <si>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</si>
  <si>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</si>
  <si>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</si>
  <si>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</si>
  <si>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</si>
  <si>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</si>
  <si>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</si>
  <si>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</si>
  <si>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</si>
  <si>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</si>
  <si>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</si>
  <si>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</si>
  <si>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</si>
  <si>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</si>
  <si>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</si>
  <si>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</si>
  <si>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</si>
  <si>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</si>
  <si>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</si>
  <si>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</si>
  <si>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</si>
  <si>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</si>
  <si>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</si>
  <si>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</si>
  <si>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</si>
  <si>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</si>
  <si>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</si>
  <si>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</si>
  <si>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</si>
  <si>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</si>
  <si>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</si>
  <si>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</si>
  <si>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</si>
  <si>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</si>
  <si>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</si>
  <si>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</si>
  <si>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</si>
  <si>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</si>
  <si>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</si>
  <si>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</si>
  <si>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</si>
  <si>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</si>
  <si>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</si>
  <si>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</si>
  <si>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</si>
  <si>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</si>
  <si>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</si>
  <si>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</si>
  <si>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</si>
  <si>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</si>
  <si>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</si>
  <si>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</si>
  <si>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</si>
  <si>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</si>
  <si>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</si>
  <si>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</si>
  <si>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</si>
  <si>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</si>
  <si>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</si>
  <si>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</si>
  <si>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</si>
  <si>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</si>
  <si>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</si>
  <si>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</si>
  <si>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</si>
  <si>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</si>
  <si>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</si>
  <si>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</si>
  <si>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</si>
  <si>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</si>
  <si>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</si>
  <si>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</si>
  <si>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</si>
  <si>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</si>
  <si>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</si>
  <si>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</si>
  <si>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</si>
  <si>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</si>
  <si>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</si>
  <si>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</si>
  <si>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</si>
  <si>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</si>
  <si>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</si>
  <si>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</si>
  <si>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</si>
  <si>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</si>
  <si>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</si>
  <si>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</si>
  <si>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</si>
  <si>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</si>
  <si>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</si>
  <si>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</si>
  <si>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</si>
  <si>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</si>
  <si>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</si>
  <si>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</si>
  <si>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</si>
  <si>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</si>
  <si>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</si>
  <si>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</si>
  <si>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</si>
  <si>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</si>
  <si>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</si>
  <si>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</si>
  <si>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</si>
  <si>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</si>
  <si>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</si>
  <si>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</si>
  <si>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</si>
  <si>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</si>
  <si>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</si>
  <si>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</si>
  <si>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</si>
  <si>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</si>
  <si>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</si>
  <si>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</si>
  <si>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</si>
  <si>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</si>
  <si>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</si>
  <si>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</si>
  <si>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</si>
  <si>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</si>
  <si>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</si>
  <si>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</si>
  <si>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</si>
  <si>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</si>
  <si>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</si>
  <si>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</si>
  <si>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</si>
  <si>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</si>
  <si>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</si>
  <si>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</si>
  <si>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</si>
  <si>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</si>
  <si>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</si>
  <si>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</si>
  <si>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</si>
  <si>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</si>
  <si>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</si>
  <si>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</si>
  <si>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</si>
  <si>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</si>
  <si>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</si>
  <si>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</si>
  <si>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</si>
  <si>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</si>
  <si>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</si>
  <si>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</si>
  <si>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</si>
  <si>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</si>
  <si>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</si>
  <si>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</si>
  <si>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</si>
  <si>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</si>
  <si>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</si>
  <si>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</si>
  <si>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</si>
  <si>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</si>
  <si>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</si>
  <si>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</si>
  <si>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</si>
  <si>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</si>
  <si>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</si>
  <si>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</si>
  <si>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</si>
  <si>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</si>
  <si>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</si>
  <si>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</si>
  <si>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</si>
  <si>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</si>
  <si>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</si>
  <si>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</si>
  <si>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</si>
  <si>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</si>
  <si>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</si>
  <si>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</si>
  <si>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</si>
  <si>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</si>
  <si>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</si>
  <si>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</si>
  <si>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</si>
  <si>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</si>
  <si>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</si>
  <si>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</si>
  <si>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</si>
  <si>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</si>
  <si>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</si>
  <si>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</si>
  <si>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</si>
  <si>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</si>
  <si>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</si>
  <si>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</si>
  <si>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</si>
  <si>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</si>
  <si>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</si>
  <si>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</si>
  <si>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</si>
  <si>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</si>
  <si>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</si>
  <si>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</si>
  <si>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</si>
  <si>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</si>
  <si>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</si>
  <si>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</si>
  <si>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</si>
  <si>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</si>
  <si>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</si>
  <si>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</si>
  <si>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</si>
  <si>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</si>
  <si>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</si>
  <si>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</si>
  <si>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</si>
  <si>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</si>
  <si>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</si>
  <si>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</si>
  <si>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</si>
  <si>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</si>
  <si>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</si>
  <si>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</si>
  <si>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</si>
  <si>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</si>
  <si>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</si>
  <si>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</si>
  <si>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</si>
  <si>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</si>
  <si>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</si>
  <si>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</si>
  <si>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</si>
  <si>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</si>
  <si>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</si>
  <si>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</si>
  <si>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</si>
  <si>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</si>
  <si>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</si>
  <si>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</si>
  <si>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</si>
  <si>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</si>
  <si>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</si>
  <si>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</si>
  <si>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</si>
  <si>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</si>
  <si>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</si>
  <si>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</si>
  <si>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</si>
  <si>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</si>
  <si>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</si>
  <si>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</si>
  <si>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</si>
  <si>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</si>
  <si>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</si>
  <si>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</si>
  <si>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</si>
  <si>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</si>
  <si>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</si>
  <si>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</si>
  <si>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</si>
  <si>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</si>
  <si>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</si>
  <si>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</si>
  <si>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</si>
  <si>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</si>
  <si>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</si>
  <si>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</si>
  <si>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</si>
  <si>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</si>
  <si>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</si>
  <si>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</si>
  <si>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</si>
  <si>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</si>
  <si>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</si>
  <si>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</si>
  <si>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</si>
  <si>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</si>
  <si>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</si>
  <si>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</si>
  <si>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</si>
  <si>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</si>
  <si>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</si>
  <si>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</si>
  <si>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</si>
  <si>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</si>
  <si>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</si>
  <si>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</si>
  <si>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</si>
  <si>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</si>
  <si>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</si>
  <si>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</si>
  <si>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</si>
  <si>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</si>
  <si>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</si>
  <si>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</si>
  <si>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</si>
  <si>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</si>
  <si>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</si>
  <si>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</si>
  <si>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</si>
  <si>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</si>
  <si>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</si>
  <si>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</si>
  <si>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</si>
  <si>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</si>
  <si>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</si>
  <si>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</si>
  <si>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</si>
  <si>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</si>
  <si>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</si>
  <si>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</si>
  <si>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</si>
  <si>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</si>
  <si>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</si>
  <si>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</si>
  <si>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</si>
  <si>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</si>
  <si>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</si>
  <si>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</si>
  <si>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</si>
  <si>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</si>
  <si>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</si>
  <si>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</si>
  <si>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</si>
  <si>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</si>
  <si>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</si>
  <si>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</si>
  <si>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</si>
  <si>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</si>
  <si>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</si>
  <si>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</si>
  <si>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</si>
  <si>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</si>
  <si>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</si>
  <si>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</si>
  <si>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</si>
  <si>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</si>
  <si>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</si>
  <si>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</si>
  <si>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</si>
  <si>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</si>
  <si>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</si>
  <si>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</si>
  <si>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</si>
  <si>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</si>
  <si>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</si>
  <si>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</si>
  <si>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</si>
  <si>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</si>
  <si>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</si>
  <si>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</si>
  <si>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</si>
  <si>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</si>
  <si>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</si>
  <si>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</si>
  <si>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</si>
  <si>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</si>
  <si>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</si>
  <si>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</si>
  <si>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</si>
  <si>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</si>
  <si>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</si>
  <si>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</si>
  <si>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</si>
  <si>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</si>
  <si>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</si>
  <si>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</si>
  <si>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</si>
  <si>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</si>
  <si>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</si>
  <si>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</si>
  <si>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</si>
  <si>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</si>
  <si>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</si>
  <si>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</si>
  <si>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</si>
  <si>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</si>
  <si>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</si>
  <si>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</si>
  <si>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</si>
  <si>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</si>
  <si>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</si>
  <si>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</si>
  <si>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</si>
  <si>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</si>
  <si>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</si>
  <si>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</si>
  <si>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</si>
  <si>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</si>
  <si>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</si>
  <si>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</si>
  <si>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</si>
  <si>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</si>
  <si>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</si>
  <si>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</si>
  <si>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</si>
  <si>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</si>
  <si>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</si>
  <si>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</si>
  <si>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</si>
  <si>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</si>
  <si>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</si>
  <si>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</si>
  <si>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</si>
  <si>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</si>
  <si>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</si>
  <si>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</si>
  <si>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</si>
  <si>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</si>
  <si>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</si>
  <si>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</si>
  <si>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</si>
  <si>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</si>
  <si>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</si>
  <si>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</si>
  <si>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</si>
  <si>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</si>
  <si>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</si>
  <si>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</si>
  <si>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</si>
  <si>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</si>
  <si>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</si>
  <si>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</si>
  <si>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</si>
  <si>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</si>
  <si>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</si>
  <si>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</si>
  <si>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</si>
  <si>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</si>
  <si>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</si>
  <si>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</si>
  <si>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</si>
  <si>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</si>
  <si>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</si>
  <si>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</si>
  <si>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</si>
  <si>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</si>
  <si>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</si>
  <si>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</si>
  <si>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</si>
  <si>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</si>
  <si>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</si>
  <si>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</si>
  <si>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</si>
  <si>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</si>
  <si>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</si>
  <si>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</si>
  <si>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</si>
  <si>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</si>
  <si>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</si>
  <si>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</si>
  <si>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</si>
  <si>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</si>
  <si>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</si>
  <si>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</si>
  <si>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</si>
  <si>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</si>
  <si>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</si>
  <si>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</si>
  <si>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</si>
  <si>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</si>
  <si>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</si>
  <si>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</si>
  <si>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</si>
  <si>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</si>
  <si>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</si>
  <si>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</si>
  <si>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</si>
  <si>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</si>
  <si>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</si>
  <si>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</si>
  <si>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</si>
  <si>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</si>
  <si>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</si>
  <si>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</si>
  <si>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</si>
  <si>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</si>
  <si>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</si>
  <si>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</si>
  <si>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</si>
  <si>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</si>
  <si>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</si>
  <si>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</si>
  <si>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</si>
  <si>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</si>
  <si>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</si>
  <si>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</si>
  <si>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</si>
  <si>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</si>
  <si>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</si>
  <si>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</si>
  <si>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</si>
  <si>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</si>
  <si>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</si>
  <si>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</si>
  <si>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</si>
  <si>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</si>
  <si>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</si>
  <si>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</si>
  <si>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</si>
  <si>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</si>
  <si>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</si>
  <si>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</si>
  <si>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</si>
  <si>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</si>
  <si>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</si>
  <si>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</si>
  <si>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</si>
  <si>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</si>
  <si>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</si>
  <si>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</si>
  <si>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</si>
  <si>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</si>
  <si>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</si>
  <si>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</si>
  <si>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</si>
  <si>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</si>
  <si>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</si>
  <si>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</si>
  <si>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</si>
  <si>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</si>
  <si>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</si>
  <si>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</si>
  <si>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</si>
  <si>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</si>
  <si>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</si>
  <si>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</si>
  <si>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</si>
  <si>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</si>
  <si>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</si>
  <si>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</si>
  <si>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</si>
  <si>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</si>
  <si>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</si>
  <si>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</si>
  <si>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</si>
  <si>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</si>
  <si>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</si>
  <si>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</si>
  <si>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</si>
  <si>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</si>
  <si>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</si>
  <si>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</si>
  <si>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</si>
  <si>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</si>
  <si>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</si>
  <si>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</si>
  <si>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</si>
  <si>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</si>
  <si>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</si>
  <si>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</si>
  <si>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</si>
  <si>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</si>
  <si>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</si>
  <si>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</si>
  <si>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</si>
  <si>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</si>
  <si>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</si>
  <si>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</si>
  <si>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</si>
  <si>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</si>
  <si>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</si>
  <si>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</si>
  <si>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</si>
  <si>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</si>
  <si>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</si>
  <si>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</si>
  <si>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</si>
  <si>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</si>
  <si>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</si>
  <si>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</si>
  <si>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</si>
  <si>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</si>
  <si>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</si>
  <si>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</si>
  <si>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</si>
  <si>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</si>
  <si>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</si>
  <si>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</si>
  <si>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</si>
  <si>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</si>
  <si>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</si>
  <si>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</si>
  <si>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</si>
  <si>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</si>
  <si>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</si>
  <si>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</si>
  <si>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</si>
  <si>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</si>
  <si>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</si>
  <si>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</si>
  <si>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</si>
  <si>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</si>
  <si>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</si>
  <si>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</si>
  <si>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</si>
  <si>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</si>
  <si>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</si>
  <si>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</si>
  <si>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</si>
  <si>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</si>
  <si>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</si>
  <si>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</si>
  <si>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</si>
  <si>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</si>
  <si>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</si>
  <si>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</si>
  <si>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</si>
  <si>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</si>
  <si>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</si>
  <si>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</si>
  <si>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</si>
  <si>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</si>
  <si>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</si>
  <si>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</si>
  <si>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</si>
  <si>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</si>
  <si>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</si>
  <si>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</si>
  <si>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</si>
  <si>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</si>
  <si>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</si>
  <si>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</si>
  <si>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</si>
  <si>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</si>
  <si>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</si>
  <si>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</si>
  <si>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</si>
  <si>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</si>
  <si>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</si>
  <si>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</si>
  <si>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</si>
  <si>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</si>
  <si>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</si>
  <si>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</si>
  <si>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</si>
  <si>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</si>
  <si>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</si>
  <si>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</si>
  <si>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</si>
  <si>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</si>
  <si>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</si>
  <si>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</si>
  <si>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</si>
  <si>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</si>
  <si>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</si>
  <si>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</si>
  <si>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</si>
  <si>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</si>
  <si>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</si>
  <si>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</si>
  <si>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</si>
  <si>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</si>
  <si>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</si>
  <si>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</si>
  <si>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</si>
  <si>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</si>
  <si>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</si>
  <si>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</si>
  <si>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</si>
  <si>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</si>
  <si>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</si>
  <si>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</si>
  <si>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</si>
  <si>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</si>
  <si>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</si>
  <si>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</si>
  <si>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</si>
  <si>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</si>
  <si>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</si>
  <si>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</si>
  <si>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</si>
  <si>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</si>
  <si>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</si>
  <si>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</si>
  <si>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</si>
  <si>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</si>
  <si>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</si>
  <si>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</si>
  <si>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</si>
  <si>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</si>
  <si>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</si>
  <si>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</si>
  <si>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</si>
  <si>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</si>
  <si>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</si>
  <si>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</si>
  <si>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</si>
  <si>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</si>
  <si>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</si>
  <si>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</si>
  <si>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</si>
  <si>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</si>
  <si>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</si>
  <si>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</si>
  <si>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</si>
  <si>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</si>
  <si>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</si>
  <si>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</si>
  <si>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</si>
  <si>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</si>
  <si>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</si>
  <si>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</si>
  <si>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</si>
  <si>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</si>
  <si>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</si>
  <si>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</si>
  <si>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</si>
  <si>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</si>
  <si>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</si>
  <si>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</si>
  <si>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</si>
  <si>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</si>
  <si>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</si>
  <si>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</si>
  <si>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</si>
  <si>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</si>
  <si>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</si>
  <si>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</si>
  <si>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</si>
  <si>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</si>
  <si>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</si>
  <si>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</si>
  <si>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</si>
  <si>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</si>
  <si>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</si>
  <si>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</si>
  <si>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</si>
  <si>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</si>
  <si>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</si>
  <si>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</si>
  <si>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</si>
  <si>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</si>
  <si>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</si>
  <si>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</si>
  <si>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</si>
  <si>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</si>
  <si>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</si>
  <si>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</si>
  <si>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</si>
  <si>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</si>
  <si>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</si>
  <si>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</si>
  <si>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</si>
  <si>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</si>
  <si>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</si>
  <si>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</si>
  <si>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</si>
  <si>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</si>
  <si>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</si>
  <si>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</si>
  <si>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</si>
  <si>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</si>
  <si>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</si>
  <si>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</si>
  <si>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</si>
  <si>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</si>
  <si>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</si>
  <si>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</si>
  <si>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</si>
  <si>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</si>
  <si>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</si>
  <si>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</si>
  <si>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</si>
  <si>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</si>
  <si>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</si>
  <si>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</si>
  <si>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</si>
  <si>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</si>
  <si>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</si>
  <si>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</si>
  <si>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</si>
  <si>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</si>
  <si>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</si>
  <si>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</si>
  <si>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</si>
  <si>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</si>
  <si>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</si>
  <si>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</si>
  <si>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</si>
  <si>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</si>
  <si>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</si>
  <si>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</si>
  <si>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</si>
  <si>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</si>
  <si>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</si>
  <si>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</si>
  <si>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</si>
  <si>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</si>
  <si>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</si>
  <si>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</si>
  <si>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</si>
  <si>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</si>
  <si>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</si>
  <si>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</si>
  <si>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</si>
  <si>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</si>
  <si>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</si>
  <si>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</si>
  <si>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</si>
  <si>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</si>
  <si>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</si>
  <si>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</si>
  <si>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</si>
  <si>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</si>
  <si>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</si>
  <si>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</si>
  <si>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</si>
  <si>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</si>
  <si>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</si>
  <si>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</si>
  <si>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</si>
  <si>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</si>
  <si>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</si>
  <si>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</si>
  <si>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</si>
  <si>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</si>
  <si>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</si>
  <si>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</si>
  <si>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</si>
  <si>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</si>
  <si>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</si>
  <si>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</si>
  <si>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</si>
  <si>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</si>
  <si>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</si>
  <si>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</si>
  <si>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</si>
  <si>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</si>
  <si>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</si>
  <si>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</si>
  <si>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</si>
  <si>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</si>
  <si>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</si>
  <si>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</si>
  <si>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</si>
  <si>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</si>
  <si>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</si>
  <si>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</si>
  <si>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</si>
  <si>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</si>
  <si>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</si>
  <si>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</si>
  <si>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</si>
  <si>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</si>
  <si>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</si>
  <si>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</si>
  <si>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</si>
  <si>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</si>
  <si>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</si>
  <si>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</si>
  <si>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</si>
  <si>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</si>
  <si>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</si>
  <si>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</si>
  <si>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</si>
  <si>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</si>
  <si>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</si>
  <si>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</si>
  <si>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</si>
  <si>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</si>
  <si>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</si>
  <si>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</si>
  <si>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</si>
  <si>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</si>
  <si>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</si>
  <si>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</si>
  <si>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</si>
  <si>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</si>
  <si>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</si>
  <si>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</si>
  <si>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</si>
  <si>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</si>
  <si>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</si>
  <si>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</si>
  <si>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</si>
  <si>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</si>
  <si>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</si>
  <si>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</si>
  <si>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</si>
  <si>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</si>
  <si>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</si>
  <si>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</si>
  <si>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</si>
  <si>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</si>
  <si>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</si>
  <si>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</si>
  <si>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</si>
  <si>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</si>
  <si>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</si>
  <si>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</si>
  <si>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</si>
  <si>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</si>
  <si>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</si>
  <si>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</si>
  <si>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</si>
  <si>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</si>
  <si>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</si>
  <si>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</si>
  <si>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</si>
  <si>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</si>
  <si>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</si>
  <si>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</si>
  <si>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</si>
  <si>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</si>
  <si>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</si>
  <si>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</si>
  <si>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</si>
  <si>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</si>
  <si>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</si>
  <si>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</si>
  <si>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</si>
  <si>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</si>
  <si>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</si>
  <si>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</si>
  <si>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</si>
  <si>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</si>
  <si>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</si>
  <si>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</si>
  <si>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</si>
  <si>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</si>
  <si>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</si>
  <si>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</si>
  <si>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</si>
  <si>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</si>
  <si>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</si>
  <si>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</si>
  <si>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</si>
  <si>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</si>
  <si>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</si>
  <si>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</si>
  <si>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</si>
  <si>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</si>
  <si>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</si>
  <si>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</si>
  <si>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</si>
  <si>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</si>
  <si>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</si>
  <si>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</si>
  <si>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</si>
  <si>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</si>
  <si>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</si>
  <si>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</si>
  <si>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</si>
  <si>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</si>
  <si>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</si>
  <si>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</si>
  <si>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</si>
  <si>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</si>
  <si>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</si>
  <si>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</si>
  <si>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</si>
  <si>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</si>
  <si>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</si>
  <si>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</si>
  <si>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</si>
  <si>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</si>
  <si>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</si>
  <si>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</si>
  <si>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</si>
  <si>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</si>
  <si>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</si>
  <si>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</si>
  <si>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</si>
  <si>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</si>
  <si>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</si>
  <si>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</si>
  <si>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</si>
  <si>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</si>
  <si>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</si>
  <si>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</si>
  <si>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</si>
  <si>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</si>
  <si>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</si>
  <si>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</si>
  <si>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</si>
  <si>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</si>
  <si>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</si>
  <si>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</si>
  <si>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</si>
  <si>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</si>
  <si>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</si>
  <si>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</si>
  <si>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</si>
  <si>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</si>
  <si>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</si>
  <si>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</si>
  <si>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</si>
  <si>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</si>
  <si>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</si>
  <si>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</si>
  <si>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</si>
  <si>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</si>
  <si>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</si>
  <si>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</si>
  <si>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</si>
  <si>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</si>
  <si>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</si>
  <si>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</si>
  <si>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</si>
  <si>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</si>
  <si>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</si>
  <si>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</si>
  <si>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</si>
  <si>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</si>
  <si>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</si>
  <si>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</si>
  <si>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</si>
  <si>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</si>
  <si>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</si>
  <si>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</si>
  <si>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</si>
  <si>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</si>
  <si>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</si>
  <si>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</si>
  <si>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</si>
  <si>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</si>
  <si>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</si>
  <si>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</si>
  <si>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</si>
  <si>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</si>
  <si>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</si>
  <si>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</si>
  <si>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</si>
  <si>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</si>
  <si>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</si>
  <si>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</si>
  <si>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</si>
  <si>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</si>
  <si>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</si>
  <si>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</si>
  <si>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</si>
  <si>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</si>
  <si>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</si>
  <si>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</si>
  <si>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</si>
  <si>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</si>
  <si>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</si>
  <si>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</si>
  <si>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</si>
  <si>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</si>
  <si>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</si>
  <si>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</si>
  <si>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</si>
  <si>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</si>
  <si>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</si>
  <si>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</si>
  <si>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</si>
  <si>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</si>
  <si>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</si>
  <si>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</si>
  <si>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</si>
  <si>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</si>
  <si>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</si>
  <si>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</si>
  <si>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</si>
  <si>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</si>
  <si>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</si>
  <si>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</si>
  <si>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</si>
  <si>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</si>
  <si>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</si>
  <si>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</si>
  <si>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</si>
  <si>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</si>
  <si>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</si>
  <si>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</si>
  <si>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</si>
  <si>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</si>
  <si>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</si>
  <si>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</si>
  <si>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</si>
  <si>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</si>
  <si>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</si>
  <si>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</si>
  <si>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</si>
  <si>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</si>
  <si>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</si>
  <si>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</si>
  <si>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</si>
  <si>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</si>
  <si>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</si>
  <si>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</si>
  <si>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</si>
  <si>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</si>
  <si>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</si>
  <si>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</si>
  <si>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</si>
  <si>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</si>
  <si>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</si>
  <si>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</si>
  <si>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</si>
  <si>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</si>
  <si>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</si>
  <si>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</si>
  <si>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</si>
  <si>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</si>
  <si>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</si>
  <si>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</si>
  <si>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</si>
  <si>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</si>
  <si>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</si>
  <si>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</si>
  <si>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</si>
  <si>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</si>
  <si>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</si>
  <si>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</si>
  <si>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</si>
  <si>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</si>
  <si>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</si>
  <si>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</si>
  <si>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</si>
  <si>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</si>
  <si>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</si>
  <si>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</si>
  <si>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</si>
  <si>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</si>
  <si>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</si>
  <si>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</si>
  <si>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</si>
  <si>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</si>
  <si>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</si>
  <si>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</si>
  <si>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</si>
  <si>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</si>
  <si>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</si>
  <si>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</si>
  <si>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</si>
  <si>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</si>
  <si>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</si>
  <si>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</si>
  <si>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</si>
  <si>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</si>
  <si>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</si>
  <si>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</si>
  <si>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</si>
  <si>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</si>
  <si>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</si>
  <si>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</si>
  <si>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</si>
  <si>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</si>
  <si>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</si>
  <si>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</si>
  <si>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</si>
  <si>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</si>
  <si>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</si>
  <si>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</si>
  <si>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</si>
  <si>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</si>
  <si>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</si>
  <si>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</si>
  <si>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</si>
  <si>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</si>
  <si>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</si>
  <si>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</si>
  <si>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</si>
  <si>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</si>
  <si>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</si>
  <si>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</si>
  <si>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</si>
  <si>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</si>
  <si>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</si>
  <si>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</si>
  <si>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</si>
  <si>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</si>
  <si>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</si>
  <si>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</si>
  <si>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</si>
  <si>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</si>
  <si>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</si>
  <si>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</si>
  <si>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</si>
  <si>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</si>
  <si>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</si>
  <si>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</si>
  <si>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</si>
  <si>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</si>
  <si>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</si>
  <si>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</si>
  <si>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</si>
  <si>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</si>
  <si>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</si>
  <si>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</si>
  <si>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</si>
  <si>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</si>
  <si>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</si>
  <si>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</si>
  <si>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</si>
  <si>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</si>
  <si>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</si>
  <si>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</si>
  <si>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</si>
  <si>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</si>
  <si>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</si>
  <si>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</si>
  <si>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</si>
  <si>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</si>
  <si>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</si>
  <si>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</si>
  <si>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</si>
  <si>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</si>
  <si>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</si>
  <si>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</si>
  <si>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</si>
  <si>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</si>
  <si>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</si>
  <si>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</si>
  <si>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</si>
  <si>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</si>
  <si>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</si>
  <si>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</si>
  <si>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</si>
  <si>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</si>
  <si>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</si>
  <si>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</si>
  <si>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</si>
  <si>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</si>
  <si>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</si>
  <si>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</si>
  <si>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</si>
  <si>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</si>
  <si>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</si>
  <si>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</si>
  <si>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</si>
  <si>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</si>
  <si>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</si>
  <si>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</si>
  <si>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</si>
  <si>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</si>
  <si>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</si>
  <si>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</si>
  <si>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</si>
  <si>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</si>
  <si>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</si>
  <si>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</si>
  <si>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</si>
  <si>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</si>
  <si>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</si>
  <si>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</si>
  <si>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</si>
  <si>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</si>
  <si>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</si>
  <si>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</si>
  <si>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</si>
  <si>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</si>
  <si>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</si>
  <si>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</si>
  <si>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</si>
  <si>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</si>
  <si>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</si>
  <si>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</si>
  <si>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</si>
  <si>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</si>
  <si>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</si>
  <si>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</si>
  <si>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</si>
  <si>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</si>
  <si>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</si>
  <si>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</si>
  <si>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</si>
  <si>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</si>
  <si>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</si>
  <si>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</si>
  <si>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</si>
  <si>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</si>
  <si>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</si>
  <si>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</si>
  <si>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</si>
  <si>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</si>
  <si>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</si>
  <si>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</si>
  <si>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</si>
  <si>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</si>
  <si>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</si>
  <si>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</si>
  <si>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</si>
  <si>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</si>
  <si>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</si>
  <si>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</si>
  <si>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</si>
  <si>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</si>
  <si>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</si>
  <si>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</si>
  <si>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</si>
  <si>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</si>
  <si>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</si>
  <si>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</si>
  <si>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</si>
  <si>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</si>
  <si>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</si>
  <si>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</si>
  <si>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</si>
  <si>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</si>
  <si>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</si>
  <si>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</si>
  <si>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</si>
  <si>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</si>
  <si>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</si>
  <si>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</si>
  <si>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</si>
  <si>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</si>
  <si>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</si>
  <si>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</si>
  <si>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</si>
  <si>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</si>
  <si>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</si>
  <si>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</si>
  <si>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</si>
  <si>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</si>
  <si>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</si>
  <si>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</si>
  <si>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</si>
  <si>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</si>
  <si>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</si>
  <si>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</si>
  <si>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</si>
  <si>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</si>
  <si>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</si>
  <si>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</si>
  <si>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</si>
  <si>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</si>
  <si>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</si>
  <si>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</si>
  <si>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</si>
  <si>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</si>
  <si>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</si>
  <si>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</si>
  <si>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</si>
  <si>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</si>
  <si>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</si>
  <si>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</si>
  <si>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</si>
  <si>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</si>
  <si>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</si>
  <si>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</si>
  <si>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</si>
  <si>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</si>
  <si>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</si>
  <si>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</si>
  <si>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</si>
  <si>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</si>
  <si>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</si>
  <si>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</si>
  <si>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</si>
  <si>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</si>
  <si>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</si>
  <si>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</si>
  <si>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</si>
  <si>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</si>
  <si>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</si>
  <si>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</si>
  <si>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</si>
  <si>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</si>
  <si>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</si>
  <si>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</si>
  <si>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</si>
  <si>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</si>
  <si>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</si>
  <si>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</si>
  <si>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</si>
  <si>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</si>
  <si>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</si>
  <si>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</si>
  <si>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</si>
  <si>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</si>
  <si>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</si>
  <si>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</si>
  <si>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</si>
  <si>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</si>
  <si>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</si>
  <si>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</si>
  <si>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</si>
  <si>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</si>
  <si>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</si>
  <si>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</si>
  <si>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</si>
  <si>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</si>
  <si>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</si>
  <si>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</si>
  <si>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</si>
  <si>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</si>
  <si>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</si>
  <si>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</si>
  <si>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</si>
  <si>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</si>
  <si>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</si>
  <si>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</si>
  <si>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</si>
  <si>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</si>
  <si>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</si>
  <si>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</si>
  <si>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</si>
  <si>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</si>
  <si>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</si>
  <si>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</si>
  <si>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</si>
  <si>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</si>
  <si>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</si>
  <si>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</si>
  <si>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</si>
  <si>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</si>
  <si>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</si>
  <si>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</si>
  <si>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</si>
  <si>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</si>
  <si>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</si>
  <si>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</si>
  <si>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</si>
  <si>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</si>
  <si>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</si>
  <si>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</si>
  <si>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</si>
  <si>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</si>
  <si>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</si>
  <si>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</si>
  <si>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</si>
  <si>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</si>
  <si>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</si>
  <si>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</si>
  <si>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</si>
  <si>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</si>
  <si>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</si>
  <si>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</si>
  <si>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</si>
  <si>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</si>
  <si>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</si>
  <si>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</si>
  <si>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</si>
  <si>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</si>
  <si>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</si>
  <si>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</si>
  <si>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</si>
  <si>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</si>
  <si>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</si>
  <si>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</si>
  <si>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</si>
  <si>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</si>
  <si>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</si>
  <si>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</si>
  <si>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</si>
  <si>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</si>
  <si>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</si>
  <si>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</si>
  <si>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</si>
  <si>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</si>
  <si>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</si>
  <si>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</si>
  <si>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</si>
  <si>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</si>
  <si>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</si>
  <si>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</si>
  <si>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</si>
  <si>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</si>
  <si>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</si>
  <si>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</si>
  <si>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</si>
  <si>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</si>
  <si>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</si>
  <si>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</si>
  <si>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</si>
  <si>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</si>
  <si>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</si>
  <si>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</si>
  <si>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</si>
  <si>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</si>
  <si>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</si>
  <si>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</si>
  <si>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</si>
  <si>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</si>
  <si>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</si>
  <si>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</si>
  <si>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</si>
  <si>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</si>
  <si>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</si>
  <si>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</si>
  <si>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</si>
  <si>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</si>
  <si>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</si>
  <si>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</si>
  <si>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</si>
  <si>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</si>
  <si>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</si>
  <si>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</si>
  <si>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</si>
  <si>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</si>
  <si>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</si>
  <si>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</si>
  <si>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</si>
  <si>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</si>
  <si>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</si>
  <si>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</si>
  <si>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</si>
  <si>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</si>
  <si>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</si>
  <si>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</si>
  <si>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</si>
  <si>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</si>
  <si>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</si>
  <si>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</si>
  <si>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</si>
  <si>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</si>
  <si>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</si>
  <si>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</si>
  <si>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</si>
  <si>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</si>
  <si>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</si>
  <si>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</si>
  <si>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</si>
  <si>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</si>
  <si>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</si>
  <si>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</si>
  <si>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</si>
  <si>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</si>
  <si>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</si>
  <si>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</si>
  <si>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</si>
  <si>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</si>
  <si>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</si>
  <si>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</si>
  <si>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</si>
  <si>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</si>
  <si>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</si>
  <si>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</si>
  <si>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</si>
  <si>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</si>
  <si>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</si>
  <si>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</si>
  <si>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</si>
  <si>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</si>
  <si>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</si>
  <si>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</si>
  <si>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</si>
  <si>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</si>
  <si>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</si>
  <si>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</si>
  <si>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</si>
  <si>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</si>
  <si>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</si>
  <si>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</si>
  <si>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</si>
  <si>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</si>
  <si>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</si>
  <si>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</si>
  <si>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</si>
  <si>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</si>
  <si>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</si>
  <si>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</si>
  <si>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</si>
  <si>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</si>
  <si>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</si>
  <si>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</si>
  <si>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</si>
  <si>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</si>
  <si>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</si>
  <si>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</si>
  <si>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</si>
  <si>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</si>
  <si>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</si>
  <si>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</si>
  <si>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</si>
  <si>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</si>
  <si>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</si>
  <si>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</si>
  <si>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</si>
  <si>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</si>
  <si>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</si>
  <si>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</si>
  <si>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</si>
  <si>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</si>
  <si>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</si>
  <si>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</si>
  <si>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</si>
  <si>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</si>
  <si>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</si>
  <si>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</si>
  <si>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</si>
  <si>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</si>
  <si>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</si>
  <si>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</si>
  <si>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</si>
  <si>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</si>
  <si>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</si>
  <si>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</si>
  <si>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</si>
  <si>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</si>
  <si>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</si>
  <si>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</si>
  <si>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</si>
  <si>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</si>
  <si>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</si>
  <si>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</si>
  <si>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</si>
  <si>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</si>
  <si>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</si>
  <si>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</si>
  <si>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</si>
  <si>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</si>
  <si>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</si>
  <si>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</si>
  <si>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</si>
  <si>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</si>
  <si>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</si>
  <si>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</si>
  <si>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</si>
  <si>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</si>
  <si>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</si>
  <si>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</si>
  <si>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</si>
  <si>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</si>
  <si>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</si>
  <si>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</si>
  <si>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</si>
  <si>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</si>
  <si>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</si>
  <si>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</si>
  <si>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</si>
  <si>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</si>
  <si>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</si>
  <si>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</si>
  <si>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</si>
  <si>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</si>
  <si>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</si>
  <si>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</si>
  <si>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</si>
  <si>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</si>
  <si>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</si>
  <si>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</si>
  <si>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</si>
  <si>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</si>
  <si>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</si>
  <si>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</si>
  <si>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</si>
  <si>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</si>
  <si>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</si>
  <si>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</si>
  <si>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</si>
  <si>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</si>
  <si>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</si>
  <si>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</si>
  <si>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</si>
  <si>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</si>
  <si>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</si>
  <si>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</si>
  <si>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</si>
  <si>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</si>
  <si>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</si>
  <si>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</si>
  <si>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</si>
  <si>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</si>
  <si>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</si>
  <si>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</si>
  <si>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</si>
  <si>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</si>
  <si>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</si>
  <si>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차입금오류</t>
  </si>
  <si>
    <t>Jeisys Medical</t>
  </si>
  <si>
    <t>차랑용 스프링 및 시트</t>
  </si>
  <si>
    <t>화장품, 철스크랩</t>
  </si>
  <si>
    <t>ILOODA Co.,Ltd</t>
  </si>
  <si>
    <t>아크솔루션스</t>
  </si>
  <si>
    <t>영상 콘텐츠</t>
  </si>
  <si>
    <t>Earth &amp; Aerospace Manufacturing</t>
  </si>
  <si>
    <t>AJIN ELECTRONIC COMPONENTS</t>
  </si>
  <si>
    <t>아진전자부품</t>
  </si>
  <si>
    <t>TLI Inc.</t>
  </si>
  <si>
    <t>www.nuriflex.co.kr</t>
  </si>
  <si>
    <t>HanulBnC CO., LTD.</t>
  </si>
  <si>
    <t>한울BnC</t>
  </si>
  <si>
    <t>ONTIDE</t>
  </si>
  <si>
    <t>온타이드</t>
  </si>
  <si>
    <t>서비스</t>
  </si>
  <si>
    <t>KOREA ADVANCED MATERIALS Co., Ltd.</t>
  </si>
  <si>
    <t>한국첨단소재</t>
  </si>
  <si>
    <t>20221101</t>
  </si>
  <si>
    <t>20241031</t>
  </si>
  <si>
    <t>2024-10-31</t>
  </si>
  <si>
    <t>BusinessOn Communication Co., Ltd</t>
  </si>
  <si>
    <t>시지메드텍</t>
  </si>
  <si>
    <t>아티스트스튜디오</t>
  </si>
  <si>
    <t>Kyobo 12 Special Purpose Acquisition Company</t>
  </si>
  <si>
    <t>Daishin Balance No.13 Special Purpose Acquisition Company</t>
  </si>
  <si>
    <t>Sangsangin No.3 Special Purpose Acquisition Company</t>
  </si>
  <si>
    <t>20243Q</t>
  </si>
  <si>
    <t>2024-12-05</t>
  </si>
  <si>
    <t>D00000</t>
  </si>
  <si>
    <t>개요</t>
  </si>
  <si>
    <t>2024-12-31/208445/1</t>
  </si>
  <si>
    <t>D00010</t>
  </si>
  <si>
    <t xml:space="preserve">(주)미래세라텍                                    </t>
  </si>
  <si>
    <t>D00020</t>
  </si>
  <si>
    <t>외감,중소기업</t>
  </si>
  <si>
    <t>D00030</t>
  </si>
  <si>
    <t>D00040</t>
  </si>
  <si>
    <t xml:space="preserve">김범주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</si>
  <si>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</si>
  <si>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</si>
  <si>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</si>
  <si>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</si>
  <si>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</si>
  <si>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</si>
  <si>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</si>
  <si>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</si>
  <si>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</si>
  <si>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</si>
  <si>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위생용 도자기 제조업                                                                                                                                  </t>
  </si>
  <si>
    <t>D00100</t>
  </si>
  <si>
    <t xml:space="preserve">세라믹제품 제조/기술 용역                                                                                                                             </t>
  </si>
  <si>
    <t>D00110</t>
  </si>
  <si>
    <t>본사주소</t>
  </si>
  <si>
    <t xml:space="preserve">경북 포항시 북구 청하면 동해대로2315번길 54-6                                                                                     </t>
  </si>
  <si>
    <t>D00120</t>
  </si>
  <si>
    <t>법인번호/사업자번호</t>
  </si>
  <si>
    <t>1717110039832 / 5068134778</t>
  </si>
  <si>
    <t>D00130</t>
  </si>
  <si>
    <t xml:space="preserve">내부등급 :  , 외부등급 : </t>
  </si>
  <si>
    <t>D01000</t>
  </si>
  <si>
    <t>기초데이터</t>
  </si>
  <si>
    <t>#0.00</t>
  </si>
  <si>
    <t>#0.00</t>
    <phoneticPr fontId="3" type="noConversion"/>
  </si>
  <si>
    <t>D01010</t>
  </si>
  <si>
    <t>재무평점</t>
  </si>
  <si>
    <t>#0.00</t>
    <phoneticPr fontId="3" type="noConversion"/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</si>
  <si>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</si>
  <si>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</si>
  <si>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</si>
  <si>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</si>
  <si>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</si>
  <si>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</si>
  <si>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</si>
  <si>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</si>
  <si>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</si>
  <si>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</si>
  <si>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</si>
  <si>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</si>
  <si>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</si>
  <si>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</si>
  <si>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</si>
  <si>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</si>
  <si>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</si>
  <si>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</si>
  <si>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</si>
  <si>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</si>
  <si>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</si>
  <si>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</si>
  <si>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</si>
  <si>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</si>
  <si>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</si>
  <si>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</si>
  <si>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</si>
  <si>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</si>
  <si>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</si>
  <si>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</si>
  <si>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</si>
  <si>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</si>
  <si>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</si>
  <si>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</si>
  <si>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</si>
  <si>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</si>
  <si>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</si>
  <si>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</si>
  <si>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</si>
  <si>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</si>
  <si>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</si>
  <si>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</si>
  <si>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</si>
  <si>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</si>
  <si>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</si>
  <si>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</si>
  <si>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</si>
  <si>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</si>
  <si>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</si>
  <si>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</si>
  <si>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</si>
  <si>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</si>
  <si>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</si>
  <si>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</si>
  <si>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</si>
  <si>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</si>
  <si>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</si>
  <si>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</si>
  <si>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</si>
  <si>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</si>
  <si>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</si>
  <si>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</si>
  <si>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</si>
  <si>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</si>
  <si>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</si>
  <si>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</si>
  <si>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</si>
  <si>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</si>
  <si>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</si>
  <si>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</si>
  <si>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</si>
  <si>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</si>
  <si>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</si>
  <si>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</si>
  <si>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</si>
  <si>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</si>
  <si>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</si>
  <si>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</si>
  <si>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</si>
  <si>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</si>
  <si>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</si>
  <si>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</si>
  <si>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</si>
  <si>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</si>
  <si>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</si>
  <si>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</si>
  <si>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</si>
  <si>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</si>
  <si>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</si>
  <si>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</si>
  <si>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</si>
  <si>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</si>
  <si>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</si>
  <si>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</si>
  <si>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</si>
  <si>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</si>
  <si>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</si>
  <si>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</si>
  <si>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</si>
  <si>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</si>
  <si>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</si>
  <si>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</si>
  <si>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</si>
  <si>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</si>
  <si>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</si>
  <si>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</si>
  <si>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</si>
  <si>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</si>
  <si>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</si>
  <si>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</si>
  <si>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</si>
  <si>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</si>
  <si>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</si>
  <si>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</si>
  <si>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</si>
  <si>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</si>
  <si>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</si>
  <si>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</si>
  <si>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</si>
  <si>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</si>
  <si>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</si>
  <si>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</si>
  <si>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</si>
  <si>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</si>
  <si>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</si>
  <si>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</si>
  <si>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</si>
  <si>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</si>
  <si>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</si>
  <si>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20211231K</t>
    <phoneticPr fontId="9" type="noConversion"/>
  </si>
  <si>
    <t>20221231K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</si>
  <si>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</si>
  <si>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</si>
  <si>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</si>
  <si>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</si>
  <si>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</si>
  <si>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</si>
  <si>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</si>
  <si>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</si>
  <si>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</si>
  <si>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</si>
  <si>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</si>
  <si>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</si>
  <si>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</si>
  <si>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</si>
  <si>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</si>
  <si>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</si>
  <si>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</si>
  <si>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</si>
  <si>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</si>
  <si>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</si>
  <si>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</si>
  <si>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</si>
  <si>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</si>
  <si>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</si>
  <si>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</si>
  <si>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</si>
  <si>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</si>
  <si>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</si>
  <si>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</si>
  <si>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</si>
  <si>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</si>
  <si>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</si>
  <si>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</si>
  <si>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</si>
  <si>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</si>
  <si>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</si>
  <si>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</si>
  <si>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</si>
  <si>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</si>
  <si>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</si>
  <si>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</si>
  <si>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</si>
  <si>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</si>
  <si>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</si>
  <si>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</si>
  <si>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</si>
  <si>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</si>
  <si>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</si>
  <si>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</si>
  <si>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</si>
  <si>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</si>
  <si>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</si>
  <si>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</si>
  <si>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</si>
  <si>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</si>
  <si>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</si>
  <si>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</si>
  <si>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</si>
  <si>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</si>
  <si>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</si>
  <si>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</si>
  <si>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</si>
  <si>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</si>
  <si>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</si>
  <si>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</si>
  <si>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</si>
  <si>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</si>
  <si>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</si>
  <si>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</si>
  <si>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</si>
  <si>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</si>
  <si>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</si>
  <si>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</si>
  <si>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</si>
  <si>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</si>
  <si>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</si>
  <si>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</si>
  <si>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</si>
  <si>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</si>
  <si>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</si>
  <si>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</si>
  <si>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</si>
  <si>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</si>
  <si>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</si>
  <si>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</si>
  <si>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</si>
  <si>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</si>
  <si>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</si>
  <si>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</si>
  <si>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</si>
  <si>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</si>
  <si>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</si>
  <si>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</si>
  <si>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</si>
  <si>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</si>
  <si>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</si>
  <si>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</si>
  <si>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</si>
  <si>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</si>
  <si>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</si>
  <si>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</si>
  <si>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</si>
  <si>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</si>
  <si>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</si>
  <si>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</si>
  <si>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</si>
  <si>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</si>
  <si>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</si>
  <si>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</si>
  <si>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</si>
  <si>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</si>
  <si>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</si>
  <si>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</si>
  <si>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</si>
  <si>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</si>
  <si>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</si>
  <si>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</si>
  <si>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</si>
  <si>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</si>
  <si>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</si>
  <si>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20201231K</t>
    <phoneticPr fontId="9" type="noConversion"/>
  </si>
  <si>
    <t>20211231K</t>
    <phoneticPr fontId="9" type="noConversion"/>
  </si>
  <si>
    <t>20231231K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</si>
  <si>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</si>
  <si>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</si>
  <si>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</si>
  <si>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</si>
  <si>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</si>
  <si>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</si>
  <si>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</si>
  <si>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</si>
  <si>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</si>
  <si>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</si>
  <si>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</si>
  <si>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</si>
  <si>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</si>
  <si>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</si>
  <si>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</si>
  <si>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김범주                        </t>
  </si>
  <si>
    <t xml:space="preserve">아리라                        </t>
  </si>
  <si>
    <t xml:space="preserve">김성민                        </t>
  </si>
  <si>
    <t xml:space="preserve">광화문169인베스트먼트(유)     </t>
  </si>
  <si>
    <t xml:space="preserve">디에스앤파트너스(유)          </t>
  </si>
  <si>
    <t xml:space="preserve">키움뉴히어로4호스케일업펀드   </t>
  </si>
  <si>
    <t xml:space="preserve">삼성증권(주)                  </t>
  </si>
  <si>
    <t xml:space="preserve">신한캐피탈(주)                </t>
  </si>
  <si>
    <t xml:space="preserve">기타                          </t>
  </si>
  <si>
    <t>내용</t>
  </si>
  <si>
    <t xml:space="preserve">(납입자본금:50백만원)                                                                                                                                 </t>
  </si>
  <si>
    <t xml:space="preserve">세라믹제품 제조업을 목적으로 대표이사 김성현에 의해 경북 포항시 남구 청림동 1-143에서 (주)미래세라텍으로 설립                                         </t>
  </si>
  <si>
    <t xml:space="preserve">자본금을 150백만원으로 증자                                                                                                                           </t>
  </si>
  <si>
    <t xml:space="preserve">공장매입, 이전(청하농공단지 內)                                                                                                                       </t>
  </si>
  <si>
    <t xml:space="preserve">본점을 경북 포항시 북구 청하면 동해대로2315번길 54-6(하대리) 소재로 이전                                                                              </t>
  </si>
  <si>
    <t xml:space="preserve">자본금을 300백만원으로 증자                                                                                                                           </t>
  </si>
  <si>
    <t xml:space="preserve">ISO 9001,ISO 14001 인증 획득                                                                                                                          </t>
  </si>
  <si>
    <t xml:space="preserve">기업부설연구소 인정                                                                                                                                   </t>
  </si>
  <si>
    <t xml:space="preserve">고온 소성로 증설(4m3)                                                                                                                                 </t>
  </si>
  <si>
    <t xml:space="preserve">고온 소성로 증설(6.7)                                                                                                                                 </t>
  </si>
  <si>
    <t xml:space="preserve">기술혁신형 중소기업(INNO-BIZ) 선정                                                                                                                    </t>
  </si>
  <si>
    <t xml:space="preserve">벤처기업 확인                                                                                                                                         </t>
  </si>
  <si>
    <t xml:space="preserve">포항시 유망강소기업 선정                                                                                                                              </t>
  </si>
  <si>
    <t xml:space="preserve">포항시 우수유망강소기업 선정             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</si>
  <si>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</si>
  <si>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</si>
  <si>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</si>
  <si>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</si>
  <si>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</si>
  <si>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</si>
  <si>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</si>
  <si>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</si>
  <si>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</si>
  <si>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</si>
  <si>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</si>
  <si>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#,##0</t>
    <phoneticPr fontId="3" type="noConversion"/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</si>
  <si>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</si>
  <si>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</si>
  <si>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</si>
  <si>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</si>
  <si>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</si>
  <si>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</si>
  <si>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</si>
  <si>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</si>
  <si>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</si>
  <si>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</si>
  <si>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</si>
  <si>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</si>
  <si>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</si>
  <si>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</si>
  <si>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</si>
  <si>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</si>
  <si>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</si>
  <si>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</si>
  <si>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</si>
  <si>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</si>
  <si>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</si>
  <si>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#,##0</t>
    <phoneticPr fontId="3" type="noConversion"/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</si>
  <si>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</si>
  <si>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</si>
  <si>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</si>
  <si>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</si>
  <si>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</si>
  <si>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#,##0</t>
    <phoneticPr fontId="3" type="noConversion"/>
  </si>
  <si>
    <t>D10170</t>
  </si>
  <si>
    <t>[D10170] 유통보통주식수</t>
  </si>
  <si>
    <t>#0.00</t>
    <phoneticPr fontId="3" type="noConversion"/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</si>
  <si>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</si>
  <si>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</si>
  <si>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</si>
  <si>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</si>
  <si>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</si>
  <si>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</si>
  <si>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#0.00</t>
    <phoneticPr fontId="3" type="noConversion"/>
  </si>
  <si>
    <t>D10210</t>
  </si>
  <si>
    <t>[D10210] 무위험이자율(%)</t>
  </si>
  <si>
    <t>B</t>
    <phoneticPr fontId="3" type="noConversion"/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</si>
  <si>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</si>
  <si>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</si>
  <si>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</si>
  <si>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</si>
  <si>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</si>
  <si>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</si>
  <si>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</si>
  <si>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</si>
  <si>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B</t>
    <phoneticPr fontId="3" type="noConversion"/>
  </si>
  <si>
    <t>#0.00</t>
    <phoneticPr fontId="3" type="noConversion"/>
  </si>
  <si>
    <t>D10250</t>
  </si>
  <si>
    <t>[D10250] 업종부채비율(%)</t>
  </si>
  <si>
    <t>D10260</t>
  </si>
  <si>
    <t>[D10260] 무부채기업베타</t>
  </si>
  <si>
    <t>#0.00</t>
    <phoneticPr fontId="3" type="noConversion"/>
  </si>
  <si>
    <t>D10270</t>
  </si>
  <si>
    <t>[D10270] 해당기업베타</t>
  </si>
  <si>
    <t>B</t>
    <phoneticPr fontId="3" type="noConversion"/>
  </si>
  <si>
    <t>D10280</t>
  </si>
  <si>
    <t>[D10280] 재무평점</t>
  </si>
  <si>
    <t>#0.00</t>
    <phoneticPr fontId="3" type="noConversion"/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</si>
  <si>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</si>
  <si>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</si>
  <si>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</si>
  <si>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</si>
  <si>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</si>
  <si>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</si>
  <si>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</si>
  <si>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</si>
  <si>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</si>
  <si>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</si>
  <si>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</si>
  <si>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</si>
  <si>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</si>
  <si>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</si>
  <si>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</si>
  <si>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</si>
  <si>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</si>
  <si>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</si>
  <si>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</si>
  <si>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</si>
  <si>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</si>
  <si>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</si>
  <si>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</si>
  <si>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</si>
  <si>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</si>
  <si>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</si>
  <si>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</si>
  <si>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</si>
  <si>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</si>
  <si>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</si>
  <si>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</si>
  <si>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</si>
  <si>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#0.00</t>
    <phoneticPr fontId="3" type="noConversion"/>
  </si>
  <si>
    <t>D20040</t>
  </si>
  <si>
    <t>[D20040] 무형자산상각률(%)</t>
  </si>
  <si>
    <t>D20050</t>
  </si>
  <si>
    <t>[D20050] 판관비상무형자산상각비율(%)</t>
  </si>
  <si>
    <t>#0.00</t>
    <phoneticPr fontId="3" type="noConversion"/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</si>
  <si>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</si>
  <si>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</si>
  <si>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</si>
  <si>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</si>
  <si>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</si>
  <si>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</si>
  <si>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#,##0</t>
    <phoneticPr fontId="3" type="noConversion"/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</si>
  <si>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</si>
  <si>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</si>
  <si>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</si>
  <si>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</si>
  <si>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</si>
  <si>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</si>
  <si>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</si>
  <si>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</si>
  <si>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</si>
  <si>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</si>
  <si>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</si>
  <si>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</si>
  <si>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#,##0</t>
    <phoneticPr fontId="3" type="noConversion"/>
  </si>
  <si>
    <t>D20150</t>
  </si>
  <si>
    <t>[D20150] 무형자산(BV)</t>
  </si>
  <si>
    <t>#,##0</t>
    <phoneticPr fontId="3" type="noConversion"/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</si>
  <si>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</si>
  <si>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</si>
  <si>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</si>
  <si>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</si>
  <si>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</si>
  <si>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</si>
  <si>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</si>
  <si>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</si>
  <si>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</si>
  <si>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</si>
  <si>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</si>
  <si>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</si>
  <si>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</si>
  <si>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</si>
  <si>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</si>
  <si>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</si>
  <si>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</si>
  <si>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</si>
  <si>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</si>
  <si>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</si>
  <si>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</si>
  <si>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</si>
  <si>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</si>
  <si>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</si>
  <si>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</si>
  <si>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</si>
  <si>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</si>
  <si>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</si>
  <si>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</si>
  <si>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</si>
  <si>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</si>
  <si>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</si>
  <si>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</si>
  <si>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</si>
  <si>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</si>
  <si>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</si>
  <si>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</si>
  <si>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</si>
  <si>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</si>
  <si>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</si>
  <si>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</si>
  <si>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</si>
  <si>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</si>
  <si>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</si>
  <si>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</si>
  <si>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#,##0</t>
    <phoneticPr fontId="3" type="noConversion"/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</si>
  <si>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</si>
  <si>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</si>
  <si>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</si>
  <si>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</si>
  <si>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</si>
  <si>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</si>
  <si>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</si>
  <si>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</si>
  <si>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</si>
  <si>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</si>
  <si>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</si>
  <si>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</si>
  <si>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</si>
  <si>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</si>
  <si>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</si>
  <si>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</si>
  <si>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</si>
  <si>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</si>
  <si>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</si>
  <si>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</si>
  <si>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</si>
  <si>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</si>
  <si>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</si>
  <si>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</si>
  <si>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</si>
  <si>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</si>
  <si>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</si>
  <si>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</si>
  <si>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</si>
  <si>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</si>
  <si>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#,##0</t>
    <phoneticPr fontId="3" type="noConversion"/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</si>
  <si>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</si>
  <si>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</si>
  <si>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</si>
  <si>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</si>
  <si>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</si>
  <si>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</si>
  <si>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</si>
  <si>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</si>
  <si>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</si>
  <si>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</si>
  <si>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</si>
  <si>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</si>
  <si>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</si>
  <si>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</si>
  <si>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</si>
  <si>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</si>
  <si>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</si>
  <si>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</si>
  <si>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</si>
  <si>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</si>
  <si>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</si>
  <si>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</si>
  <si>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</si>
  <si>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</si>
  <si>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</si>
  <si>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</si>
  <si>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</si>
  <si>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</si>
  <si>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</si>
  <si>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</si>
  <si>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</si>
  <si>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</si>
  <si>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</si>
  <si>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</si>
  <si>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</si>
  <si>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</si>
  <si>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</si>
  <si>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</si>
  <si>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</si>
  <si>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</si>
  <si>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</si>
  <si>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</si>
  <si>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</si>
  <si>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</si>
  <si>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</si>
  <si>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</si>
  <si>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</si>
  <si>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</si>
  <si>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</si>
  <si>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</si>
  <si>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</si>
  <si>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</si>
  <si>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#,##0</t>
    <phoneticPr fontId="3" type="noConversion"/>
  </si>
  <si>
    <t>D30420</t>
  </si>
  <si>
    <t>[D30420]   주식보상비용</t>
  </si>
  <si>
    <t>#,##0</t>
    <phoneticPr fontId="3" type="noConversion"/>
  </si>
  <si>
    <t>D30430</t>
  </si>
  <si>
    <t>[D30430]   기타인건비</t>
  </si>
  <si>
    <t>#,##0</t>
    <phoneticPr fontId="3" type="noConversion"/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</si>
  <si>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</si>
  <si>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</si>
  <si>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</si>
  <si>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</si>
  <si>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</si>
  <si>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</si>
  <si>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</si>
  <si>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</si>
  <si>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</si>
  <si>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</si>
  <si>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</si>
  <si>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</si>
  <si>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</si>
  <si>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</si>
  <si>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</si>
  <si>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</si>
  <si>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</si>
  <si>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</si>
  <si>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</si>
  <si>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</si>
  <si>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</si>
  <si>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</si>
  <si>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</si>
  <si>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</si>
  <si>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</si>
  <si>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</si>
  <si>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</si>
  <si>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</si>
  <si>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</si>
  <si>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</si>
  <si>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</si>
  <si>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</si>
  <si>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</si>
  <si>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</si>
  <si>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</si>
  <si>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</si>
  <si>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</si>
  <si>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</si>
  <si>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</si>
  <si>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</si>
  <si>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</si>
  <si>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</si>
  <si>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</si>
  <si>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</si>
  <si>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</si>
  <si>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</si>
  <si>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</si>
  <si>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</si>
  <si>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</si>
  <si>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</si>
  <si>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</si>
  <si>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</si>
  <si>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</si>
  <si>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</si>
  <si>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</si>
  <si>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</si>
  <si>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</si>
  <si>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</si>
  <si>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</si>
  <si>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#0.00</t>
    <phoneticPr fontId="3" type="noConversion"/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</si>
  <si>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</si>
  <si>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</si>
  <si>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</si>
  <si>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</si>
  <si>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</si>
  <si>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</si>
  <si>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</si>
  <si>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</si>
  <si>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</si>
  <si>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</si>
  <si>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</si>
  <si>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</si>
  <si>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</si>
  <si>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</si>
  <si>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</si>
  <si>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</si>
  <si>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</si>
  <si>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</si>
  <si>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</si>
  <si>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</si>
  <si>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</si>
  <si>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</si>
  <si>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</si>
  <si>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</si>
  <si>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</si>
  <si>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</si>
  <si>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</si>
  <si>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</si>
  <si>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</si>
  <si>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</si>
  <si>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</si>
  <si>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</si>
  <si>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</si>
  <si>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</si>
  <si>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</si>
  <si>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</si>
  <si>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</si>
  <si>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</si>
  <si>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</si>
  <si>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</si>
  <si>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</si>
  <si>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</si>
  <si>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</si>
  <si>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</si>
  <si>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</si>
  <si>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</si>
  <si>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</si>
  <si>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</si>
  <si>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</si>
  <si>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</si>
  <si>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</si>
  <si>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</si>
  <si>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</si>
  <si>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</si>
  <si>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</si>
  <si>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</si>
  <si>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</si>
  <si>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</si>
  <si>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</si>
  <si>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</si>
  <si>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</si>
  <si>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</si>
  <si>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</si>
  <si>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</si>
  <si>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</si>
  <si>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</si>
  <si>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</si>
  <si>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</si>
  <si>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</si>
  <si>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</si>
  <si>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</si>
  <si>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</si>
  <si>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</si>
  <si>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</si>
  <si>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</si>
  <si>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</si>
  <si>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</si>
  <si>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</si>
  <si>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</si>
  <si>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</si>
  <si>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</si>
  <si>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</si>
  <si>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</si>
  <si>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</si>
  <si>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</si>
  <si>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</si>
  <si>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</si>
  <si>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</si>
  <si>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</si>
  <si>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</si>
  <si>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 xml:space="preserve"> </t>
    <phoneticPr fontId="3" type="noConversion"/>
  </si>
  <si>
    <t>#.00</t>
    <phoneticPr fontId="3" type="noConversion"/>
  </si>
  <si>
    <t>D40390</t>
  </si>
  <si>
    <t>[D40390] 매출원가 % of Sales</t>
  </si>
  <si>
    <t xml:space="preserve"> </t>
    <phoneticPr fontId="3" type="noConversion"/>
  </si>
  <si>
    <t>#.00</t>
    <phoneticPr fontId="3" type="noConversion"/>
  </si>
  <si>
    <t>D40400</t>
  </si>
  <si>
    <t>[D40400] 판매비와관리비 % of Sales</t>
  </si>
  <si>
    <t xml:space="preserve"> </t>
    <phoneticPr fontId="3" type="noConversion"/>
  </si>
  <si>
    <t>#.00</t>
    <phoneticPr fontId="3" type="noConversion"/>
  </si>
  <si>
    <t>D40410</t>
  </si>
  <si>
    <t>[D40410] 영업이익율 (%)</t>
  </si>
  <si>
    <t>20201231K</t>
    <phoneticPr fontId="3" type="noConversion"/>
  </si>
  <si>
    <t>20221231K</t>
    <phoneticPr fontId="3" type="noConversion"/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</si>
  <si>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</si>
  <si>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</si>
  <si>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</si>
  <si>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</si>
  <si>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</si>
  <si>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</si>
  <si>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</si>
  <si>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</si>
  <si>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</si>
  <si>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</si>
  <si>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</si>
  <si>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</si>
  <si>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</si>
  <si>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</si>
  <si>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</si>
  <si>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</si>
  <si>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</si>
  <si>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</si>
  <si>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</si>
  <si>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</si>
  <si>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</si>
  <si>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</si>
  <si>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</si>
  <si>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</si>
  <si>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</si>
  <si>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</si>
  <si>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</si>
  <si>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</si>
  <si>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</si>
  <si>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</si>
  <si>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</si>
  <si>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</si>
  <si>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</si>
  <si>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</si>
  <si>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</si>
  <si>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</si>
  <si>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</si>
  <si>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</si>
  <si>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</si>
  <si>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</si>
  <si>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</si>
  <si>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</si>
  <si>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</si>
  <si>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</si>
  <si>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</si>
  <si>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</si>
  <si>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</si>
  <si>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</si>
  <si>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</si>
  <si>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</si>
  <si>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</si>
  <si>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</si>
  <si>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</si>
  <si>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</si>
  <si>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</si>
  <si>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</si>
  <si>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</si>
  <si>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</si>
  <si>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</si>
  <si>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</si>
  <si>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</si>
  <si>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</si>
  <si>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</si>
  <si>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</si>
  <si>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</si>
  <si>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</si>
  <si>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</si>
  <si>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</si>
  <si>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</si>
  <si>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</si>
  <si>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</si>
  <si>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</si>
  <si>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</si>
  <si>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</si>
  <si>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</si>
  <si>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</si>
  <si>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</si>
  <si>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</si>
  <si>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</si>
  <si>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</si>
  <si>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</si>
  <si>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</si>
  <si>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</si>
  <si>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</si>
  <si>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</si>
  <si>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</si>
  <si>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</si>
  <si>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</si>
  <si>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</si>
  <si>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</si>
  <si>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</si>
  <si>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</si>
  <si>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</si>
  <si>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</si>
  <si>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</si>
  <si>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</si>
  <si>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</si>
  <si>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</si>
  <si>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</si>
  <si>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</si>
  <si>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</si>
  <si>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</si>
  <si>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</si>
  <si>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</si>
  <si>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</si>
  <si>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</si>
  <si>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</si>
  <si>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</si>
  <si>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</si>
  <si>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</si>
  <si>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</si>
  <si>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</si>
  <si>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</si>
  <si>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</si>
  <si>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</si>
  <si>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</si>
  <si>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</si>
  <si>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</si>
  <si>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</si>
  <si>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</si>
  <si>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</si>
  <si>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</si>
  <si>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</si>
  <si>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</si>
  <si>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</si>
  <si>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</si>
  <si>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</si>
  <si>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</si>
  <si>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</si>
  <si>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</si>
  <si>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</si>
  <si>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</si>
  <si>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</si>
  <si>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</si>
  <si>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</si>
  <si>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</si>
  <si>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</si>
  <si>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</si>
  <si>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</si>
  <si>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</si>
  <si>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</si>
  <si>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</si>
  <si>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</si>
  <si>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</si>
  <si>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</si>
  <si>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</si>
  <si>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</si>
  <si>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</si>
  <si>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</si>
  <si>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</si>
  <si>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</si>
  <si>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</si>
  <si>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</si>
  <si>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</si>
  <si>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</si>
  <si>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</si>
  <si>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</si>
  <si>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</si>
  <si>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</si>
  <si>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</si>
  <si>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</si>
  <si>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</si>
  <si>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</si>
  <si>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</si>
  <si>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</si>
  <si>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</si>
  <si>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</si>
  <si>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</si>
  <si>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</si>
  <si>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</si>
  <si>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</si>
  <si>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</si>
  <si>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</si>
  <si>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</si>
  <si>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</si>
  <si>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</si>
  <si>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</si>
  <si>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</si>
  <si>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</si>
  <si>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</si>
  <si>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</si>
  <si>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</si>
  <si>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</si>
  <si>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</si>
  <si>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</si>
  <si>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</si>
  <si>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</si>
  <si>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</si>
  <si>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</si>
  <si>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</si>
  <si>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</si>
  <si>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</si>
  <si>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</si>
  <si>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</si>
  <si>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</si>
  <si>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</si>
  <si>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</si>
  <si>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</si>
  <si>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</si>
  <si>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</si>
  <si>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</si>
  <si>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</si>
  <si>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</si>
  <si>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</si>
  <si>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</si>
  <si>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</si>
  <si>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</si>
  <si>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</si>
  <si>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</si>
  <si>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</si>
  <si>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</si>
  <si>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</si>
  <si>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</si>
  <si>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</si>
  <si>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</si>
  <si>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</si>
  <si>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</si>
  <si>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</si>
  <si>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</si>
  <si>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</si>
  <si>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</si>
  <si>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</si>
  <si>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</si>
  <si>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</si>
  <si>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#,##0</t>
    <phoneticPr fontId="3" type="noConversion"/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</si>
  <si>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</si>
  <si>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</si>
  <si>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</si>
  <si>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</si>
  <si>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</si>
  <si>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</si>
  <si>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</si>
  <si>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</si>
  <si>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</si>
  <si>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</si>
  <si>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</si>
  <si>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</si>
  <si>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</si>
  <si>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</si>
  <si>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</si>
  <si>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</si>
  <si>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</si>
  <si>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</si>
  <si>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</si>
  <si>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</si>
  <si>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</si>
  <si>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</si>
  <si>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</si>
  <si>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</si>
  <si>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</si>
  <si>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</si>
  <si>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</si>
  <si>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</si>
  <si>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</si>
  <si>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</si>
  <si>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20201231K</t>
    <phoneticPr fontId="3" type="noConversion"/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</si>
  <si>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</si>
  <si>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</si>
  <si>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</si>
  <si>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</si>
  <si>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</si>
  <si>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</si>
  <si>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</si>
  <si>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</si>
  <si>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</si>
  <si>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</si>
  <si>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</si>
  <si>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</si>
  <si>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</si>
  <si>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</si>
  <si>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</si>
  <si>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</si>
  <si>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</si>
  <si>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</si>
  <si>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</si>
  <si>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</si>
  <si>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</si>
  <si>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</si>
  <si>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</si>
  <si>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</si>
  <si>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</si>
  <si>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</si>
  <si>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</si>
  <si>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</si>
  <si>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</si>
  <si>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</si>
  <si>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</si>
  <si>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</si>
  <si>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</si>
  <si>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#,##0</t>
    <phoneticPr fontId="3" type="noConversion"/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</si>
  <si>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</si>
  <si>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</si>
  <si>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</si>
  <si>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</si>
  <si>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</si>
  <si>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</si>
  <si>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</si>
  <si>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</si>
  <si>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</si>
  <si>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</si>
  <si>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</si>
  <si>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</si>
  <si>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</si>
  <si>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</si>
  <si>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</si>
  <si>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</si>
  <si>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</si>
  <si>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</si>
  <si>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</si>
  <si>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</si>
  <si>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</si>
  <si>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</si>
  <si>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</si>
  <si>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</si>
  <si>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</si>
  <si>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</si>
  <si>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</si>
  <si>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</si>
  <si>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</si>
  <si>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</si>
  <si>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</si>
  <si>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</si>
  <si>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</si>
  <si>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</si>
  <si>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</si>
  <si>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</si>
  <si>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</si>
  <si>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</si>
  <si>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</si>
  <si>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</si>
  <si>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</si>
  <si>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</si>
  <si>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</si>
  <si>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</si>
  <si>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</si>
  <si>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</si>
  <si>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</si>
  <si>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</si>
  <si>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</si>
  <si>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</si>
  <si>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</si>
  <si>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</si>
  <si>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</si>
  <si>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</si>
  <si>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</si>
  <si>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</si>
  <si>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</si>
  <si>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</si>
  <si>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</si>
  <si>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</si>
  <si>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</si>
  <si>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</si>
  <si>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</si>
  <si>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</si>
  <si>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</si>
  <si>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</si>
  <si>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</si>
  <si>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</si>
  <si>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</si>
  <si>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</si>
  <si>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</si>
  <si>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</si>
  <si>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#,##0</t>
    <phoneticPr fontId="3" type="noConversion"/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</si>
  <si>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</si>
  <si>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</si>
  <si>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</si>
  <si>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</si>
  <si>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</si>
  <si>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</si>
  <si>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</si>
  <si>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</si>
  <si>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</si>
  <si>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</si>
  <si>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</si>
  <si>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</si>
  <si>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</si>
  <si>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</si>
  <si>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</si>
  <si>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</si>
  <si>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#0.00</t>
    <phoneticPr fontId="3" type="noConversion"/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</si>
  <si>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</si>
  <si>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</si>
  <si>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</si>
  <si>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</si>
  <si>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</si>
  <si>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</si>
  <si>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</si>
  <si>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</si>
  <si>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</si>
  <si>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</si>
  <si>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B</t>
    <phoneticPr fontId="3" type="noConversion"/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</si>
  <si>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</si>
  <si>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</si>
  <si>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</si>
  <si>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</si>
  <si>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</si>
  <si>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</si>
  <si>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</si>
  <si>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</si>
  <si>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</si>
  <si>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</si>
  <si>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</si>
  <si>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</si>
  <si>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</si>
  <si>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</si>
  <si>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</si>
  <si>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</si>
  <si>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</si>
  <si>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</si>
  <si>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</si>
  <si>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</si>
  <si>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</si>
  <si>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</si>
  <si>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</si>
  <si>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</si>
  <si>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</si>
  <si>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</si>
  <si>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</si>
  <si>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</si>
  <si>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</si>
  <si>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</si>
  <si>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</si>
  <si>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</si>
  <si>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</si>
  <si>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</si>
  <si>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</si>
  <si>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</si>
  <si>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</si>
  <si>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</si>
  <si>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</si>
  <si>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</si>
  <si>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</si>
  <si>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</si>
  <si>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</si>
  <si>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</si>
  <si>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#0.00</t>
    <phoneticPr fontId="3" type="noConversion"/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</si>
  <si>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</si>
  <si>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</si>
  <si>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</si>
  <si>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</si>
  <si>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</si>
  <si>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</si>
  <si>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</si>
  <si>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</si>
  <si>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</si>
  <si>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</si>
  <si>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</si>
  <si>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</si>
  <si>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</si>
  <si>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</si>
  <si>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</si>
  <si>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</si>
  <si>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</si>
  <si>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</si>
  <si>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</si>
  <si>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</si>
  <si>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</si>
  <si>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</si>
  <si>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</si>
  <si>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</si>
  <si>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</si>
  <si>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</si>
  <si>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</si>
  <si>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</si>
  <si>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</si>
  <si>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</si>
  <si>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</si>
  <si>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</si>
  <si>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</si>
  <si>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</si>
  <si>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</si>
  <si>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</si>
  <si>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</si>
  <si>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</si>
  <si>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</si>
  <si>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</si>
  <si>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</si>
  <si>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</si>
  <si>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</si>
  <si>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</si>
  <si>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</si>
  <si>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</si>
  <si>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</si>
  <si>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</si>
  <si>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#,##0</t>
    <phoneticPr fontId="3" type="noConversion"/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</si>
  <si>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</si>
  <si>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</si>
  <si>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</si>
  <si>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</si>
  <si>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</si>
  <si>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</si>
  <si>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</si>
  <si>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</si>
  <si>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</si>
  <si>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</si>
  <si>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</si>
  <si>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</si>
  <si>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</si>
  <si>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</si>
  <si>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</si>
  <si>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</si>
  <si>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</si>
  <si>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</si>
  <si>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</si>
  <si>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</si>
  <si>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</si>
  <si>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</si>
  <si>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</si>
  <si>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#,##0</t>
    <phoneticPr fontId="9" type="noConversion"/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</si>
  <si>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</si>
  <si>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</si>
  <si>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</si>
  <si>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</si>
  <si>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</si>
  <si>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</si>
  <si>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</si>
  <si>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</si>
  <si>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</si>
  <si>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</si>
  <si>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</si>
  <si>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</si>
  <si>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20241231Y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</si>
  <si>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</si>
  <si>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</si>
  <si>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</si>
  <si>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</si>
  <si>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</si>
  <si>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</si>
  <si>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</si>
  <si>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</si>
  <si>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</si>
  <si>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</si>
  <si>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</si>
  <si>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</si>
  <si>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</si>
  <si>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</si>
  <si>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</si>
  <si>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</si>
  <si>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</si>
  <si>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</si>
  <si>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</si>
  <si>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#,##0</t>
    <phoneticPr fontId="3" type="noConversion"/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</si>
  <si>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</si>
  <si>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</si>
  <si>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</si>
  <si>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</si>
  <si>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</si>
  <si>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</si>
  <si>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</si>
  <si>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</si>
  <si>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</si>
  <si>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</si>
  <si>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</si>
  <si>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</si>
  <si>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</si>
  <si>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</si>
  <si>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</si>
  <si>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</si>
  <si>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</si>
  <si>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</si>
  <si>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</si>
  <si>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</si>
  <si>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</si>
  <si>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</si>
  <si>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</si>
  <si>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</si>
  <si>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</si>
  <si>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</si>
  <si>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</si>
  <si>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</si>
  <si>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</si>
  <si>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</si>
  <si>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</si>
  <si>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2024-09-30</t>
  </si>
  <si>
    <t>2024-06-30</t>
  </si>
  <si>
    <t>2024-03-31</t>
  </si>
  <si>
    <t>2023-12-31</t>
  </si>
  <si>
    <t>2023-09-30</t>
  </si>
  <si>
    <t>2023-06-30</t>
  </si>
  <si>
    <t>2023-03-31</t>
  </si>
  <si>
    <t>2022-12-31</t>
  </si>
  <si>
    <t>2022-09-30</t>
  </si>
  <si>
    <t>2022-06-17(최초 취득)</t>
  </si>
  <si>
    <t/>
  </si>
  <si>
    <t>(주)미래세라텍</t>
  </si>
  <si>
    <t>A07</t>
  </si>
  <si>
    <t>B0</t>
  </si>
  <si>
    <t>O</t>
  </si>
  <si>
    <t>A07</t>
    <phoneticPr fontId="3" type="noConversion"/>
  </si>
  <si>
    <t>B0</t>
    <phoneticPr fontId="3" type="noConversion"/>
  </si>
  <si>
    <t>A07</t>
    <phoneticPr fontId="3" type="noConversion"/>
  </si>
  <si>
    <t>키움인베스트먼트
키움뉴히어로4호스케일업펀드</t>
  </si>
  <si>
    <t xml:space="preserve">삼성증권 주식회사(디에스 Quattro.G2 코스닥벤처 일반 사모투자신탁의 신탁업자 지위에서) </t>
  </si>
  <si>
    <t>포항 아이스퀘어 그린테크 제1호 벤처투자조합</t>
  </si>
  <si>
    <t>RCPS</t>
  </si>
  <si>
    <t>*미래세라텍 5개년 사업계획 및 추정손익</t>
    <phoneticPr fontId="77" type="noConversion"/>
  </si>
  <si>
    <t>(단위: 백만원)</t>
    <phoneticPr fontId="77" type="noConversion"/>
  </si>
  <si>
    <t>2025년</t>
    <phoneticPr fontId="77" type="noConversion"/>
  </si>
  <si>
    <t>2026년</t>
    <phoneticPr fontId="77" type="noConversion"/>
  </si>
  <si>
    <t>2027년</t>
    <phoneticPr fontId="77" type="noConversion"/>
  </si>
  <si>
    <t>2029년</t>
    <phoneticPr fontId="77" type="noConversion"/>
  </si>
  <si>
    <t>비율</t>
    <phoneticPr fontId="77" type="noConversion"/>
  </si>
  <si>
    <t>금액</t>
    <phoneticPr fontId="77" type="noConversion"/>
  </si>
  <si>
    <t>MLCC부문</t>
    <phoneticPr fontId="77" type="noConversion"/>
  </si>
  <si>
    <t>Box Sagger부문</t>
    <phoneticPr fontId="77" type="noConversion"/>
  </si>
  <si>
    <t>원재료</t>
    <phoneticPr fontId="77" type="noConversion"/>
  </si>
  <si>
    <t>급여</t>
    <phoneticPr fontId="77" type="noConversion"/>
  </si>
  <si>
    <t>영업이익</t>
    <phoneticPr fontId="77" type="noConversion"/>
  </si>
  <si>
    <t>구분</t>
    <phoneticPr fontId="77" type="noConversion"/>
  </si>
  <si>
    <t>2028년</t>
    <phoneticPr fontId="77" type="noConversion"/>
  </si>
  <si>
    <t>금액</t>
    <phoneticPr fontId="77" type="noConversion"/>
  </si>
  <si>
    <t>매출액</t>
    <phoneticPr fontId="77" type="noConversion"/>
  </si>
  <si>
    <t>소재부문</t>
    <phoneticPr fontId="77" type="noConversion"/>
  </si>
  <si>
    <t>매출원가</t>
    <phoneticPr fontId="77" type="noConversion"/>
  </si>
  <si>
    <t>노무비</t>
    <phoneticPr fontId="77" type="noConversion"/>
  </si>
  <si>
    <t>재조경비</t>
    <phoneticPr fontId="77" type="noConversion"/>
  </si>
  <si>
    <t>매출총이익</t>
    <phoneticPr fontId="77" type="noConversion"/>
  </si>
  <si>
    <t>판매관리비</t>
    <phoneticPr fontId="77" type="noConversion"/>
  </si>
  <si>
    <t>기타</t>
    <phoneticPr fontId="77" type="noConversion"/>
  </si>
  <si>
    <t>Capex</t>
    <phoneticPr fontId="77" type="noConversion"/>
  </si>
  <si>
    <t>46,000 (Box Sagger 2공장)</t>
    <phoneticPr fontId="77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</si>
  <si>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</si>
  <si>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</si>
  <si>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</si>
  <si>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매출원가율</t>
    <phoneticPr fontId="3" type="noConversion"/>
  </si>
  <si>
    <t>매출성장률</t>
    <phoneticPr fontId="3" type="noConversion"/>
  </si>
  <si>
    <t>판매비와관리비</t>
    <phoneticPr fontId="3" type="noConversion"/>
  </si>
  <si>
    <t>급여</t>
    <phoneticPr fontId="3" type="noConversion"/>
  </si>
  <si>
    <t>기타판관비</t>
    <phoneticPr fontId="3" type="noConversion"/>
  </si>
  <si>
    <t>영업이익</t>
    <phoneticPr fontId="3" type="noConversion"/>
  </si>
  <si>
    <t>자산</t>
    <phoneticPr fontId="9" type="noConversion"/>
  </si>
  <si>
    <t>1. 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</si>
  <si>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</si>
  <si>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</si>
  <si>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</si>
  <si>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정기예금</t>
    <phoneticPr fontId="9" type="noConversion"/>
  </si>
  <si>
    <t>외상매출금</t>
    <phoneticPr fontId="9" type="noConversion"/>
  </si>
  <si>
    <t>대손충당금</t>
    <phoneticPr fontId="9" type="noConversion"/>
  </si>
  <si>
    <t>받을어음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</si>
  <si>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</si>
  <si>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</si>
  <si>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</si>
  <si>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</si>
  <si>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</si>
  <si>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</si>
  <si>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제품재고자산평가충당금</t>
    <phoneticPr fontId="9" type="noConversion"/>
  </si>
  <si>
    <t>원재료</t>
    <phoneticPr fontId="9" type="noConversion"/>
  </si>
  <si>
    <t>저장품</t>
    <phoneticPr fontId="9" type="noConversion"/>
  </si>
  <si>
    <t>재공품</t>
    <phoneticPr fontId="9" type="noConversion"/>
  </si>
  <si>
    <t>2. 비유동자산</t>
    <phoneticPr fontId="9" type="noConversion"/>
  </si>
  <si>
    <t>(1) 투자자산</t>
    <phoneticPr fontId="9" type="noConversion"/>
  </si>
  <si>
    <t>투자유가증권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</si>
  <si>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</si>
  <si>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</si>
  <si>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</si>
  <si>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</si>
  <si>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기계장치</t>
    <phoneticPr fontId="9" type="noConversion"/>
  </si>
  <si>
    <t>국고보조금</t>
    <phoneticPr fontId="9" type="noConversion"/>
  </si>
  <si>
    <t>차량운반구</t>
    <phoneticPr fontId="9" type="noConversion"/>
  </si>
  <si>
    <t>공구와기구</t>
    <phoneticPr fontId="9" type="noConversion"/>
  </si>
  <si>
    <t>비품</t>
    <phoneticPr fontId="9" type="noConversion"/>
  </si>
  <si>
    <t>건설중인자산</t>
    <phoneticPr fontId="9" type="noConversion"/>
  </si>
  <si>
    <t>시설장치</t>
    <phoneticPr fontId="9" type="noConversion"/>
  </si>
  <si>
    <t>(3) 무형자산</t>
    <phoneticPr fontId="9" type="noConversion"/>
  </si>
  <si>
    <t>개발비</t>
    <phoneticPr fontId="9" type="noConversion"/>
  </si>
  <si>
    <t>소프트웨어</t>
    <phoneticPr fontId="9" type="noConversion"/>
  </si>
  <si>
    <t>개발비손상충당금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</si>
  <si>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</si>
  <si>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</si>
  <si>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</si>
  <si>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</si>
  <si>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</si>
  <si>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1.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</si>
  <si>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</si>
  <si>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</si>
  <si>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</si>
  <si>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가수금</t>
    <phoneticPr fontId="9" type="noConversion"/>
  </si>
  <si>
    <t>선수금</t>
    <phoneticPr fontId="9" type="noConversion"/>
  </si>
  <si>
    <t>단기차입금</t>
    <phoneticPr fontId="9" type="noConversion"/>
  </si>
  <si>
    <t>미지급비용</t>
    <phoneticPr fontId="9" type="noConversion"/>
  </si>
  <si>
    <t>유동성장기부채</t>
    <phoneticPr fontId="9" type="noConversion"/>
  </si>
  <si>
    <t>유동성신주인수권부사채</t>
    <phoneticPr fontId="9" type="noConversion"/>
  </si>
  <si>
    <t>사채할인발행차금</t>
    <phoneticPr fontId="9" type="noConversion"/>
  </si>
  <si>
    <t>판매보증충당부채</t>
    <phoneticPr fontId="9" type="noConversion"/>
  </si>
  <si>
    <t>연차충당부채</t>
    <phoneticPr fontId="9" type="noConversion"/>
  </si>
  <si>
    <t>2. 비유동부채</t>
    <phoneticPr fontId="9" type="noConversion"/>
  </si>
  <si>
    <t>장기차입금</t>
    <phoneticPr fontId="9" type="noConversion"/>
  </si>
  <si>
    <t>퇴직급여충당금</t>
    <phoneticPr fontId="9" type="noConversion"/>
  </si>
  <si>
    <t>퇴직보험예치금</t>
    <phoneticPr fontId="9" type="noConversion"/>
  </si>
  <si>
    <t>전환사채</t>
    <phoneticPr fontId="9" type="noConversion"/>
  </si>
  <si>
    <t>전환권조정_전환사채</t>
    <phoneticPr fontId="9" type="noConversion"/>
  </si>
  <si>
    <t>사채상환할증금_전환사채</t>
    <phoneticPr fontId="9" type="noConversion"/>
  </si>
  <si>
    <t>부채총계</t>
    <phoneticPr fontId="9" type="noConversion"/>
  </si>
  <si>
    <t>자본</t>
    <phoneticPr fontId="9" type="noConversion"/>
  </si>
  <si>
    <t>1. 자본금</t>
    <phoneticPr fontId="9" type="noConversion"/>
  </si>
  <si>
    <t>자본금</t>
    <phoneticPr fontId="9" type="noConversion"/>
  </si>
  <si>
    <t>2. 자본잉여금</t>
    <phoneticPr fontId="9" type="noConversion"/>
  </si>
  <si>
    <t>주식발행초과금</t>
    <phoneticPr fontId="9" type="noConversion"/>
  </si>
  <si>
    <t>전환권대가_전환사채</t>
    <phoneticPr fontId="9" type="noConversion"/>
  </si>
  <si>
    <t>3. 자본조정</t>
    <phoneticPr fontId="9" type="noConversion"/>
  </si>
  <si>
    <t>신주인수권대가</t>
    <phoneticPr fontId="9" type="noConversion"/>
  </si>
  <si>
    <t>4. 기타포괄손익누계액</t>
    <phoneticPr fontId="9" type="noConversion"/>
  </si>
  <si>
    <t>5. 결손금</t>
    <phoneticPr fontId="9" type="noConversion"/>
  </si>
  <si>
    <t>이익준비금</t>
    <phoneticPr fontId="9" type="noConversion"/>
  </si>
  <si>
    <t>미처리결손금</t>
    <phoneticPr fontId="9" type="noConversion"/>
  </si>
  <si>
    <t>자본총계</t>
    <phoneticPr fontId="9" type="noConversion"/>
  </si>
  <si>
    <t>부채및자본총계</t>
    <phoneticPr fontId="9" type="noConversion"/>
  </si>
  <si>
    <t>제24기</t>
    <phoneticPr fontId="9" type="noConversion"/>
  </si>
  <si>
    <t>제25기</t>
    <phoneticPr fontId="9" type="noConversion"/>
  </si>
  <si>
    <t>보통예금(국고보조금)</t>
    <phoneticPr fontId="9" type="noConversion"/>
  </si>
  <si>
    <t>유동상환할증금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</si>
</sst>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9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#,##0;[Red]_)\(#,##0\);\-_)"/>
  </numFmts>
  <fonts count="82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sz val="8"/>
      <name val="Microsoft 고딕Neo"/>
      <family val="2"/>
      <charset val="129"/>
    </font>
    <font>
      <sz val="11"/>
      <color theme="1"/>
      <name val="Microsoft 고딕Neo"/>
      <family val="2"/>
      <charset val="129"/>
    </font>
    <font>
      <sz val="9"/>
      <color theme="1"/>
      <name val="페이퍼로지 7 Bold"/>
      <family val="3"/>
      <charset val="129"/>
    </font>
    <font>
      <sz val="9"/>
      <color theme="1"/>
      <name val="페이퍼로지 5 Medium"/>
      <family val="3"/>
      <charset val="129"/>
    </font>
    <font>
      <sz val="9"/>
      <color theme="0"/>
      <name val="페이퍼로지 5 Medium"/>
      <family val="3"/>
      <charset val="129"/>
    </font>
  </fonts>
  <fills count="5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4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  <xf numFmtId="0" fontId="78" fillId="0" borderId="0">
      <alignment vertical="center"/>
    </xf>
    <xf numFmtId="41" fontId="7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3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89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38" fontId="0" fillId="32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6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79" fillId="0" borderId="0" xfId="21" quotePrefix="1" applyFont="1">
      <alignment vertical="center"/>
    </xf>
    <xf numFmtId="0" fontId="80" fillId="0" borderId="0" xfId="21" applyFont="1">
      <alignment vertical="center"/>
    </xf>
    <xf numFmtId="0" fontId="80" fillId="0" borderId="0" xfId="21" applyFont="1" applyAlignment="1">
      <alignment horizontal="right"/>
    </xf>
    <xf numFmtId="0" fontId="81" fillId="49" borderId="62" xfId="21" applyFont="1" applyFill="1" applyBorder="1" applyAlignment="1">
      <alignment horizontal="center" vertical="center"/>
    </xf>
    <xf numFmtId="0" fontId="81" fillId="49" borderId="9" xfId="21" applyFont="1" applyFill="1" applyBorder="1" applyAlignment="1">
      <alignment horizontal="center" vertical="center"/>
    </xf>
    <xf numFmtId="0" fontId="81" fillId="49" borderId="59" xfId="21" applyFont="1" applyFill="1" applyBorder="1" applyAlignment="1">
      <alignment horizontal="center" vertical="center"/>
    </xf>
    <xf numFmtId="0" fontId="81" fillId="49" borderId="3" xfId="21" applyFont="1" applyFill="1" applyBorder="1" applyAlignment="1">
      <alignment horizontal="center" vertical="center"/>
    </xf>
    <xf numFmtId="0" fontId="81" fillId="49" borderId="35" xfId="21" applyFont="1" applyFill="1" applyBorder="1" applyAlignment="1">
      <alignment horizontal="center" vertical="center"/>
    </xf>
    <xf numFmtId="0" fontId="81" fillId="49" borderId="9" xfId="21" applyFont="1" applyFill="1" applyBorder="1" applyAlignment="1">
      <alignment horizontal="center" vertical="center"/>
    </xf>
    <xf numFmtId="0" fontId="81" fillId="49" borderId="59" xfId="21" applyFont="1" applyFill="1" applyBorder="1" applyAlignment="1">
      <alignment horizontal="center" vertical="center"/>
    </xf>
    <xf numFmtId="0" fontId="80" fillId="16" borderId="3" xfId="21" applyFont="1" applyFill="1" applyBorder="1">
      <alignment vertical="center"/>
    </xf>
    <xf numFmtId="41" fontId="80" fillId="16" borderId="3" xfId="22" applyFont="1" applyFill="1" applyBorder="1">
      <alignment vertical="center"/>
    </xf>
    <xf numFmtId="192" fontId="80" fillId="16" borderId="3" xfId="23" applyNumberFormat="1" applyFont="1" applyFill="1" applyBorder="1">
      <alignment vertical="center"/>
    </xf>
    <xf numFmtId="0" fontId="80" fillId="46" borderId="3" xfId="21" applyFont="1" applyFill="1" applyBorder="1" applyAlignment="1">
      <alignment horizontal="right" vertical="center"/>
    </xf>
    <xf numFmtId="41" fontId="80" fillId="0" borderId="3" xfId="22" applyFont="1" applyBorder="1">
      <alignment vertical="center"/>
    </xf>
    <xf numFmtId="192" fontId="80" fillId="0" borderId="3" xfId="23" applyNumberFormat="1" applyFont="1" applyBorder="1">
      <alignment vertical="center"/>
    </xf>
    <xf numFmtId="0" fontId="80" fillId="16" borderId="63" xfId="21" applyFont="1" applyFill="1" applyBorder="1">
      <alignment vertical="center"/>
    </xf>
    <xf numFmtId="41" fontId="80" fillId="16" borderId="63" xfId="22" applyFont="1" applyFill="1" applyBorder="1">
      <alignment vertical="center"/>
    </xf>
    <xf numFmtId="192" fontId="80" fillId="16" borderId="63" xfId="23" applyNumberFormat="1" applyFont="1" applyFill="1" applyBorder="1">
      <alignment vertical="center"/>
    </xf>
    <xf numFmtId="0" fontId="80" fillId="46" borderId="35" xfId="21" applyFont="1" applyFill="1" applyBorder="1">
      <alignment vertical="center"/>
    </xf>
    <xf numFmtId="0" fontId="80" fillId="13" borderId="47" xfId="21" applyFont="1" applyFill="1" applyBorder="1" applyAlignment="1">
      <alignment horizontal="center" vertical="center"/>
    </xf>
    <xf numFmtId="0" fontId="80" fillId="13" borderId="48" xfId="21" applyFont="1" applyFill="1" applyBorder="1" applyAlignment="1">
      <alignment horizontal="center" vertical="center"/>
    </xf>
    <xf numFmtId="41" fontId="80" fillId="13" borderId="47" xfId="22" applyFont="1" applyFill="1" applyBorder="1" applyAlignment="1">
      <alignment horizontal="center" vertical="center"/>
    </xf>
    <xf numFmtId="41" fontId="80" fillId="13" borderId="48" xfId="22" applyFont="1" applyFill="1" applyBorder="1" applyAlignment="1">
      <alignment horizontal="center" vertical="center"/>
    </xf>
    <xf numFmtId="41" fontId="0" fillId="0" borderId="0" xfId="0" applyNumberFormat="1" applyProtection="1">
      <alignment vertical="center"/>
      <protection locked="0"/>
    </xf>
    <xf numFmtId="192" fontId="17" fillId="0" borderId="0" xfId="14" applyNumberFormat="1" applyFont="1" applyProtection="1">
      <alignment vertical="center"/>
      <protection locked="0"/>
    </xf>
    <xf numFmtId="14" fontId="0" fillId="0" borderId="41" xfId="0" applyNumberFormat="1" applyBorder="1" applyAlignment="1" applyProtection="1">
      <alignment horizontal="center" vertical="center" wrapText="1"/>
      <protection locked="0"/>
    </xf>
    <xf numFmtId="213" fontId="0" fillId="0" borderId="0" xfId="0" applyNumberFormat="1" applyProtection="1">
      <alignment vertical="center"/>
      <protection locked="0"/>
    </xf>
    <xf numFmtId="0" fontId="5" fillId="47" borderId="0" xfId="0" applyFont="1" applyFill="1" applyProtection="1">
      <alignment vertical="center"/>
      <protection locked="0"/>
    </xf>
    <xf numFmtId="213" fontId="5" fillId="47" borderId="0" xfId="0" applyNumberFormat="1" applyFont="1" applyFill="1" applyProtection="1">
      <alignment vertical="center"/>
      <protection locked="0"/>
    </xf>
    <xf numFmtId="41" fontId="5" fillId="47" borderId="0" xfId="0" applyNumberFormat="1" applyFont="1" applyFill="1" applyProtection="1">
      <alignment vertical="center"/>
      <protection locked="0"/>
    </xf>
    <xf numFmtId="14" fontId="22" fillId="0" borderId="41" xfId="0" applyNumberFormat="1" applyFont="1" applyBorder="1" applyAlignment="1">
      <alignment horizontal="center" vertical="center"/>
    </xf>
    <xf numFmtId="213" fontId="22" fillId="0" borderId="0" xfId="0" applyNumberFormat="1" applyFont="1">
      <alignment vertical="center"/>
    </xf>
    <xf numFmtId="213" fontId="23" fillId="0" borderId="0" xfId="0" applyNumberFormat="1" applyFont="1">
      <alignment vertical="center"/>
    </xf>
    <xf numFmtId="0" fontId="23" fillId="0" borderId="0" xfId="0" applyFont="1" applyAlignment="1">
      <alignment horizontal="center" vertical="center"/>
    </xf>
  </cellXfs>
  <cellStyles count="17">
    <cellStyle name="40% - 강조색3 2" xfId="13"/>
    <cellStyle name="백분율" xfId="14" builtinId="5"/>
    <cellStyle name="백분율 2" xfId="23"/>
    <cellStyle name="백분율 2 2 2" xfId="18"/>
    <cellStyle name="쉼표" xfId="3" builtinId="3"/>
    <cellStyle name="쉼표 [0]" xfId="2" builtinId="6"/>
    <cellStyle name="쉼표 [0] 2" xfId="22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3" xfId="21"/>
    <cellStyle name="표준 4" xfId="15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65</c:v>
                </c:pt>
                <c:pt idx="1">
                  <c:v>515</c:v>
                </c:pt>
                <c:pt idx="2">
                  <c:v>1589</c:v>
                </c:pt>
                <c:pt idx="3">
                  <c:v>3471</c:v>
                </c:pt>
                <c:pt idx="4">
                  <c:v>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3315</c:v>
                </c:pt>
                <c:pt idx="1">
                  <c:v>11973</c:v>
                </c:pt>
                <c:pt idx="2">
                  <c:v>30426</c:v>
                </c:pt>
                <c:pt idx="3">
                  <c:v>40541</c:v>
                </c:pt>
                <c:pt idx="4">
                  <c:v>40541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194</c:v>
                </c:pt>
                <c:pt idx="1">
                  <c:v>257</c:v>
                </c:pt>
                <c:pt idx="2">
                  <c:v>11112</c:v>
                </c:pt>
                <c:pt idx="3">
                  <c:v>8371</c:v>
                </c:pt>
                <c:pt idx="4">
                  <c:v>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2528</c:v>
                </c:pt>
                <c:pt idx="1">
                  <c:v>4381</c:v>
                </c:pt>
                <c:pt idx="2">
                  <c:v>5847</c:v>
                </c:pt>
                <c:pt idx="3">
                  <c:v>4990</c:v>
                </c:pt>
                <c:pt idx="4">
                  <c:v>4990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5709</c:v>
                </c:pt>
                <c:pt idx="1">
                  <c:v>19758</c:v>
                </c:pt>
                <c:pt idx="2">
                  <c:v>13542</c:v>
                </c:pt>
                <c:pt idx="3">
                  <c:v>4217</c:v>
                </c:pt>
                <c:pt idx="4">
                  <c:v>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6270</c:v>
                </c:pt>
                <c:pt idx="1">
                  <c:v>6714</c:v>
                </c:pt>
                <c:pt idx="2">
                  <c:v>3415</c:v>
                </c:pt>
                <c:pt idx="3">
                  <c:v>-6572</c:v>
                </c:pt>
                <c:pt idx="4">
                  <c:v>-6572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3090</c:v>
                </c:pt>
                <c:pt idx="2">
                  <c:v>28683</c:v>
                </c:pt>
                <c:pt idx="3">
                  <c:v>28683</c:v>
                </c:pt>
                <c:pt idx="4">
                  <c:v>28683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300</c:v>
                </c:pt>
                <c:pt idx="1">
                  <c:v>368</c:v>
                </c:pt>
                <c:pt idx="2">
                  <c:v>753</c:v>
                </c:pt>
                <c:pt idx="3">
                  <c:v>753</c:v>
                </c:pt>
                <c:pt idx="4">
                  <c:v>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1167</c:v>
                </c:pt>
                <c:pt idx="1">
                  <c:v>16621</c:v>
                </c:pt>
                <c:pt idx="2">
                  <c:v>23640</c:v>
                </c:pt>
                <c:pt idx="3">
                  <c:v>14095</c:v>
                </c:pt>
                <c:pt idx="4">
                  <c:v>14095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4171</c:v>
                </c:pt>
                <c:pt idx="1">
                  <c:v>10263</c:v>
                </c:pt>
                <c:pt idx="2">
                  <c:v>7792</c:v>
                </c:pt>
                <c:pt idx="3">
                  <c:v>24953</c:v>
                </c:pt>
                <c:pt idx="4">
                  <c:v>24953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D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/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19"/>
  <sheetViews>
    <sheetView zoomScale="115" zoomScaleNormal="115" workbookViewId="0">
      <selection activeCell="E28" sqref="E28"/>
    </sheetView>
    <sheetView tabSelected="1" workbookViewId="1">
      <selection activeCell="K31" sqref="K31"/>
    </sheetView>
  </sheetViews>
  <sheetFormatPr defaultColWidth="15.75" defaultRowHeight="15" customHeight="1"/>
  <cols>
    <col min="1" max="1" width="7.5" style="779" customWidth="1"/>
    <col min="2" max="3" width="15.75" style="779"/>
    <col min="4" max="4" width="8.125" style="779" bestFit="1" customWidth="1"/>
    <col min="5" max="5" width="15.75" style="779"/>
    <col min="6" max="6" width="8.125" style="779" bestFit="1" customWidth="1"/>
    <col min="7" max="7" width="15.75" style="779"/>
    <col min="8" max="8" width="8.125" style="779" bestFit="1" customWidth="1"/>
    <col min="9" max="9" width="15.75" style="779"/>
    <col min="10" max="10" width="8.125" style="779" bestFit="1" customWidth="1"/>
    <col min="11" max="11" width="15.75" style="779"/>
    <col min="12" max="12" width="8.125" style="779" bestFit="1" customWidth="1"/>
    <col min="13" max="16384" width="15.75" style="779"/>
  </cols>
  <sheetData>
    <row r="2" spans="2:12" ht="15" customHeight="1">
      <c r="B2" s="778" t="s">
        <v>17689</v>
      </c>
    </row>
    <row r="3" spans="2:12" ht="15" customHeight="1">
      <c r="L3" s="780" t="s">
        <v>17690</v>
      </c>
    </row>
    <row r="4" spans="2:12" ht="15" customHeight="1">
      <c r="B4" s="781" t="s">
        <v>17702</v>
      </c>
      <c r="C4" s="782" t="s">
        <v>17691</v>
      </c>
      <c r="D4" s="783"/>
      <c r="E4" s="782" t="s">
        <v>17692</v>
      </c>
      <c r="F4" s="783"/>
      <c r="G4" s="782" t="s">
        <v>17693</v>
      </c>
      <c r="H4" s="783"/>
      <c r="I4" s="782" t="s">
        <v>17703</v>
      </c>
      <c r="J4" s="783"/>
      <c r="K4" s="784" t="s">
        <v>17694</v>
      </c>
      <c r="L4" s="784"/>
    </row>
    <row r="5" spans="2:12" ht="15" customHeight="1">
      <c r="B5" s="785"/>
      <c r="C5" s="786" t="s">
        <v>17696</v>
      </c>
      <c r="D5" s="787" t="s">
        <v>17695</v>
      </c>
      <c r="E5" s="786" t="s">
        <v>17696</v>
      </c>
      <c r="F5" s="787" t="s">
        <v>17695</v>
      </c>
      <c r="G5" s="786" t="s">
        <v>17696</v>
      </c>
      <c r="H5" s="787" t="s">
        <v>17695</v>
      </c>
      <c r="I5" s="786" t="s">
        <v>17704</v>
      </c>
      <c r="J5" s="787" t="s">
        <v>17695</v>
      </c>
      <c r="K5" s="786" t="s">
        <v>17696</v>
      </c>
      <c r="L5" s="787" t="s">
        <v>17695</v>
      </c>
    </row>
    <row r="6" spans="2:12" ht="15" customHeight="1">
      <c r="B6" s="788" t="s">
        <v>17705</v>
      </c>
      <c r="C6" s="789">
        <f>SUM(C7:C9)</f>
        <v>28404</v>
      </c>
      <c r="D6" s="790">
        <f>C6/C$6</f>
        <v>1</v>
      </c>
      <c r="E6" s="789">
        <f>SUM(E7:E9)</f>
        <v>41431</v>
      </c>
      <c r="F6" s="790">
        <f>E6/E$6</f>
        <v>1</v>
      </c>
      <c r="G6" s="789">
        <f>SUM(G7:G9)</f>
        <v>90834</v>
      </c>
      <c r="H6" s="790">
        <f>G6/G$6</f>
        <v>1</v>
      </c>
      <c r="I6" s="789">
        <f>SUM(I7:I9)</f>
        <v>93559</v>
      </c>
      <c r="J6" s="790">
        <f>I6/I$6</f>
        <v>1</v>
      </c>
      <c r="K6" s="789">
        <f>SUM(K7:K9)</f>
        <v>95430</v>
      </c>
      <c r="L6" s="790">
        <f>K6/K$6</f>
        <v>1</v>
      </c>
    </row>
    <row r="7" spans="2:12" ht="15" customHeight="1">
      <c r="B7" s="791" t="s">
        <v>17697</v>
      </c>
      <c r="C7" s="792">
        <v>10009</v>
      </c>
      <c r="D7" s="793">
        <f>C7/C$6</f>
        <v>0.35237994648641036</v>
      </c>
      <c r="E7" s="792">
        <v>11010</v>
      </c>
      <c r="F7" s="793">
        <f>E7/E$6</f>
        <v>0.26574304264922399</v>
      </c>
      <c r="G7" s="792">
        <v>12111</v>
      </c>
      <c r="H7" s="793">
        <f>G7/G$6</f>
        <v>0.13333113151463108</v>
      </c>
      <c r="I7" s="792">
        <v>12474</v>
      </c>
      <c r="J7" s="793">
        <f>I7/I$6</f>
        <v>0.13332763283062024</v>
      </c>
      <c r="K7" s="792">
        <v>12724</v>
      </c>
      <c r="L7" s="793">
        <f>K7/K$6</f>
        <v>0.13333333333333333</v>
      </c>
    </row>
    <row r="8" spans="2:12" ht="15" customHeight="1">
      <c r="B8" s="791" t="s">
        <v>17706</v>
      </c>
      <c r="C8" s="792">
        <v>7952</v>
      </c>
      <c r="D8" s="793">
        <f>C8/C$6</f>
        <v>0.27996056893395299</v>
      </c>
      <c r="E8" s="792">
        <v>10021</v>
      </c>
      <c r="F8" s="793">
        <f>E8/E$6</f>
        <v>0.24187202819145084</v>
      </c>
      <c r="G8" s="792">
        <v>11423</v>
      </c>
      <c r="H8" s="793">
        <f>G8/G$6</f>
        <v>0.12575687517889778</v>
      </c>
      <c r="I8" s="792">
        <v>11766</v>
      </c>
      <c r="J8" s="793">
        <f>I8/I$6</f>
        <v>0.12576021547900257</v>
      </c>
      <c r="K8" s="792">
        <v>12001</v>
      </c>
      <c r="L8" s="793">
        <f>K8/K$6</f>
        <v>0.1257570994446191</v>
      </c>
    </row>
    <row r="9" spans="2:12" ht="15" customHeight="1">
      <c r="B9" s="791" t="s">
        <v>17698</v>
      </c>
      <c r="C9" s="792">
        <v>10443</v>
      </c>
      <c r="D9" s="793">
        <f>C9/C$6</f>
        <v>0.36765948457963665</v>
      </c>
      <c r="E9" s="792">
        <v>20400</v>
      </c>
      <c r="F9" s="793">
        <f>E9/E$6</f>
        <v>0.49238492915932514</v>
      </c>
      <c r="G9" s="792">
        <v>67300</v>
      </c>
      <c r="H9" s="793">
        <f>G9/G$6</f>
        <v>0.74091199330647117</v>
      </c>
      <c r="I9" s="792">
        <v>69319</v>
      </c>
      <c r="J9" s="793">
        <f>I9/I$6</f>
        <v>0.74091215169037716</v>
      </c>
      <c r="K9" s="792">
        <v>70705</v>
      </c>
      <c r="L9" s="793">
        <f>K9/K$6</f>
        <v>0.74090956722204759</v>
      </c>
    </row>
    <row r="10" spans="2:12" ht="15" customHeight="1">
      <c r="B10" s="788" t="s">
        <v>17707</v>
      </c>
      <c r="C10" s="789">
        <f>SUM(C11:C13)</f>
        <v>22470</v>
      </c>
      <c r="D10" s="790">
        <f>C10/C$6</f>
        <v>0.79108576256865226</v>
      </c>
      <c r="E10" s="789">
        <f>SUM(E11:E13)</f>
        <v>32485</v>
      </c>
      <c r="F10" s="790">
        <f>E10/E$6</f>
        <v>0.78407472665395472</v>
      </c>
      <c r="G10" s="789">
        <f>SUM(G11:G13)</f>
        <v>66589</v>
      </c>
      <c r="H10" s="790">
        <f>G10/G$6</f>
        <v>0.73308452781997935</v>
      </c>
      <c r="I10" s="789">
        <f>SUM(I11:I13)</f>
        <v>68367</v>
      </c>
      <c r="J10" s="790">
        <f>I10/I$6</f>
        <v>0.73073675434752405</v>
      </c>
      <c r="K10" s="789">
        <f>SUM(K11:K13)</f>
        <v>69709</v>
      </c>
      <c r="L10" s="790">
        <f>K10/K$6</f>
        <v>0.73047259771560302</v>
      </c>
    </row>
    <row r="11" spans="2:12" ht="15" customHeight="1">
      <c r="B11" s="791" t="s">
        <v>17699</v>
      </c>
      <c r="C11" s="792">
        <v>11081</v>
      </c>
      <c r="D11" s="793">
        <f>C11/C$10</f>
        <v>0.49314641744548288</v>
      </c>
      <c r="E11" s="792">
        <v>17155</v>
      </c>
      <c r="F11" s="793">
        <f>E11/E$10</f>
        <v>0.5280898876404494</v>
      </c>
      <c r="G11" s="792">
        <v>34717</v>
      </c>
      <c r="H11" s="793">
        <f>G11/G$10</f>
        <v>0.52136238718106598</v>
      </c>
      <c r="I11" s="792">
        <v>35758</v>
      </c>
      <c r="J11" s="793">
        <f>I11/I$10</f>
        <v>0.52303011686924983</v>
      </c>
      <c r="K11" s="792">
        <v>36474</v>
      </c>
      <c r="L11" s="793">
        <f>K11/K$10</f>
        <v>0.52323229425181828</v>
      </c>
    </row>
    <row r="12" spans="2:12" ht="15" customHeight="1">
      <c r="B12" s="791" t="s">
        <v>17708</v>
      </c>
      <c r="C12" s="792">
        <v>3237</v>
      </c>
      <c r="D12" s="793">
        <f>C12/C$10</f>
        <v>0.14405874499332444</v>
      </c>
      <c r="E12" s="792">
        <v>4208</v>
      </c>
      <c r="F12" s="793">
        <f>E12/E$10</f>
        <v>0.12953670925042327</v>
      </c>
      <c r="G12" s="792">
        <v>6312</v>
      </c>
      <c r="H12" s="793">
        <f>G12/G$10</f>
        <v>9.4790430851942512E-2</v>
      </c>
      <c r="I12" s="792">
        <v>6628</v>
      </c>
      <c r="J12" s="793">
        <f>I12/I$10</f>
        <v>9.6947357643307447E-2</v>
      </c>
      <c r="K12" s="792">
        <v>6959</v>
      </c>
      <c r="L12" s="793">
        <f>K12/K$10</f>
        <v>9.9829290335537738E-2</v>
      </c>
    </row>
    <row r="13" spans="2:12" ht="15" customHeight="1">
      <c r="B13" s="791" t="s">
        <v>17709</v>
      </c>
      <c r="C13" s="792">
        <v>8152</v>
      </c>
      <c r="D13" s="793">
        <f>C13/C$10</f>
        <v>0.36279483756119268</v>
      </c>
      <c r="E13" s="792">
        <v>11122</v>
      </c>
      <c r="F13" s="793">
        <f>E13/E$10</f>
        <v>0.34237340310912728</v>
      </c>
      <c r="G13" s="792">
        <v>25560</v>
      </c>
      <c r="H13" s="793">
        <f>G13/G$10</f>
        <v>0.38384718196699152</v>
      </c>
      <c r="I13" s="792">
        <v>25981</v>
      </c>
      <c r="J13" s="793">
        <f>I13/I$10</f>
        <v>0.38002252548744275</v>
      </c>
      <c r="K13" s="792">
        <v>26276</v>
      </c>
      <c r="L13" s="793">
        <f>K13/K$10</f>
        <v>0.376938415412644</v>
      </c>
    </row>
    <row r="14" spans="2:12" ht="15" customHeight="1">
      <c r="B14" s="788" t="s">
        <v>17710</v>
      </c>
      <c r="C14" s="789">
        <f>C6-C10</f>
        <v>5934</v>
      </c>
      <c r="D14" s="790">
        <f>C14/C$6</f>
        <v>0.20891423743134771</v>
      </c>
      <c r="E14" s="789">
        <f>E6-E10</f>
        <v>8946</v>
      </c>
      <c r="F14" s="790">
        <f>E14/E$6</f>
        <v>0.21592527334604522</v>
      </c>
      <c r="G14" s="789">
        <f>G6-G10</f>
        <v>24245</v>
      </c>
      <c r="H14" s="790">
        <f>G14/G$6</f>
        <v>0.26691547218002071</v>
      </c>
      <c r="I14" s="789">
        <f>I6-I10</f>
        <v>25192</v>
      </c>
      <c r="J14" s="790">
        <f>I14/I$6</f>
        <v>0.269263245652476</v>
      </c>
      <c r="K14" s="789">
        <f>K6-K10</f>
        <v>25721</v>
      </c>
      <c r="L14" s="790">
        <f>K14/K$6</f>
        <v>0.26952740228439692</v>
      </c>
    </row>
    <row r="15" spans="2:12" ht="15" customHeight="1">
      <c r="B15" s="788" t="s">
        <v>17711</v>
      </c>
      <c r="C15" s="789">
        <f>SUM(C16:C17)</f>
        <v>5104</v>
      </c>
      <c r="D15" s="790">
        <f>C15/C$6</f>
        <v>0.17969300098577665</v>
      </c>
      <c r="E15" s="789">
        <f>SUM(E16:E17)</f>
        <v>6304</v>
      </c>
      <c r="F15" s="790">
        <f>E15/E$6</f>
        <v>0.15215659771668558</v>
      </c>
      <c r="G15" s="789">
        <f>SUM(G16:G17)</f>
        <v>8475</v>
      </c>
      <c r="H15" s="790">
        <f>G15/G$6</f>
        <v>9.3302067507761405E-2</v>
      </c>
      <c r="I15" s="789">
        <f>SUM(I16:I17)</f>
        <v>8889</v>
      </c>
      <c r="J15" s="790">
        <f>I15/I$6</f>
        <v>9.5009566156115388E-2</v>
      </c>
      <c r="K15" s="789">
        <f>SUM(K16:K17)</f>
        <v>9323</v>
      </c>
      <c r="L15" s="790">
        <f>K15/K$6</f>
        <v>9.7694645289741172E-2</v>
      </c>
    </row>
    <row r="16" spans="2:12" ht="15" customHeight="1">
      <c r="B16" s="791" t="s">
        <v>17700</v>
      </c>
      <c r="C16" s="792">
        <v>2104</v>
      </c>
      <c r="D16" s="793">
        <f>C16/C$15</f>
        <v>0.41222570532915359</v>
      </c>
      <c r="E16" s="792">
        <v>2404</v>
      </c>
      <c r="F16" s="793">
        <f>E16/E$15</f>
        <v>0.38134517766497461</v>
      </c>
      <c r="G16" s="792">
        <v>2625</v>
      </c>
      <c r="H16" s="793">
        <f>G16/G$15</f>
        <v>0.30973451327433627</v>
      </c>
      <c r="I16" s="792">
        <v>2746</v>
      </c>
      <c r="J16" s="793">
        <f>I16/I$15</f>
        <v>0.30892113848576891</v>
      </c>
      <c r="K16" s="792">
        <v>2873</v>
      </c>
      <c r="L16" s="793">
        <f>K16/K$15</f>
        <v>0.30816260860238121</v>
      </c>
    </row>
    <row r="17" spans="2:12" ht="15" customHeight="1">
      <c r="B17" s="791" t="s">
        <v>17712</v>
      </c>
      <c r="C17" s="792">
        <v>3000</v>
      </c>
      <c r="D17" s="793">
        <f>C17/C$15</f>
        <v>0.58777429467084641</v>
      </c>
      <c r="E17" s="792">
        <v>3900</v>
      </c>
      <c r="F17" s="793">
        <f>E17/E$15</f>
        <v>0.61865482233502533</v>
      </c>
      <c r="G17" s="792">
        <v>5850</v>
      </c>
      <c r="H17" s="793">
        <f>G17/G$15</f>
        <v>0.69026548672566368</v>
      </c>
      <c r="I17" s="792">
        <v>6143</v>
      </c>
      <c r="J17" s="793">
        <f>I17/I$15</f>
        <v>0.69107886151423104</v>
      </c>
      <c r="K17" s="792">
        <v>6450</v>
      </c>
      <c r="L17" s="793">
        <f>K17/K$15</f>
        <v>0.69183739139761879</v>
      </c>
    </row>
    <row r="18" spans="2:12" ht="15" customHeight="1" thickBot="1">
      <c r="B18" s="794" t="s">
        <v>17701</v>
      </c>
      <c r="C18" s="795">
        <f>C14-C15</f>
        <v>830</v>
      </c>
      <c r="D18" s="796">
        <f>C18/C$6</f>
        <v>2.9221236445571046E-2</v>
      </c>
      <c r="E18" s="795">
        <f>E14-E15</f>
        <v>2642</v>
      </c>
      <c r="F18" s="796">
        <f>E18/E$6</f>
        <v>6.3768675629359658E-2</v>
      </c>
      <c r="G18" s="795">
        <f>G14-G15</f>
        <v>15770</v>
      </c>
      <c r="H18" s="796">
        <f>G18/G$6</f>
        <v>0.17361340467225927</v>
      </c>
      <c r="I18" s="795">
        <f>I14-I15</f>
        <v>16303</v>
      </c>
      <c r="J18" s="796">
        <f>I18/I$6</f>
        <v>0.17425367949636059</v>
      </c>
      <c r="K18" s="795">
        <f>K14-K15</f>
        <v>16398</v>
      </c>
      <c r="L18" s="796">
        <f>K18/K$6</f>
        <v>0.17183275699465578</v>
      </c>
    </row>
    <row r="19" spans="2:12" ht="15" customHeight="1" thickTop="1">
      <c r="B19" s="797" t="s">
        <v>17713</v>
      </c>
      <c r="C19" s="798"/>
      <c r="D19" s="799"/>
      <c r="E19" s="800" t="s">
        <v>17714</v>
      </c>
      <c r="F19" s="801"/>
      <c r="G19" s="798"/>
      <c r="H19" s="799"/>
      <c r="I19" s="798"/>
      <c r="J19" s="799"/>
      <c r="K19" s="798"/>
      <c r="L19" s="799"/>
    </row>
  </sheetData>
  <mergeCells count="11">
    <mergeCell ref="C19:D19"/>
    <mergeCell ref="E19:F19"/>
    <mergeCell ref="G19:H19"/>
    <mergeCell ref="I19:J19"/>
    <mergeCell ref="K19:L19"/>
    <mergeCell ref="B4:B5"/>
    <mergeCell ref="C4:D4"/>
    <mergeCell ref="E4:F4"/>
    <mergeCell ref="G4:H4"/>
    <mergeCell ref="I4:J4"/>
    <mergeCell ref="K4:L4"/>
  </mergeCells>
  <phoneticPr fontId="9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8"/>
  <sheetViews>
    <sheetView tabSelected="1" workbookViewId="0">
      <selection activeCell="F87" sqref="F87"/>
    </sheetView>
    <sheetView workbookViewId="1"/>
  </sheetViews>
  <sheetFormatPr defaultRowHeight="15" customHeight="1"/>
  <cols>
    <col min="1" max="3" width="1.625" style="811" customWidth="1"/>
    <col min="4" max="4" width="20.75" style="811" customWidth="1"/>
    <col min="5" max="5" width="16.25" style="811" customWidth="1"/>
    <col min="6" max="6" width="15" style="811" customWidth="1"/>
    <col min="7" max="16384" width="9" style="811"/>
  </cols>
  <sheetData>
    <row r="1" spans="1:6" s="812" customFormat="1" ht="15" customHeight="1">
      <c r="E1" s="812" t="s">
        <v>17801</v>
      </c>
      <c r="F1" s="812" t="s">
        <v>17802</v>
      </c>
    </row>
    <row r="2" spans="1:6" s="809" customFormat="1" ht="15" customHeight="1">
      <c r="E2" s="809">
        <v>45291</v>
      </c>
      <c r="F2" s="809">
        <v>45565</v>
      </c>
    </row>
    <row r="3" spans="1:6" s="810" customFormat="1" ht="15" customHeight="1">
      <c r="A3" s="810" t="s">
        <v>17724</v>
      </c>
    </row>
    <row r="4" spans="1:6" s="810" customFormat="1" ht="15" customHeight="1">
      <c r="B4" s="810" t="s">
        <v>17725</v>
      </c>
      <c r="E4" s="810">
        <f>SUM(E17,E5)</f>
        <v>9206787240</v>
      </c>
      <c r="F4" s="810">
        <f t="shared" ref="F4" si="0">SUM(F17,F5)</f>
        <v>7515337582</v>
      </c>
    </row>
    <row r="5" spans="1:6" s="810" customFormat="1" ht="15" customHeight="1">
      <c r="C5" s="810" t="s">
        <v>17726</v>
      </c>
      <c r="E5" s="810">
        <f>SUM(E6:E16)</f>
        <v>4217277544</v>
      </c>
      <c r="F5" s="810">
        <f t="shared" ref="F5" si="1">SUM(F6:F16)</f>
        <v>2703869857</v>
      </c>
    </row>
    <row r="6" spans="1:6" ht="15" customHeight="1">
      <c r="D6" s="811" t="s">
        <v>17727</v>
      </c>
      <c r="E6" s="811">
        <v>0</v>
      </c>
      <c r="F6" s="811">
        <v>200000</v>
      </c>
    </row>
    <row r="7" spans="1:6" ht="15" customHeight="1">
      <c r="D7" s="811" t="s">
        <v>17728</v>
      </c>
      <c r="E7" s="811">
        <v>1922188398</v>
      </c>
      <c r="F7" s="811">
        <v>1037108180</v>
      </c>
    </row>
    <row r="8" spans="1:6" ht="15" customHeight="1">
      <c r="D8" s="811" t="s">
        <v>17729</v>
      </c>
      <c r="E8" s="811">
        <v>14041866</v>
      </c>
      <c r="F8" s="811">
        <v>14042566</v>
      </c>
    </row>
    <row r="9" spans="1:6" ht="15" customHeight="1">
      <c r="D9" s="811" t="s">
        <v>17730</v>
      </c>
      <c r="E9" s="811">
        <v>918690019</v>
      </c>
      <c r="F9" s="811">
        <v>434828729</v>
      </c>
    </row>
    <row r="10" spans="1:6" ht="15" customHeight="1">
      <c r="D10" s="811" t="s">
        <v>17731</v>
      </c>
      <c r="E10" s="811">
        <v>-55904869</v>
      </c>
      <c r="F10" s="811">
        <v>-50586569</v>
      </c>
    </row>
    <row r="11" spans="1:6" ht="15" customHeight="1">
      <c r="D11" s="811" t="s">
        <v>17732</v>
      </c>
      <c r="E11" s="811">
        <v>0</v>
      </c>
      <c r="F11" s="811">
        <v>26991000</v>
      </c>
    </row>
    <row r="12" spans="1:6" ht="15" customHeight="1">
      <c r="D12" s="811" t="s">
        <v>17733</v>
      </c>
      <c r="E12" s="811">
        <v>1159533666</v>
      </c>
      <c r="F12" s="811">
        <v>1022106756</v>
      </c>
    </row>
    <row r="13" spans="1:6" ht="15" customHeight="1">
      <c r="D13" s="811" t="s">
        <v>17803</v>
      </c>
      <c r="E13" s="811">
        <v>1764676</v>
      </c>
      <c r="F13" s="811">
        <v>45243168</v>
      </c>
    </row>
    <row r="14" spans="1:6" ht="15" customHeight="1">
      <c r="D14" s="811" t="s">
        <v>17734</v>
      </c>
      <c r="E14" s="811">
        <v>57662952</v>
      </c>
      <c r="F14" s="811">
        <v>32832952</v>
      </c>
    </row>
    <row r="15" spans="1:6" ht="15" customHeight="1">
      <c r="D15" s="811" t="s">
        <v>17735</v>
      </c>
      <c r="E15" s="811">
        <v>179311356</v>
      </c>
      <c r="F15" s="811">
        <v>140081505</v>
      </c>
    </row>
    <row r="16" spans="1:6" ht="15" customHeight="1">
      <c r="D16" s="811" t="s">
        <v>17736</v>
      </c>
      <c r="E16" s="811">
        <v>19989480</v>
      </c>
      <c r="F16" s="811">
        <v>1021570</v>
      </c>
    </row>
    <row r="17" spans="2:6" s="810" customFormat="1" ht="15" customHeight="1">
      <c r="C17" s="810" t="s">
        <v>17737</v>
      </c>
      <c r="E17" s="810">
        <f>SUM(E18:E22)</f>
        <v>4989509696</v>
      </c>
      <c r="F17" s="810">
        <f t="shared" ref="F17" si="2">SUM(F18:F22)</f>
        <v>4811467725</v>
      </c>
    </row>
    <row r="18" spans="2:6" ht="15" customHeight="1">
      <c r="D18" s="811" t="s">
        <v>17738</v>
      </c>
      <c r="E18" s="811">
        <v>3949579206</v>
      </c>
      <c r="F18" s="811">
        <v>3701572930</v>
      </c>
    </row>
    <row r="19" spans="2:6" ht="15" customHeight="1">
      <c r="D19" s="811" t="s">
        <v>17739</v>
      </c>
      <c r="E19" s="811">
        <v>-973449396</v>
      </c>
      <c r="F19" s="811">
        <v>-741708366</v>
      </c>
    </row>
    <row r="20" spans="2:6" ht="15" customHeight="1">
      <c r="D20" s="811" t="s">
        <v>17740</v>
      </c>
      <c r="E20" s="811">
        <v>1571819918</v>
      </c>
      <c r="F20" s="811">
        <v>829835467</v>
      </c>
    </row>
    <row r="21" spans="2:6" ht="15" customHeight="1">
      <c r="D21" s="811" t="s">
        <v>17741</v>
      </c>
      <c r="E21" s="811">
        <v>231367750</v>
      </c>
      <c r="F21" s="811">
        <v>231367750</v>
      </c>
    </row>
    <row r="22" spans="2:6" ht="15" customHeight="1">
      <c r="D22" s="811" t="s">
        <v>17742</v>
      </c>
      <c r="E22" s="811">
        <v>210192218</v>
      </c>
      <c r="F22" s="811">
        <v>790399944</v>
      </c>
    </row>
    <row r="23" spans="2:6" s="810" customFormat="1" ht="15" customHeight="1">
      <c r="B23" s="810" t="s">
        <v>17743</v>
      </c>
      <c r="E23" s="810">
        <f>SUM(E24,E26,E44,E48)</f>
        <v>52706380673</v>
      </c>
      <c r="F23" s="810">
        <f t="shared" ref="F23" si="3">SUM(F24,F26,F44,F48)</f>
        <v>52565627567</v>
      </c>
    </row>
    <row r="24" spans="2:6" s="810" customFormat="1" ht="15" customHeight="1">
      <c r="C24" s="810" t="s">
        <v>17744</v>
      </c>
      <c r="E24" s="810">
        <f>SUM(E25)</f>
        <v>8371080004</v>
      </c>
      <c r="F24" s="810">
        <f t="shared" ref="F24" si="4">SUM(F25)</f>
        <v>8045894191</v>
      </c>
    </row>
    <row r="25" spans="2:6" ht="15" customHeight="1">
      <c r="D25" s="811" t="s">
        <v>17745</v>
      </c>
      <c r="E25" s="811">
        <v>8371080004</v>
      </c>
      <c r="F25" s="811">
        <v>8045894191</v>
      </c>
    </row>
    <row r="26" spans="2:6" s="810" customFormat="1" ht="15" customHeight="1">
      <c r="C26" s="810" t="s">
        <v>17746</v>
      </c>
      <c r="E26" s="810">
        <f>SUM(E27:E43)</f>
        <v>40540627261</v>
      </c>
      <c r="F26" s="810">
        <f t="shared" ref="F26" si="5">SUM(F27:F43)</f>
        <v>40418590469</v>
      </c>
    </row>
    <row r="27" spans="2:6" ht="15" customHeight="1">
      <c r="D27" s="811" t="s">
        <v>17747</v>
      </c>
      <c r="E27" s="811">
        <v>476278760</v>
      </c>
      <c r="F27" s="811">
        <v>473917160</v>
      </c>
    </row>
    <row r="28" spans="2:6" ht="15" customHeight="1">
      <c r="D28" s="811" t="s">
        <v>17748</v>
      </c>
      <c r="E28" s="811">
        <v>13146535770</v>
      </c>
      <c r="F28" s="811">
        <v>12944568659</v>
      </c>
    </row>
    <row r="29" spans="2:6" ht="15" customHeight="1">
      <c r="D29" s="811" t="s">
        <v>17749</v>
      </c>
      <c r="E29" s="811">
        <v>-686583421</v>
      </c>
      <c r="F29" s="811">
        <v>-918304425</v>
      </c>
    </row>
    <row r="30" spans="2:6" ht="15" customHeight="1">
      <c r="D30" s="811" t="s">
        <v>17750</v>
      </c>
      <c r="E30" s="811">
        <v>15553336568</v>
      </c>
      <c r="F30" s="811">
        <v>16690054737</v>
      </c>
    </row>
    <row r="31" spans="2:6" ht="15" customHeight="1">
      <c r="D31" s="811" t="s">
        <v>17751</v>
      </c>
      <c r="E31" s="811">
        <v>-13182929</v>
      </c>
      <c r="F31" s="811">
        <v>-143728453</v>
      </c>
    </row>
    <row r="32" spans="2:6" ht="15" customHeight="1">
      <c r="D32" s="811" t="s">
        <v>17749</v>
      </c>
      <c r="E32" s="811">
        <v>-7102303105</v>
      </c>
      <c r="F32" s="811">
        <v>-8087390502</v>
      </c>
    </row>
    <row r="33" spans="3:6" ht="15" customHeight="1">
      <c r="D33" s="811" t="s">
        <v>17752</v>
      </c>
      <c r="E33" s="811">
        <v>306923194</v>
      </c>
      <c r="F33" s="811">
        <v>264530152</v>
      </c>
    </row>
    <row r="34" spans="3:6" ht="15" customHeight="1">
      <c r="D34" s="811" t="s">
        <v>17749</v>
      </c>
      <c r="E34" s="811">
        <v>-232682804</v>
      </c>
      <c r="F34" s="811">
        <v>-218213980</v>
      </c>
    </row>
    <row r="35" spans="3:6" ht="15" customHeight="1">
      <c r="D35" s="811" t="s">
        <v>17753</v>
      </c>
      <c r="E35" s="811">
        <v>365516636</v>
      </c>
      <c r="F35" s="811">
        <v>365516636</v>
      </c>
    </row>
    <row r="36" spans="3:6" ht="15" customHeight="1">
      <c r="D36" s="811" t="s">
        <v>17749</v>
      </c>
      <c r="E36" s="811">
        <v>-66191665</v>
      </c>
      <c r="F36" s="811">
        <v>-99073798</v>
      </c>
    </row>
    <row r="37" spans="3:6" ht="15" customHeight="1">
      <c r="D37" s="811" t="s">
        <v>17754</v>
      </c>
      <c r="E37" s="811">
        <v>839855755</v>
      </c>
      <c r="F37" s="811">
        <v>837728482</v>
      </c>
    </row>
    <row r="38" spans="3:6" ht="15" customHeight="1">
      <c r="D38" s="811" t="s">
        <v>17749</v>
      </c>
      <c r="E38" s="811">
        <v>-473710771</v>
      </c>
      <c r="F38" s="811">
        <v>-549555666</v>
      </c>
    </row>
    <row r="39" spans="3:6" ht="15" customHeight="1">
      <c r="D39" s="811" t="s">
        <v>17751</v>
      </c>
      <c r="E39" s="811">
        <v>-2645576</v>
      </c>
      <c r="F39" s="811">
        <v>-1721860</v>
      </c>
    </row>
    <row r="40" spans="3:6" ht="15" customHeight="1">
      <c r="D40" s="811" t="s">
        <v>17755</v>
      </c>
      <c r="E40" s="811">
        <v>20879797128</v>
      </c>
      <c r="F40" s="811">
        <v>21379067115</v>
      </c>
    </row>
    <row r="41" spans="3:6" ht="15" customHeight="1">
      <c r="D41" s="811" t="s">
        <v>17756</v>
      </c>
      <c r="E41" s="811">
        <v>730533263</v>
      </c>
      <c r="F41" s="811">
        <v>730533263</v>
      </c>
    </row>
    <row r="42" spans="3:6" ht="15" customHeight="1">
      <c r="D42" s="811" t="s">
        <v>17749</v>
      </c>
      <c r="E42" s="811">
        <v>-37849542</v>
      </c>
      <c r="F42" s="811">
        <v>-106337051</v>
      </c>
    </row>
    <row r="43" spans="3:6" ht="15" customHeight="1">
      <c r="D43" s="811" t="s">
        <v>17751</v>
      </c>
      <c r="E43" s="811">
        <v>-3143000000</v>
      </c>
      <c r="F43" s="811">
        <v>-3143000000</v>
      </c>
    </row>
    <row r="44" spans="3:6" s="810" customFormat="1" ht="15" customHeight="1">
      <c r="C44" s="810" t="s">
        <v>17757</v>
      </c>
      <c r="E44" s="810">
        <f>SUM(E45:E47)</f>
        <v>3471149808</v>
      </c>
      <c r="F44" s="810">
        <f t="shared" ref="F44" si="6">SUM(F45:F47)</f>
        <v>3943899307</v>
      </c>
    </row>
    <row r="45" spans="3:6" ht="15" customHeight="1">
      <c r="D45" s="811" t="s">
        <v>17758</v>
      </c>
      <c r="E45" s="811">
        <v>3575079004</v>
      </c>
      <c r="F45" s="811">
        <v>4059648528</v>
      </c>
    </row>
    <row r="46" spans="3:6" ht="15" customHeight="1">
      <c r="D46" s="811" t="s">
        <v>17759</v>
      </c>
      <c r="E46" s="811">
        <v>59023504</v>
      </c>
      <c r="F46" s="811">
        <v>47203479</v>
      </c>
    </row>
    <row r="47" spans="3:6" ht="15" customHeight="1">
      <c r="D47" s="811" t="s">
        <v>17760</v>
      </c>
      <c r="E47" s="811">
        <v>-162952700</v>
      </c>
      <c r="F47" s="811">
        <v>-162952700</v>
      </c>
    </row>
    <row r="48" spans="3:6" s="810" customFormat="1" ht="15" customHeight="1">
      <c r="C48" s="810" t="s">
        <v>17761</v>
      </c>
      <c r="E48" s="810">
        <f>SUM(E49:E50)</f>
        <v>323523600</v>
      </c>
      <c r="F48" s="810">
        <f t="shared" ref="F48" si="7">SUM(F49:F50)</f>
        <v>157243600</v>
      </c>
    </row>
    <row r="49" spans="1:6" ht="15" customHeight="1">
      <c r="D49" s="811" t="s">
        <v>17762</v>
      </c>
      <c r="E49" s="811">
        <v>303803600</v>
      </c>
      <c r="F49" s="811">
        <v>146323600</v>
      </c>
    </row>
    <row r="50" spans="1:6" ht="15" customHeight="1">
      <c r="D50" s="811" t="s">
        <v>17763</v>
      </c>
      <c r="E50" s="811">
        <v>19720000</v>
      </c>
      <c r="F50" s="811">
        <v>10920000</v>
      </c>
    </row>
    <row r="51" spans="1:6" s="810" customFormat="1" ht="15" customHeight="1">
      <c r="A51" s="810" t="s">
        <v>17764</v>
      </c>
      <c r="E51" s="810">
        <f>SUM(E4,E23)</f>
        <v>61913167913</v>
      </c>
      <c r="F51" s="810">
        <f t="shared" ref="F51" si="8">SUM(F4,F23)</f>
        <v>60080965149</v>
      </c>
    </row>
    <row r="52" spans="1:6" s="810" customFormat="1" ht="15" customHeight="1">
      <c r="A52" s="810" t="s">
        <v>17765</v>
      </c>
    </row>
    <row r="53" spans="1:6" s="810" customFormat="1" ht="15" customHeight="1">
      <c r="C53" s="810" t="s">
        <v>17766</v>
      </c>
      <c r="E53" s="810">
        <f>SUM(E54:E66)</f>
        <v>24953223256</v>
      </c>
      <c r="F53" s="810">
        <f t="shared" ref="F53" si="9">SUM(F54:F66)</f>
        <v>26138214579</v>
      </c>
    </row>
    <row r="54" spans="1:6" ht="15" customHeight="1">
      <c r="D54" s="811" t="s">
        <v>17767</v>
      </c>
      <c r="E54" s="811">
        <v>478018120</v>
      </c>
      <c r="F54" s="811">
        <v>314352052</v>
      </c>
    </row>
    <row r="55" spans="1:6" ht="15" customHeight="1">
      <c r="D55" s="811" t="s">
        <v>17768</v>
      </c>
      <c r="E55" s="811">
        <v>589170536</v>
      </c>
      <c r="F55" s="811">
        <v>708746110</v>
      </c>
    </row>
    <row r="56" spans="1:6" ht="15" customHeight="1">
      <c r="D56" s="811" t="s">
        <v>17769</v>
      </c>
      <c r="E56" s="811">
        <v>63955560</v>
      </c>
      <c r="F56" s="811">
        <v>32162990</v>
      </c>
    </row>
    <row r="57" spans="1:6" ht="15" customHeight="1">
      <c r="D57" s="811" t="s">
        <v>17770</v>
      </c>
      <c r="E57" s="811">
        <v>0</v>
      </c>
      <c r="F57" s="811">
        <v>2419775000</v>
      </c>
    </row>
    <row r="58" spans="1:6" ht="15" customHeight="1">
      <c r="D58" s="811" t="s">
        <v>17771</v>
      </c>
      <c r="E58" s="811">
        <v>821844000</v>
      </c>
      <c r="F58" s="811">
        <v>1255985100</v>
      </c>
    </row>
    <row r="59" spans="1:6" ht="15" customHeight="1">
      <c r="D59" s="811" t="s">
        <v>17772</v>
      </c>
      <c r="E59" s="811">
        <v>5900000000</v>
      </c>
      <c r="F59" s="811">
        <v>5969500000</v>
      </c>
    </row>
    <row r="60" spans="1:6" ht="15" customHeight="1">
      <c r="D60" s="811" t="s">
        <v>17773</v>
      </c>
      <c r="E60" s="811">
        <v>547046256</v>
      </c>
      <c r="F60" s="811">
        <v>376820706</v>
      </c>
    </row>
    <row r="61" spans="1:6" ht="15" customHeight="1">
      <c r="D61" s="811" t="s">
        <v>17774</v>
      </c>
      <c r="E61" s="811">
        <v>2498990000</v>
      </c>
      <c r="F61" s="811">
        <v>190280000</v>
      </c>
    </row>
    <row r="62" spans="1:6" ht="15" customHeight="1">
      <c r="D62" s="811" t="s">
        <v>17775</v>
      </c>
      <c r="E62" s="811">
        <v>12000000000</v>
      </c>
      <c r="F62" s="811">
        <v>12000000000</v>
      </c>
    </row>
    <row r="63" spans="1:6" ht="15" customHeight="1">
      <c r="D63" s="811" t="s">
        <v>17776</v>
      </c>
      <c r="E63" s="811">
        <v>-2912960937</v>
      </c>
      <c r="F63" s="811">
        <v>-2064795568</v>
      </c>
    </row>
    <row r="64" spans="1:6" ht="15" customHeight="1">
      <c r="D64" s="811" t="s">
        <v>17804</v>
      </c>
      <c r="E64" s="811">
        <v>4830620768</v>
      </c>
      <c r="F64" s="811">
        <v>4830620768</v>
      </c>
    </row>
    <row r="65" spans="1:6" ht="15" customHeight="1">
      <c r="D65" s="811" t="s">
        <v>17777</v>
      </c>
      <c r="E65" s="811">
        <v>2620268</v>
      </c>
      <c r="F65" s="811">
        <v>2620268</v>
      </c>
    </row>
    <row r="66" spans="1:6" ht="15" customHeight="1">
      <c r="D66" s="811" t="s">
        <v>17778</v>
      </c>
      <c r="E66" s="811">
        <v>133918685</v>
      </c>
      <c r="F66" s="811">
        <v>102147153</v>
      </c>
    </row>
    <row r="67" spans="1:6" s="810" customFormat="1" ht="15" customHeight="1">
      <c r="C67" s="810" t="s">
        <v>17779</v>
      </c>
      <c r="E67" s="810">
        <f>SUM(E68:E73)</f>
        <v>14095046434</v>
      </c>
      <c r="F67" s="810">
        <f t="shared" ref="F67" si="10">SUM(F68:F73)</f>
        <v>15117950038</v>
      </c>
    </row>
    <row r="68" spans="1:6" ht="15" customHeight="1">
      <c r="D68" s="811" t="s">
        <v>17780</v>
      </c>
      <c r="E68" s="811">
        <v>13459270000</v>
      </c>
      <c r="F68" s="811">
        <v>13459270000</v>
      </c>
    </row>
    <row r="69" spans="1:6" ht="15" customHeight="1">
      <c r="D69" s="811" t="s">
        <v>17781</v>
      </c>
      <c r="E69" s="811">
        <v>658350834</v>
      </c>
      <c r="F69" s="811">
        <v>721317820</v>
      </c>
    </row>
    <row r="70" spans="1:6" ht="15" customHeight="1">
      <c r="D70" s="811" t="s">
        <v>17782</v>
      </c>
      <c r="E70" s="811">
        <v>-22574400</v>
      </c>
      <c r="F70" s="811">
        <v>-15038400</v>
      </c>
    </row>
    <row r="71" spans="1:6" ht="15" customHeight="1">
      <c r="D71" s="811" t="s">
        <v>17783</v>
      </c>
      <c r="E71" s="811">
        <v>0</v>
      </c>
      <c r="F71" s="811">
        <v>1250000000</v>
      </c>
    </row>
    <row r="72" spans="1:6" ht="15" customHeight="1">
      <c r="D72" s="811" t="s">
        <v>17784</v>
      </c>
      <c r="E72" s="811">
        <v>0</v>
      </c>
      <c r="F72" s="811">
        <v>-884259478</v>
      </c>
    </row>
    <row r="73" spans="1:6" ht="15" customHeight="1">
      <c r="D73" s="811" t="s">
        <v>17785</v>
      </c>
      <c r="E73" s="811">
        <v>0</v>
      </c>
      <c r="F73" s="811">
        <v>586660096</v>
      </c>
    </row>
    <row r="74" spans="1:6" s="810" customFormat="1" ht="15" customHeight="1">
      <c r="A74" s="810" t="s">
        <v>17786</v>
      </c>
      <c r="E74" s="810">
        <f>SUM(E53,E67)</f>
        <v>39048269690</v>
      </c>
      <c r="F74" s="810">
        <f t="shared" ref="F74" si="11">SUM(F53,F67)</f>
        <v>41256164617</v>
      </c>
    </row>
    <row r="75" spans="1:6" s="810" customFormat="1" ht="15" customHeight="1">
      <c r="A75" s="810" t="s">
        <v>17787</v>
      </c>
    </row>
    <row r="76" spans="1:6" s="810" customFormat="1" ht="15" customHeight="1">
      <c r="C76" s="810" t="s">
        <v>17788</v>
      </c>
      <c r="E76" s="810">
        <f>SUM(E77)</f>
        <v>753310000</v>
      </c>
      <c r="F76" s="810">
        <f t="shared" ref="F76" si="12">SUM(F77)</f>
        <v>753310000</v>
      </c>
    </row>
    <row r="77" spans="1:6" ht="15" customHeight="1">
      <c r="D77" s="811" t="s">
        <v>17789</v>
      </c>
      <c r="E77" s="811">
        <v>753310000</v>
      </c>
      <c r="F77" s="811">
        <v>753310000</v>
      </c>
    </row>
    <row r="78" spans="1:6" s="810" customFormat="1" ht="15" customHeight="1">
      <c r="C78" s="810" t="s">
        <v>17790</v>
      </c>
      <c r="E78" s="810">
        <f>SUM(E79:E80)</f>
        <v>28024463606</v>
      </c>
      <c r="F78" s="810">
        <f t="shared" ref="F78" si="13">SUM(F79:F80)</f>
        <v>28376335107</v>
      </c>
    </row>
    <row r="79" spans="1:6" ht="15" customHeight="1">
      <c r="D79" s="811" t="s">
        <v>17791</v>
      </c>
      <c r="E79" s="811">
        <v>28024463606</v>
      </c>
      <c r="F79" s="811">
        <v>28024463606</v>
      </c>
    </row>
    <row r="80" spans="1:6" ht="15" customHeight="1">
      <c r="D80" s="811" t="s">
        <v>17792</v>
      </c>
      <c r="E80" s="811">
        <v>0</v>
      </c>
      <c r="F80" s="811">
        <v>351871501</v>
      </c>
    </row>
    <row r="81" spans="1:6" s="810" customFormat="1" ht="15" customHeight="1">
      <c r="C81" s="810" t="s">
        <v>17793</v>
      </c>
      <c r="E81" s="810">
        <f>SUM(E82)</f>
        <v>658700600</v>
      </c>
      <c r="F81" s="810">
        <f t="shared" ref="F81" si="14">SUM(F82)</f>
        <v>658700600</v>
      </c>
    </row>
    <row r="82" spans="1:6" ht="15" customHeight="1">
      <c r="D82" s="811" t="s">
        <v>17794</v>
      </c>
      <c r="E82" s="811">
        <v>658700600</v>
      </c>
      <c r="F82" s="811">
        <v>658700600</v>
      </c>
    </row>
    <row r="83" spans="1:6" s="810" customFormat="1" ht="15" customHeight="1">
      <c r="C83" s="810" t="s">
        <v>17795</v>
      </c>
    </row>
    <row r="84" spans="1:6" s="810" customFormat="1" ht="15" customHeight="1">
      <c r="C84" s="810" t="s">
        <v>17796</v>
      </c>
      <c r="E84" s="810">
        <f>SUM(E85:E86)</f>
        <v>-6571575983</v>
      </c>
      <c r="F84" s="810">
        <f t="shared" ref="F84" si="15">SUM(F85:F86)</f>
        <v>-10963545175</v>
      </c>
    </row>
    <row r="85" spans="1:6" ht="15" customHeight="1">
      <c r="D85" s="811" t="s">
        <v>17797</v>
      </c>
      <c r="E85" s="811">
        <v>27000000</v>
      </c>
      <c r="F85" s="811">
        <v>27000000</v>
      </c>
    </row>
    <row r="86" spans="1:6" ht="15" customHeight="1">
      <c r="D86" s="811" t="s">
        <v>17798</v>
      </c>
      <c r="E86" s="811">
        <v>-6598575983</v>
      </c>
      <c r="F86" s="811">
        <v>-10990545175</v>
      </c>
    </row>
    <row r="87" spans="1:6" s="810" customFormat="1" ht="15" customHeight="1">
      <c r="A87" s="810" t="s">
        <v>17799</v>
      </c>
      <c r="E87" s="810">
        <f>SUM(E76,E78,E81,E84)</f>
        <v>22864898223</v>
      </c>
      <c r="F87" s="810">
        <f t="shared" ref="F87" si="16">SUM(F76,F78,F81,F84)</f>
        <v>18824800532</v>
      </c>
    </row>
    <row r="88" spans="1:6" s="810" customFormat="1" ht="15" customHeight="1">
      <c r="A88" s="810" t="s">
        <v>17800</v>
      </c>
      <c r="E88" s="810">
        <f>SUM(E74,E87)</f>
        <v>61913167913</v>
      </c>
      <c r="F88" s="810">
        <f t="shared" ref="F88" si="17">SUM(F74,F87)</f>
        <v>60080965149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  <sheetView topLeftCell="C1" workbookViewId="1"/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16328</v>
      </c>
      <c r="D1" s="1" t="s">
        <v>16329</v>
      </c>
      <c r="E1" s="6" t="s">
        <v>16330</v>
      </c>
      <c r="G1" s="269" t="s">
        <v>132</v>
      </c>
    </row>
    <row r="2" spans="1:7">
      <c r="A2" s="1" t="s">
        <v>12</v>
      </c>
      <c r="B2" s="1"/>
      <c r="C2" s="1" t="s">
        <v>16331</v>
      </c>
      <c r="D2" s="2" t="s">
        <v>352</v>
      </c>
      <c r="E2" s="58" t="s">
        <v>16332</v>
      </c>
      <c r="G2" s="301" t="str">
        <f>MID(COMPANY!E1,1,10)</f>
        <v>2024-12-31</v>
      </c>
    </row>
    <row r="3" spans="1:7">
      <c r="A3" s="1" t="s">
        <v>12</v>
      </c>
      <c r="B3" s="1"/>
      <c r="C3" s="1" t="s">
        <v>16333</v>
      </c>
      <c r="D3" s="2" t="s">
        <v>353</v>
      </c>
      <c r="E3" s="15" t="s">
        <v>16334</v>
      </c>
    </row>
    <row r="4" spans="1:7">
      <c r="A4" s="1" t="s">
        <v>12</v>
      </c>
      <c r="B4" s="1"/>
      <c r="C4" s="1" t="s">
        <v>16335</v>
      </c>
      <c r="D4" s="2" t="s">
        <v>363</v>
      </c>
      <c r="E4" s="59">
        <v>36537</v>
      </c>
      <c r="G4" s="206" t="s">
        <v>139</v>
      </c>
    </row>
    <row r="5" spans="1:7">
      <c r="A5" s="1" t="s">
        <v>12</v>
      </c>
      <c r="B5" s="1"/>
      <c r="C5" s="1" t="s">
        <v>16336</v>
      </c>
      <c r="D5" s="2" t="s">
        <v>362</v>
      </c>
      <c r="E5" s="16" t="s">
        <v>16337</v>
      </c>
      <c r="G5" s="206" t="s">
        <v>134</v>
      </c>
    </row>
    <row r="6" spans="1:7">
      <c r="A6" s="1" t="s">
        <v>12</v>
      </c>
      <c r="B6" s="1"/>
      <c r="C6" s="1" t="s">
        <v>16338</v>
      </c>
      <c r="D6" s="2" t="s">
        <v>369</v>
      </c>
      <c r="E6" s="15">
        <v>12</v>
      </c>
      <c r="G6" s="206" t="s">
        <v>135</v>
      </c>
    </row>
    <row r="7" spans="1:7">
      <c r="A7" s="1" t="s">
        <v>12</v>
      </c>
      <c r="B7" s="1" t="s">
        <v>16339</v>
      </c>
      <c r="C7" s="1" t="s">
        <v>16340</v>
      </c>
      <c r="D7" s="2" t="s">
        <v>16341</v>
      </c>
      <c r="E7" s="15">
        <v>10000</v>
      </c>
      <c r="G7" s="206" t="s">
        <v>136</v>
      </c>
    </row>
    <row r="8" spans="1:7">
      <c r="A8" s="1" t="s">
        <v>12</v>
      </c>
      <c r="B8" s="1"/>
      <c r="C8" s="1" t="s">
        <v>16342</v>
      </c>
      <c r="D8" s="2" t="s">
        <v>368</v>
      </c>
      <c r="E8" s="15"/>
      <c r="G8" s="206" t="s">
        <v>137</v>
      </c>
    </row>
    <row r="9" spans="1:7">
      <c r="A9" s="1" t="s">
        <v>12</v>
      </c>
      <c r="B9" s="1" t="s">
        <v>16343</v>
      </c>
      <c r="C9" s="1" t="s">
        <v>16344</v>
      </c>
      <c r="D9" s="2" t="s">
        <v>16345</v>
      </c>
      <c r="E9" s="15">
        <v>90</v>
      </c>
      <c r="G9" s="206" t="s">
        <v>138</v>
      </c>
    </row>
    <row r="10" spans="1:7">
      <c r="A10" s="1" t="s">
        <v>12</v>
      </c>
      <c r="B10" s="1"/>
      <c r="C10" s="1" t="s">
        <v>16346</v>
      </c>
      <c r="D10" s="2" t="s">
        <v>16347</v>
      </c>
      <c r="E10" s="15" t="s">
        <v>16348</v>
      </c>
      <c r="G10" s="206" t="s">
        <v>200</v>
      </c>
    </row>
    <row r="11" spans="1:7">
      <c r="A11" s="1" t="s">
        <v>12</v>
      </c>
      <c r="B11" s="1"/>
      <c r="C11" s="1" t="s">
        <v>16349</v>
      </c>
      <c r="D11" s="2" t="s">
        <v>383</v>
      </c>
      <c r="E11" s="15" t="s">
        <v>16350</v>
      </c>
      <c r="G11" s="206" t="s">
        <v>133</v>
      </c>
    </row>
    <row r="12" spans="1:7">
      <c r="A12" s="1" t="s">
        <v>12</v>
      </c>
      <c r="B12" s="1"/>
      <c r="C12" s="1" t="s">
        <v>16351</v>
      </c>
      <c r="D12" s="2" t="s">
        <v>16352</v>
      </c>
      <c r="E12" s="17" t="s">
        <v>16353</v>
      </c>
      <c r="G12" s="206" t="s">
        <v>140</v>
      </c>
    </row>
    <row r="13" spans="1:7">
      <c r="A13" s="2" t="s">
        <v>12</v>
      </c>
      <c r="C13" s="1" t="s">
        <v>16354</v>
      </c>
      <c r="D13" s="2" t="s">
        <v>16355</v>
      </c>
      <c r="E13" s="15" t="s">
        <v>16356</v>
      </c>
      <c r="G13" s="206"/>
    </row>
    <row r="14" spans="1:7">
      <c r="A14" s="2" t="s">
        <v>12</v>
      </c>
      <c r="C14" s="1" t="s">
        <v>16357</v>
      </c>
      <c r="D14" s="2" t="s">
        <v>89</v>
      </c>
      <c r="E14" s="2" t="s">
        <v>16358</v>
      </c>
      <c r="G14" s="2" t="str">
        <f>"DCF_"&amp;SUBSTITUTE(TRIM(COMPANY!E2),"(주)","")&amp;"("&amp;평가기준일&amp;")"&amp;".xlsm"</f>
        <v>DCF_미래세라텍(2024-12-31).xlsm</v>
      </c>
    </row>
    <row r="20" spans="5:5">
      <c r="E20" s="206"/>
    </row>
    <row r="21" spans="5:5">
      <c r="E21" s="206"/>
    </row>
    <row r="22" spans="5:5">
      <c r="E22" s="206"/>
    </row>
    <row r="23" spans="5:5">
      <c r="E23" s="206"/>
    </row>
    <row r="24" spans="5:5">
      <c r="E24" s="206"/>
    </row>
    <row r="25" spans="5:5">
      <c r="E25" s="206"/>
    </row>
    <row r="26" spans="5:5">
      <c r="E26" s="206"/>
    </row>
    <row r="27" spans="5:5">
      <c r="E27" s="206"/>
    </row>
    <row r="28" spans="5:5">
      <c r="E28" s="206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  <sheetView topLeftCell="C1" workbookViewId="1"/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16359</v>
      </c>
      <c r="D1" s="1" t="s">
        <v>16360</v>
      </c>
      <c r="E1" s="1" t="s">
        <v>16373</v>
      </c>
      <c r="F1" s="7" t="s">
        <v>16374</v>
      </c>
      <c r="I1" s="2" t="s">
        <v>141</v>
      </c>
    </row>
    <row r="2" spans="1:9">
      <c r="A2" s="1" t="s">
        <v>12</v>
      </c>
      <c r="B2" s="1" t="s">
        <v>16362</v>
      </c>
      <c r="C2" s="1" t="s">
        <v>16363</v>
      </c>
      <c r="D2" s="2" t="s">
        <v>16364</v>
      </c>
      <c r="E2" s="47"/>
      <c r="I2" s="5" t="str">
        <f>평가기준일</f>
        <v>2024-12-31</v>
      </c>
    </row>
    <row r="3" spans="1:9">
      <c r="A3" s="1" t="s">
        <v>12</v>
      </c>
      <c r="B3" s="1" t="s">
        <v>16365</v>
      </c>
      <c r="C3" s="1" t="s">
        <v>16366</v>
      </c>
      <c r="D3" s="2" t="s">
        <v>455</v>
      </c>
      <c r="E3" s="5">
        <v>45596</v>
      </c>
      <c r="F3" s="4">
        <v>1.94</v>
      </c>
    </row>
    <row r="4" spans="1:9">
      <c r="A4" s="1" t="s">
        <v>12</v>
      </c>
      <c r="B4" s="1" t="s">
        <v>16362</v>
      </c>
      <c r="C4" s="1" t="s">
        <v>16367</v>
      </c>
      <c r="D4" s="2" t="s">
        <v>456</v>
      </c>
      <c r="E4" s="5">
        <v>45596</v>
      </c>
      <c r="F4" s="4">
        <v>0.77</v>
      </c>
    </row>
    <row r="5" spans="1:9">
      <c r="A5" s="1" t="s">
        <v>12</v>
      </c>
      <c r="B5" s="1" t="s">
        <v>16362</v>
      </c>
      <c r="C5" s="1" t="s">
        <v>16368</v>
      </c>
      <c r="D5" s="2" t="s">
        <v>457</v>
      </c>
      <c r="E5" s="5">
        <v>45596</v>
      </c>
      <c r="F5" s="4">
        <v>1.94</v>
      </c>
    </row>
    <row r="6" spans="1:9">
      <c r="A6" s="1" t="s">
        <v>12</v>
      </c>
      <c r="B6" s="1" t="s">
        <v>3</v>
      </c>
      <c r="C6" s="1" t="s">
        <v>16369</v>
      </c>
      <c r="D6" s="2" t="s">
        <v>768</v>
      </c>
      <c r="E6" s="5"/>
    </row>
    <row r="7" spans="1:9">
      <c r="A7" s="1" t="s">
        <v>12</v>
      </c>
      <c r="B7" s="1" t="s">
        <v>16362</v>
      </c>
      <c r="C7" s="1" t="s">
        <v>16370</v>
      </c>
      <c r="D7" s="2" t="s">
        <v>444</v>
      </c>
      <c r="E7" s="5">
        <v>45596</v>
      </c>
      <c r="F7" s="4">
        <v>3.35</v>
      </c>
    </row>
    <row r="8" spans="1:9">
      <c r="A8" s="1" t="s">
        <v>12</v>
      </c>
      <c r="B8" s="1" t="s">
        <v>3</v>
      </c>
      <c r="C8" s="1" t="s">
        <v>16371</v>
      </c>
      <c r="D8" s="2" t="s">
        <v>445</v>
      </c>
      <c r="E8" s="5">
        <v>45596</v>
      </c>
      <c r="F8" s="4">
        <v>11.97</v>
      </c>
    </row>
    <row r="9" spans="1:9">
      <c r="A9" s="1" t="s">
        <v>12</v>
      </c>
      <c r="B9" s="1" t="s">
        <v>16362</v>
      </c>
      <c r="C9" s="1" t="s">
        <v>16372</v>
      </c>
      <c r="D9" s="3" t="s">
        <v>458</v>
      </c>
      <c r="E9" s="47">
        <v>45596</v>
      </c>
      <c r="F9" s="48">
        <v>1.66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  <sheetView workbookViewId="1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16375</v>
      </c>
      <c r="B1" s="1" t="s">
        <v>16376</v>
      </c>
      <c r="C1" s="182" t="s">
        <v>16377</v>
      </c>
      <c r="D1" s="1" t="s">
        <v>16378</v>
      </c>
      <c r="E1" s="139" t="s">
        <v>218</v>
      </c>
      <c r="F1" s="139" t="s">
        <v>16379</v>
      </c>
      <c r="G1" s="141" t="s">
        <v>16380</v>
      </c>
      <c r="H1" s="1" t="s">
        <v>16381</v>
      </c>
      <c r="J1" s="56" t="s">
        <v>0</v>
      </c>
    </row>
    <row r="2" spans="1:12">
      <c r="A2" s="5">
        <v>44227</v>
      </c>
      <c r="B2" s="5" t="s">
        <v>16382</v>
      </c>
      <c r="C2" s="183">
        <v>5</v>
      </c>
      <c r="D2" s="5" t="s">
        <v>16383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208</v>
      </c>
    </row>
    <row r="3" spans="1:12">
      <c r="A3" s="5">
        <v>44227</v>
      </c>
      <c r="B3" s="5" t="s">
        <v>16382</v>
      </c>
      <c r="C3" s="183">
        <v>6</v>
      </c>
      <c r="D3" s="5" t="s">
        <v>16384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16382</v>
      </c>
      <c r="C4" s="183">
        <v>7</v>
      </c>
      <c r="D4" s="5" t="s">
        <v>16385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16382</v>
      </c>
      <c r="C5" s="183">
        <v>8</v>
      </c>
      <c r="D5" s="5" t="s">
        <v>16386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16382</v>
      </c>
      <c r="C6" s="183">
        <v>9</v>
      </c>
      <c r="D6" s="5" t="s">
        <v>1341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16382</v>
      </c>
      <c r="C7" s="183">
        <v>10</v>
      </c>
      <c r="D7" s="5" t="s">
        <v>16387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16382</v>
      </c>
      <c r="C8" s="183">
        <v>11</v>
      </c>
      <c r="D8" s="5" t="s">
        <v>16388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16382</v>
      </c>
      <c r="C9" s="183">
        <v>12</v>
      </c>
      <c r="D9" s="5" t="s">
        <v>16389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16382</v>
      </c>
      <c r="C10" s="183">
        <v>13</v>
      </c>
      <c r="D10" s="5" t="s">
        <v>16390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16382</v>
      </c>
      <c r="C11" s="183">
        <v>14</v>
      </c>
      <c r="D11" s="5" t="s">
        <v>16391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16382</v>
      </c>
      <c r="C12" s="183">
        <v>15</v>
      </c>
      <c r="D12" s="5" t="s">
        <v>16392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16382</v>
      </c>
      <c r="C13" s="183">
        <v>16</v>
      </c>
      <c r="D13" s="5" t="s">
        <v>16393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16382</v>
      </c>
      <c r="C14" s="183">
        <v>17</v>
      </c>
      <c r="D14" s="5" t="s">
        <v>16394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16382</v>
      </c>
      <c r="C15" s="183">
        <v>18</v>
      </c>
      <c r="D15" s="5" t="s">
        <v>16395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16382</v>
      </c>
      <c r="C16" s="183">
        <v>19</v>
      </c>
      <c r="D16" s="5" t="s">
        <v>16396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16382</v>
      </c>
      <c r="C17" s="183">
        <v>20</v>
      </c>
      <c r="D17" s="5" t="s">
        <v>16397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16382</v>
      </c>
      <c r="C18" s="183">
        <v>21</v>
      </c>
      <c r="D18" s="5" t="s">
        <v>16398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16382</v>
      </c>
      <c r="C19" s="183">
        <v>22</v>
      </c>
      <c r="D19" s="5" t="s">
        <v>16399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16382</v>
      </c>
      <c r="C20" s="183">
        <v>24</v>
      </c>
      <c r="D20" s="5" t="s">
        <v>16400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16382</v>
      </c>
      <c r="C21" s="183">
        <v>25</v>
      </c>
      <c r="D21" s="5" t="s">
        <v>16401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16382</v>
      </c>
      <c r="C22" s="183">
        <v>26</v>
      </c>
      <c r="D22" s="5" t="s">
        <v>16402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16382</v>
      </c>
      <c r="C23" s="183">
        <v>27</v>
      </c>
      <c r="D23" s="5" t="s">
        <v>16403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16382</v>
      </c>
      <c r="C24" s="183">
        <v>99</v>
      </c>
      <c r="D24" s="5" t="s">
        <v>16404</v>
      </c>
      <c r="H24" s="2">
        <v>0</v>
      </c>
    </row>
    <row r="25" spans="1:8">
      <c r="A25" s="5">
        <v>44227</v>
      </c>
      <c r="B25" s="5" t="s">
        <v>859</v>
      </c>
      <c r="C25" s="183">
        <v>6</v>
      </c>
      <c r="D25" s="5" t="s">
        <v>16405</v>
      </c>
      <c r="H25" s="2">
        <v>0</v>
      </c>
    </row>
    <row r="26" spans="1:8">
      <c r="A26" s="5">
        <v>44227</v>
      </c>
      <c r="B26" s="5" t="s">
        <v>859</v>
      </c>
      <c r="C26" s="183">
        <v>12</v>
      </c>
      <c r="D26" s="5" t="s">
        <v>16406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859</v>
      </c>
      <c r="C27" s="183">
        <v>14</v>
      </c>
      <c r="D27" s="5" t="s">
        <v>16407</v>
      </c>
      <c r="H27" s="2">
        <v>0</v>
      </c>
    </row>
    <row r="28" spans="1:8">
      <c r="A28" s="5">
        <v>44227</v>
      </c>
      <c r="B28" s="5" t="s">
        <v>859</v>
      </c>
      <c r="C28" s="183">
        <v>15</v>
      </c>
      <c r="D28" s="5" t="s">
        <v>16408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859</v>
      </c>
      <c r="C29" s="183">
        <v>16</v>
      </c>
      <c r="D29" s="5" t="s">
        <v>16409</v>
      </c>
      <c r="H29" s="2">
        <v>0</v>
      </c>
    </row>
    <row r="30" spans="1:8">
      <c r="A30" s="5">
        <v>44227</v>
      </c>
      <c r="B30" s="5" t="s">
        <v>859</v>
      </c>
      <c r="C30" s="183">
        <v>24</v>
      </c>
      <c r="D30" s="5" t="s">
        <v>16410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859</v>
      </c>
      <c r="C31" s="183">
        <v>26</v>
      </c>
      <c r="D31" s="5" t="s">
        <v>16411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859</v>
      </c>
      <c r="C32" s="183">
        <v>27</v>
      </c>
      <c r="D32" s="5" t="s">
        <v>16412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859</v>
      </c>
      <c r="C33" s="183">
        <v>28</v>
      </c>
      <c r="D33" s="5" t="s">
        <v>16413</v>
      </c>
      <c r="H33" s="2">
        <v>0</v>
      </c>
    </row>
    <row r="34" spans="1:8">
      <c r="A34" s="5">
        <v>44227</v>
      </c>
      <c r="B34" s="5" t="s">
        <v>859</v>
      </c>
      <c r="C34" s="183">
        <v>29</v>
      </c>
      <c r="D34" s="5" t="s">
        <v>13158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859</v>
      </c>
      <c r="C35" s="183">
        <v>31</v>
      </c>
      <c r="D35" s="5" t="s">
        <v>16414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859</v>
      </c>
      <c r="C36" s="183">
        <v>37</v>
      </c>
      <c r="D36" s="5" t="s">
        <v>16415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859</v>
      </c>
      <c r="C37" s="183">
        <v>41</v>
      </c>
      <c r="D37" s="5" t="s">
        <v>16416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859</v>
      </c>
      <c r="C38" s="183">
        <v>42</v>
      </c>
      <c r="D38" s="5" t="s">
        <v>16417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859</v>
      </c>
      <c r="C39" s="183">
        <v>43</v>
      </c>
      <c r="D39" s="5" t="s">
        <v>16418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859</v>
      </c>
      <c r="C40" s="183">
        <v>50</v>
      </c>
      <c r="D40" s="5" t="s">
        <v>16419</v>
      </c>
      <c r="H40" s="2">
        <v>0</v>
      </c>
    </row>
    <row r="41" spans="1:8">
      <c r="A41" s="5">
        <v>44227</v>
      </c>
      <c r="B41" s="5" t="s">
        <v>859</v>
      </c>
      <c r="C41" s="183">
        <v>56</v>
      </c>
      <c r="D41" s="5" t="s">
        <v>16420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859</v>
      </c>
      <c r="C42" s="183">
        <v>58</v>
      </c>
      <c r="D42" s="5" t="s">
        <v>16421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859</v>
      </c>
      <c r="C43" s="183">
        <v>62</v>
      </c>
      <c r="D43" s="5" t="s">
        <v>16422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859</v>
      </c>
      <c r="C44" s="183">
        <v>63</v>
      </c>
      <c r="D44" s="5" t="s">
        <v>16423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859</v>
      </c>
      <c r="C45" s="183">
        <v>65</v>
      </c>
      <c r="D45" s="5" t="s">
        <v>16386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859</v>
      </c>
      <c r="C46" s="183">
        <v>66</v>
      </c>
      <c r="D46" s="5" t="s">
        <v>16424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859</v>
      </c>
      <c r="C47" s="183">
        <v>67</v>
      </c>
      <c r="D47" s="5" t="s">
        <v>16425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859</v>
      </c>
      <c r="C48" s="183">
        <v>68</v>
      </c>
      <c r="D48" s="5" t="s">
        <v>16426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859</v>
      </c>
      <c r="C49" s="183">
        <v>70</v>
      </c>
      <c r="D49" s="5" t="s">
        <v>16427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859</v>
      </c>
      <c r="C50" s="183">
        <v>72</v>
      </c>
      <c r="D50" s="5" t="s">
        <v>16428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859</v>
      </c>
      <c r="C51" s="183">
        <v>74</v>
      </c>
      <c r="D51" s="5" t="s">
        <v>16429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859</v>
      </c>
      <c r="C52" s="183">
        <v>75</v>
      </c>
      <c r="D52" s="5" t="s">
        <v>16430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859</v>
      </c>
      <c r="C53" s="183">
        <v>77</v>
      </c>
      <c r="D53" s="5" t="s">
        <v>16431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859</v>
      </c>
      <c r="C54" s="183">
        <v>151</v>
      </c>
      <c r="D54" s="5" t="s">
        <v>16432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859</v>
      </c>
      <c r="C55" s="183">
        <v>152</v>
      </c>
      <c r="D55" s="5" t="s">
        <v>16433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859</v>
      </c>
      <c r="C56" s="183">
        <v>153</v>
      </c>
      <c r="D56" s="5" t="s">
        <v>16434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859</v>
      </c>
      <c r="C57" s="183">
        <v>154</v>
      </c>
      <c r="D57" s="5" t="s">
        <v>16435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859</v>
      </c>
      <c r="C58" s="183">
        <v>155</v>
      </c>
      <c r="D58" s="5" t="s">
        <v>16436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859</v>
      </c>
      <c r="C59" s="183">
        <v>156</v>
      </c>
      <c r="D59" s="5" t="s">
        <v>16437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859</v>
      </c>
      <c r="C60" s="183">
        <v>157</v>
      </c>
      <c r="D60" s="2" t="s">
        <v>16438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859</v>
      </c>
      <c r="C61" s="183">
        <v>158</v>
      </c>
      <c r="D61" s="2" t="s">
        <v>16439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859</v>
      </c>
      <c r="C62" s="183">
        <v>159</v>
      </c>
      <c r="D62" s="2" t="s">
        <v>4682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859</v>
      </c>
      <c r="C63" s="183">
        <v>160</v>
      </c>
      <c r="D63" s="2" t="s">
        <v>4277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4"/>
  <sheetViews>
    <sheetView showGridLines="0" topLeftCell="B3" zoomScale="85" zoomScaleNormal="85" workbookViewId="0">
      <selection activeCell="K28" sqref="K28"/>
    </sheetView>
    <sheetView topLeftCell="B3" workbookViewId="1"/>
  </sheetViews>
  <sheetFormatPr defaultColWidth="9" defaultRowHeight="15" customHeight="1"/>
  <cols>
    <col min="1" max="1" width="6.5" style="512" hidden="1" customWidth="1"/>
    <col min="2" max="2" width="15.625" style="512" customWidth="1"/>
    <col min="3" max="3" width="16.125" style="512" bestFit="1" customWidth="1"/>
    <col min="4" max="4" width="9.625" style="513" customWidth="1"/>
    <col min="5" max="5" width="9.625" style="512" customWidth="1"/>
    <col min="6" max="6" width="15.625" style="512" customWidth="1"/>
    <col min="7" max="10" width="7.625" style="512" customWidth="1"/>
    <col min="11" max="12" width="11.625" style="514" customWidth="1"/>
    <col min="13" max="13" width="9.25" style="512" bestFit="1" customWidth="1"/>
    <col min="14" max="14" width="7.625" style="512" customWidth="1"/>
    <col min="15" max="15" width="8.625" style="512" customWidth="1"/>
    <col min="16" max="20" width="9.625" style="512" customWidth="1"/>
    <col min="21" max="21" width="7.625" style="512" customWidth="1"/>
    <col min="22" max="22" width="7.625" style="717" customWidth="1"/>
    <col min="23" max="23" width="12.75" style="512" customWidth="1"/>
    <col min="24" max="24" width="40.625" style="512" customWidth="1"/>
    <col min="25" max="25" width="11.5" style="512" bestFit="1" customWidth="1"/>
    <col min="26" max="30" width="9" style="512"/>
    <col min="31" max="31" width="12.625" style="512" customWidth="1"/>
    <col min="32" max="39" width="7.625" style="512" customWidth="1"/>
    <col min="40" max="16384" width="9" style="512"/>
  </cols>
  <sheetData>
    <row r="1" spans="1:39" ht="15" hidden="1" customHeight="1">
      <c r="B1" s="516" t="s">
        <v>512</v>
      </c>
      <c r="C1" s="516"/>
      <c r="D1" s="517"/>
      <c r="E1" s="516"/>
      <c r="F1" s="516"/>
      <c r="G1" s="516"/>
      <c r="H1" s="516"/>
      <c r="I1" s="516"/>
      <c r="J1" s="516"/>
      <c r="K1" s="518" t="s">
        <v>513</v>
      </c>
      <c r="L1" s="518" t="s">
        <v>514</v>
      </c>
      <c r="M1" s="516"/>
      <c r="N1" s="516"/>
      <c r="O1" s="516" t="s">
        <v>515</v>
      </c>
      <c r="P1" s="516" t="s">
        <v>516</v>
      </c>
      <c r="Q1" s="516"/>
      <c r="R1" s="516" t="s">
        <v>517</v>
      </c>
      <c r="S1" s="519"/>
      <c r="T1" s="519"/>
      <c r="U1" s="519"/>
      <c r="V1" s="713"/>
      <c r="W1" s="519"/>
      <c r="X1" s="519"/>
      <c r="Y1" s="519"/>
      <c r="Z1" s="519"/>
      <c r="AA1" s="519"/>
      <c r="AB1" s="519"/>
      <c r="AC1" s="519"/>
      <c r="AD1" s="519"/>
      <c r="AE1" s="519"/>
      <c r="AF1" s="519"/>
      <c r="AG1" s="512" t="s">
        <v>518</v>
      </c>
    </row>
    <row r="2" spans="1:39" customFormat="1" ht="15" hidden="1" customHeight="1">
      <c r="V2" s="699"/>
    </row>
    <row r="3" spans="1:39" customFormat="1" ht="15" customHeight="1">
      <c r="V3" s="699"/>
    </row>
    <row r="4" spans="1:39" s="513" customFormat="1" ht="15" customHeight="1">
      <c r="A4" s="547"/>
      <c r="B4" s="9" t="s">
        <v>561</v>
      </c>
      <c r="C4" s="9"/>
      <c r="D4" s="9"/>
      <c r="E4" s="9"/>
      <c r="F4" s="9" t="s">
        <v>563</v>
      </c>
      <c r="G4" s="9" t="s">
        <v>560</v>
      </c>
      <c r="H4" s="8"/>
      <c r="I4" s="8"/>
      <c r="J4" s="8"/>
      <c r="K4" s="12" t="str">
        <f>TABLE!BB3&amp;"
~"&amp;TABLE!BB4</f>
        <v>20221101
~20241031</v>
      </c>
      <c r="L4" s="12" t="str">
        <f>TABLE!BB7&amp;"
/"&amp;TABLE!BB8</f>
        <v>20243Q
/20241031</v>
      </c>
      <c r="O4" s="7" t="s">
        <v>449</v>
      </c>
      <c r="P4" s="678" t="s">
        <v>226</v>
      </c>
      <c r="Q4" s="677" t="s">
        <v>227</v>
      </c>
      <c r="R4" s="692" t="s">
        <v>228</v>
      </c>
      <c r="S4" s="12" t="str">
        <f>"특이사항
기준일 "&amp;TABLE!BB9</f>
        <v>특이사항
기준일 20243Q</v>
      </c>
      <c r="T4" s="11"/>
      <c r="V4" s="714"/>
    </row>
    <row r="5" spans="1:39" s="513" customFormat="1" ht="15" customHeight="1">
      <c r="A5" s="547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9">
        <f ca="1">WACC!E39</f>
        <v>-3237369.4615647378</v>
      </c>
      <c r="Q5" s="680">
        <f>WACC!F12</f>
        <v>156.46621473868359</v>
      </c>
      <c r="R5" s="693">
        <f ca="1">WACC!$E$30/100</f>
        <v>0</v>
      </c>
      <c r="S5" s="11"/>
      <c r="T5" s="11"/>
      <c r="V5" s="714"/>
      <c r="AA5" s="513" t="str">
        <f>"배수 기준: " &amp; TABLE!BB14</f>
        <v>배수 기준: 20243Q</v>
      </c>
      <c r="AF5" s="520" t="str">
        <f>"과거매출액 // 매출컨센서스 기준일 "&amp;TEXT(TABLE!BB10,"yyyy-mm-dd")&amp;" (단위 : 백만원)"</f>
        <v>과거매출액 // 매출컨센서스 기준일 2024-12-05 (단위 : 백만원)</v>
      </c>
    </row>
    <row r="6" spans="1:39" s="513" customFormat="1" ht="15" customHeight="1">
      <c r="A6" s="548" t="s">
        <v>519</v>
      </c>
      <c r="B6" s="8"/>
      <c r="C6" s="8"/>
      <c r="D6" s="8"/>
      <c r="E6" s="8"/>
      <c r="F6" s="8"/>
      <c r="G6" s="8"/>
      <c r="H6" s="8"/>
      <c r="I6" s="8"/>
      <c r="J6" s="8"/>
      <c r="K6" s="705">
        <f ca="1">AVERAGEIF($O:$O,1,K:K)</f>
        <v>1.0193999999999999</v>
      </c>
      <c r="L6" s="706">
        <f ca="1">AVERAGEIF($O:$O,1,L:L)</f>
        <v>42.469230815442231</v>
      </c>
      <c r="O6" s="6"/>
      <c r="P6" s="681">
        <f ca="1">AVERAGEIF($O:$O,1,P:P)</f>
        <v>0.75025809415491695</v>
      </c>
      <c r="Q6" s="681">
        <f ca="1">AVERAGEIF($O:$O,1,Q:Q)</f>
        <v>1.9241585348497039</v>
      </c>
      <c r="R6" s="694">
        <f ca="1">AVERAGEIF($O:$O,1,R:R)</f>
        <v>1.0688869358731061</v>
      </c>
      <c r="S6" s="10"/>
      <c r="T6" s="10"/>
      <c r="V6" s="714"/>
    </row>
    <row r="7" spans="1:39" s="513" customFormat="1" ht="30" customHeight="1">
      <c r="A7" s="521"/>
      <c r="B7" s="707" t="s">
        <v>229</v>
      </c>
      <c r="C7" s="707" t="s">
        <v>230</v>
      </c>
      <c r="D7" s="707" t="s">
        <v>755</v>
      </c>
      <c r="E7" s="707" t="s">
        <v>231</v>
      </c>
      <c r="F7" s="707" t="s">
        <v>232</v>
      </c>
      <c r="G7" s="707" t="s">
        <v>754</v>
      </c>
      <c r="H7" s="707" t="s">
        <v>233</v>
      </c>
      <c r="I7" s="707" t="s">
        <v>234</v>
      </c>
      <c r="J7" s="707" t="s">
        <v>235</v>
      </c>
      <c r="K7" s="708" t="s">
        <v>236</v>
      </c>
      <c r="L7" s="708" t="s">
        <v>237</v>
      </c>
      <c r="M7" s="522" t="s">
        <v>756</v>
      </c>
      <c r="N7" s="522" t="s">
        <v>451</v>
      </c>
      <c r="O7" s="709" t="s">
        <v>450</v>
      </c>
      <c r="P7" s="709" t="s">
        <v>238</v>
      </c>
      <c r="Q7" s="709" t="s">
        <v>239</v>
      </c>
      <c r="R7" s="709" t="s">
        <v>240</v>
      </c>
      <c r="S7" s="708" t="s">
        <v>241</v>
      </c>
      <c r="T7" s="708" t="s">
        <v>242</v>
      </c>
      <c r="U7" s="708" t="s">
        <v>611</v>
      </c>
      <c r="V7" s="715" t="str">
        <f>테이블[[#Headers],[한계세율]]</f>
        <v>한계세율</v>
      </c>
      <c r="W7" s="708" t="str">
        <f>테이블[[#Headers],[홈페이지]]</f>
        <v>홈페이지</v>
      </c>
      <c r="X7" s="708" t="str">
        <f>테이블[[#Headers],[주요상품]]</f>
        <v>주요상품</v>
      </c>
      <c r="Y7" s="708" t="str">
        <f>테이블[[#Headers],[거래소 업종]]</f>
        <v>거래소 업종</v>
      </c>
      <c r="Z7" s="708" t="str">
        <f>테이블[[#Headers],[거래소(시장)]]</f>
        <v>거래소(시장)</v>
      </c>
      <c r="AA7" s="708" t="str">
        <f>테이블[[#Headers],[EV/EBITDA]]</f>
        <v>EV/EBITDA</v>
      </c>
      <c r="AB7" s="708" t="str">
        <f>테이블[[#Headers],[PBR]]</f>
        <v>PBR</v>
      </c>
      <c r="AC7" s="708" t="str">
        <f>테이블[[#Headers],[PSR]]</f>
        <v>PSR</v>
      </c>
      <c r="AD7" s="708" t="str">
        <f>테이블[[#Headers],[PER]]</f>
        <v>PER</v>
      </c>
      <c r="AE7" s="708" t="str">
        <f>테이블[[#Headers],[3개년(2023~2026) CAGR]]</f>
        <v>3개년(2023~2026) CAGR</v>
      </c>
      <c r="AF7" s="708" t="str">
        <f>테이블[[#Headers],[2,020 ]]</f>
        <v xml:space="preserve">2,020 </v>
      </c>
      <c r="AG7" s="708" t="str">
        <f>테이블[[#Headers],[2,021 ]]</f>
        <v xml:space="preserve">2,021 </v>
      </c>
      <c r="AH7" s="708" t="str">
        <f>테이블[[#Headers],[2,022 ]]</f>
        <v xml:space="preserve">2,022 </v>
      </c>
      <c r="AI7" s="708" t="str">
        <f>테이블[[#Headers],[2,023 ]]</f>
        <v xml:space="preserve">2,023 </v>
      </c>
      <c r="AJ7" s="708" t="str">
        <f>테이블[[#Headers],[2,024 ]]</f>
        <v xml:space="preserve">2,024 </v>
      </c>
      <c r="AK7" s="708" t="str">
        <f>테이블[[#Headers],[2,025 ]]</f>
        <v xml:space="preserve">2,025 </v>
      </c>
      <c r="AL7" s="708" t="str">
        <f>테이블[[#Headers],[2,026 ]]</f>
        <v xml:space="preserve">2,026 </v>
      </c>
      <c r="AM7" s="708" t="str">
        <f>테이블[[#Headers],[2,027 ]]</f>
        <v xml:space="preserve">2,027 </v>
      </c>
    </row>
    <row r="8" spans="1:39" ht="15" customHeight="1" thickBot="1">
      <c r="A8" s="523" t="s">
        <v>511</v>
      </c>
      <c r="B8" s="670" t="s">
        <v>994</v>
      </c>
      <c r="C8" s="671" t="str">
        <f t="shared" ref="C8:M12" ca="1" si="0">INDEX(INDIRECT("테이블["&amp;C$7&amp;"]"),$U8)</f>
        <v>009150 KS Equity</v>
      </c>
      <c r="D8" s="671" t="str">
        <f t="shared" ca="1" si="0"/>
        <v>SamsungElectroMechanics</v>
      </c>
      <c r="E8" s="671">
        <f t="shared" ca="1" si="0"/>
        <v>1301110001626</v>
      </c>
      <c r="F8" s="671" t="str">
        <f t="shared" ca="1" si="0"/>
        <v>인쇄회로기판 및 전자부품 실장기판 제조업</v>
      </c>
      <c r="G8" s="710">
        <f t="shared" ca="1" si="0"/>
        <v>10130224.99456</v>
      </c>
      <c r="H8" s="710">
        <f t="shared" ca="1" si="0"/>
        <v>719585.29391999997</v>
      </c>
      <c r="I8" s="710">
        <f t="shared" ca="1" si="0"/>
        <v>652226.71962999995</v>
      </c>
      <c r="J8" s="710">
        <f t="shared" ca="1" si="0"/>
        <v>8563954.3637899999</v>
      </c>
      <c r="K8" s="711">
        <f t="shared" ca="1" si="0"/>
        <v>1.044</v>
      </c>
      <c r="L8" s="712">
        <f t="shared" ca="1" si="0"/>
        <v>23.635200741961658</v>
      </c>
      <c r="M8" s="515">
        <f t="shared" ca="1" si="0"/>
        <v>19790227</v>
      </c>
      <c r="N8" s="515"/>
      <c r="O8" s="672">
        <v>1</v>
      </c>
      <c r="P8" s="673">
        <f ca="1">IF(L8="","",K8/(1+L8/100*(1-$R$5)))</f>
        <v>0.84441970711798064</v>
      </c>
      <c r="Q8" s="673">
        <f t="shared" ref="Q8:Q12" ca="1" si="1">IFERROR($P8*(1+$Q$5/100*(1-$R$5)),"")</f>
        <v>2.1656512593529631</v>
      </c>
      <c r="R8" s="673">
        <f ca="1">IFERROR($P8*(1+$L$6/100*(1-$R$5)),"")</f>
        <v>1.203038261584997</v>
      </c>
      <c r="S8" s="674" t="str">
        <f ca="1">INDEX(INDIRECT("테이블["&amp;S$7&amp;"]"),$U8)</f>
        <v>정상</v>
      </c>
      <c r="T8" s="675" t="str">
        <f ca="1">INDEX(INDIRECT("테이블["&amp;T$7&amp;"]"),$U8)</f>
        <v>정상</v>
      </c>
      <c r="U8" s="676">
        <f>MATCH($B8,TABLE!$E:$E,0)-1</f>
        <v>34</v>
      </c>
      <c r="V8" s="716">
        <f ca="1">INDEX(INDIRECT("테이블["&amp;V$7&amp;"]"),$U8)</f>
        <v>0.26400000000000001</v>
      </c>
      <c r="W8" s="716" t="str">
        <f ca="1">INDEX(INDIRECT("테이블["&amp;W$7&amp;"]"),$U8)</f>
        <v>www.samsungsem.co.kr</v>
      </c>
      <c r="X8" s="716" t="str">
        <f ca="1">INDEX(INDIRECT("테이블["&amp;X$7&amp;"]"),$U8)</f>
        <v>수동소자 (MLCC, Inductor, Chip Resistor 등), 모듈(카메라모듈, 통신모듈), 반도체패키지 기판</v>
      </c>
      <c r="Y8" s="716" t="str">
        <f t="shared" ref="Y8:AM12" ca="1" si="2">INDEX(INDIRECT("테이블["&amp;Y$7&amp;"]"),$U8)</f>
        <v>코스피 전기,전자</v>
      </c>
      <c r="Z8" s="716" t="str">
        <f t="shared" ca="1" si="2"/>
        <v>유가증권시장</v>
      </c>
      <c r="AA8" s="720">
        <f t="shared" ca="1" si="2"/>
        <v>6.74</v>
      </c>
      <c r="AB8" s="720">
        <f t="shared" ca="1" si="2"/>
        <v>1.21</v>
      </c>
      <c r="AC8" s="720">
        <f t="shared" ca="1" si="2"/>
        <v>1.01</v>
      </c>
      <c r="AD8" s="720">
        <f t="shared" ca="1" si="2"/>
        <v>20</v>
      </c>
      <c r="AE8" s="718">
        <f t="shared" ca="1" si="2"/>
        <v>7.7338240076470388E-2</v>
      </c>
      <c r="AF8" s="719">
        <f t="shared" ca="1" si="2"/>
        <v>77532.592863900005</v>
      </c>
      <c r="AG8" s="719">
        <f t="shared" ca="1" si="2"/>
        <v>96750.361277200005</v>
      </c>
      <c r="AH8" s="719">
        <f t="shared" ca="1" si="2"/>
        <v>94245.518680199995</v>
      </c>
      <c r="AI8" s="719">
        <f t="shared" ca="1" si="2"/>
        <v>89094.484839099998</v>
      </c>
      <c r="AJ8" s="719">
        <f t="shared" ca="1" si="2"/>
        <v>102150.42</v>
      </c>
      <c r="AK8" s="719">
        <f t="shared" ca="1" si="2"/>
        <v>110877.83</v>
      </c>
      <c r="AL8" s="719">
        <f t="shared" ca="1" si="2"/>
        <v>120021.52</v>
      </c>
      <c r="AM8" s="719">
        <f t="shared" ca="1" si="2"/>
        <v>0</v>
      </c>
    </row>
    <row r="9" spans="1:39" ht="15" customHeight="1" thickBot="1">
      <c r="A9" s="523" t="s">
        <v>511</v>
      </c>
      <c r="B9" s="670" t="s">
        <v>2750</v>
      </c>
      <c r="C9" s="671" t="str">
        <f t="shared" ca="1" si="0"/>
        <v>074600 KS Equity</v>
      </c>
      <c r="D9" s="671" t="str">
        <f t="shared" ca="1" si="0"/>
        <v>WONIK QnC CORPORATION</v>
      </c>
      <c r="E9" s="671">
        <f t="shared" ca="1" si="0"/>
        <v>1760110035615</v>
      </c>
      <c r="F9" s="671" t="str">
        <f t="shared" ca="1" si="0"/>
        <v>산업용 유리 제조업</v>
      </c>
      <c r="G9" s="710">
        <f t="shared" ca="1" si="0"/>
        <v>876670.95857000002</v>
      </c>
      <c r="H9" s="710">
        <f t="shared" ca="1" si="0"/>
        <v>107277.30147999999</v>
      </c>
      <c r="I9" s="710">
        <f t="shared" ca="1" si="0"/>
        <v>75876.674559999999</v>
      </c>
      <c r="J9" s="710">
        <f t="shared" ca="1" si="0"/>
        <v>564619.39373999997</v>
      </c>
      <c r="K9" s="711">
        <f t="shared" ca="1" si="0"/>
        <v>1.133</v>
      </c>
      <c r="L9" s="712">
        <f t="shared" ca="1" si="0"/>
        <v>108.55133581452054</v>
      </c>
      <c r="M9" s="515">
        <f t="shared" ca="1" si="0"/>
        <v>20031210</v>
      </c>
      <c r="N9" s="515"/>
      <c r="O9" s="672">
        <v>1</v>
      </c>
      <c r="P9" s="673">
        <f t="shared" ref="P9:P12" ca="1" si="3">IF(L9="","",K9/(1+L9/100*(1-$R$5)))</f>
        <v>0.54327151421732289</v>
      </c>
      <c r="Q9" s="673">
        <f t="shared" ca="1" si="1"/>
        <v>1.3933078882666972</v>
      </c>
      <c r="R9" s="673">
        <f t="shared" ref="R9:R12" ca="1" si="4">IFERROR($P9*(1+$L$6/100*(1-$R$5)),"")</f>
        <v>0.77399474754482578</v>
      </c>
      <c r="S9" s="674" t="str">
        <f t="shared" ref="S9:T12" ca="1" si="5">INDEX(INDIRECT("테이블["&amp;S$7&amp;"]"),$U9)</f>
        <v>정상</v>
      </c>
      <c r="T9" s="675" t="str">
        <f t="shared" ca="1" si="5"/>
        <v>정상</v>
      </c>
      <c r="U9" s="676">
        <f>MATCH($B9,TABLE!$E:$E,0)-1</f>
        <v>306</v>
      </c>
      <c r="V9" s="716">
        <f t="shared" ref="V9:X12" ca="1" si="6">INDEX(INDIRECT("테이블["&amp;V$7&amp;"]"),$U9)</f>
        <v>0.23100000000000001</v>
      </c>
      <c r="W9" s="716" t="str">
        <f t="shared" ca="1" si="6"/>
        <v>www.wonikqnc.com</v>
      </c>
      <c r="X9" s="716" t="str">
        <f t="shared" ca="1" si="6"/>
        <v>반도체용 석영유리</v>
      </c>
      <c r="Y9" s="716" t="str">
        <f t="shared" ca="1" si="2"/>
        <v>코스닥 제조</v>
      </c>
      <c r="Z9" s="716" t="str">
        <f t="shared" ca="1" si="2"/>
        <v>코스닥</v>
      </c>
      <c r="AA9" s="720">
        <f t="shared" ca="1" si="2"/>
        <v>8.1</v>
      </c>
      <c r="AB9" s="720">
        <f t="shared" ca="1" si="2"/>
        <v>1.49</v>
      </c>
      <c r="AC9" s="720">
        <f t="shared" ca="1" si="2"/>
        <v>0.77</v>
      </c>
      <c r="AD9" s="720">
        <f t="shared" ca="1" si="2"/>
        <v>13.9</v>
      </c>
      <c r="AE9" s="718">
        <f t="shared" ca="1" si="2"/>
        <v>8.0760440248064835E-2</v>
      </c>
      <c r="AF9" s="719">
        <f t="shared" ca="1" si="2"/>
        <v>5256.4040885000004</v>
      </c>
      <c r="AG9" s="719">
        <f t="shared" ca="1" si="2"/>
        <v>6241.1900765</v>
      </c>
      <c r="AH9" s="719">
        <f t="shared" ca="1" si="2"/>
        <v>7831.7880587</v>
      </c>
      <c r="AI9" s="719">
        <f t="shared" ca="1" si="2"/>
        <v>8059.4814294999996</v>
      </c>
      <c r="AJ9" s="719">
        <f t="shared" ca="1" si="2"/>
        <v>9117</v>
      </c>
      <c r="AK9" s="719">
        <f t="shared" ca="1" si="2"/>
        <v>10102.33</v>
      </c>
      <c r="AL9" s="719">
        <f t="shared" ca="1" si="2"/>
        <v>10995.75</v>
      </c>
      <c r="AM9" s="719">
        <f t="shared" ca="1" si="2"/>
        <v>14443</v>
      </c>
    </row>
    <row r="10" spans="1:39" ht="15" customHeight="1" thickBot="1">
      <c r="A10" s="523" t="s">
        <v>511</v>
      </c>
      <c r="B10" s="670" t="s">
        <v>7299</v>
      </c>
      <c r="C10" s="671" t="str">
        <f t="shared" ca="1" si="0"/>
        <v>040910 KS Equity</v>
      </c>
      <c r="D10" s="671" t="str">
        <f t="shared" ca="1" si="0"/>
        <v>Innovation for Creative Devices Co., Ltd.</v>
      </c>
      <c r="E10" s="671">
        <f t="shared" ca="1" si="0"/>
        <v>1301110058560</v>
      </c>
      <c r="F10" s="671" t="str">
        <f t="shared" ca="1" si="0"/>
        <v>반도체 및 디스플레이 제조용 기계 제조업</v>
      </c>
      <c r="G10" s="710">
        <f t="shared" ca="1" si="0"/>
        <v>105204.33044000001</v>
      </c>
      <c r="H10" s="710">
        <f t="shared" ca="1" si="0"/>
        <v>-30991.391019999999</v>
      </c>
      <c r="I10" s="710">
        <f t="shared" ca="1" si="0"/>
        <v>-28855.087729999999</v>
      </c>
      <c r="J10" s="710">
        <f t="shared" ca="1" si="0"/>
        <v>120907.18682</v>
      </c>
      <c r="K10" s="711">
        <f t="shared" ca="1" si="0"/>
        <v>0.82</v>
      </c>
      <c r="L10" s="712">
        <f t="shared" ca="1" si="0"/>
        <v>43.804376743062193</v>
      </c>
      <c r="M10" s="515">
        <f t="shared" ca="1" si="0"/>
        <v>20110805</v>
      </c>
      <c r="N10" s="515"/>
      <c r="O10" s="672">
        <v>1</v>
      </c>
      <c r="P10" s="673">
        <f t="shared" ca="1" si="3"/>
        <v>0.57021908412781375</v>
      </c>
      <c r="Q10" s="673">
        <f t="shared" ca="1" si="1"/>
        <v>1.4624193007801936</v>
      </c>
      <c r="R10" s="673">
        <f t="shared" ca="1" si="4"/>
        <v>0.81238674311975567</v>
      </c>
      <c r="S10" s="674" t="str">
        <f t="shared" ca="1" si="5"/>
        <v>정상</v>
      </c>
      <c r="T10" s="675" t="str">
        <f t="shared" ca="1" si="5"/>
        <v>정상</v>
      </c>
      <c r="U10" s="676">
        <f>MATCH($B10,TABLE!$E:$E,0)-1</f>
        <v>1050</v>
      </c>
      <c r="V10" s="716" t="str">
        <f t="shared" ca="1" si="6"/>
        <v>-</v>
      </c>
      <c r="W10" s="716" t="str">
        <f t="shared" ca="1" si="6"/>
        <v>www.icd.co.kr</v>
      </c>
      <c r="X10" s="716" t="str">
        <f t="shared" ca="1" si="6"/>
        <v>건식세정기,LCD,반도체 장비,광정보통신 부품,장비 제조,연구개발,용역 서비스,수출입</v>
      </c>
      <c r="Y10" s="716" t="str">
        <f t="shared" ca="1" si="2"/>
        <v>코스닥 제조</v>
      </c>
      <c r="Z10" s="716" t="str">
        <f t="shared" ca="1" si="2"/>
        <v>코스닥</v>
      </c>
      <c r="AA10" s="720" t="str">
        <f t="shared" ca="1" si="2"/>
        <v>N/A</v>
      </c>
      <c r="AB10" s="720">
        <f t="shared" ca="1" si="2"/>
        <v>0.74</v>
      </c>
      <c r="AC10" s="720">
        <f t="shared" ca="1" si="2"/>
        <v>1.03</v>
      </c>
      <c r="AD10" s="720" t="str">
        <f t="shared" ca="1" si="2"/>
        <v>N/A</v>
      </c>
      <c r="AE10" s="718" t="str">
        <f t="shared" ca="1" si="2"/>
        <v>추정X</v>
      </c>
      <c r="AF10" s="719">
        <f t="shared" ca="1" si="2"/>
        <v>3089.6525353000002</v>
      </c>
      <c r="AG10" s="719">
        <f t="shared" ca="1" si="2"/>
        <v>1157.6937777000001</v>
      </c>
      <c r="AH10" s="719">
        <f t="shared" ca="1" si="2"/>
        <v>1509.4490636</v>
      </c>
      <c r="AI10" s="719">
        <f t="shared" ca="1" si="2"/>
        <v>622.73750989999996</v>
      </c>
      <c r="AJ10" s="719">
        <f t="shared" ca="1" si="2"/>
        <v>2131</v>
      </c>
      <c r="AK10" s="719">
        <f t="shared" ca="1" si="2"/>
        <v>0</v>
      </c>
      <c r="AL10" s="719">
        <f t="shared" ca="1" si="2"/>
        <v>0</v>
      </c>
      <c r="AM10" s="719">
        <f t="shared" ca="1" si="2"/>
        <v>0</v>
      </c>
    </row>
    <row r="11" spans="1:39" ht="15" customHeight="1" thickBot="1">
      <c r="A11" s="523" t="s">
        <v>511</v>
      </c>
      <c r="B11" s="670" t="s">
        <v>4065</v>
      </c>
      <c r="C11" s="671" t="str">
        <f t="shared" ca="1" si="0"/>
        <v>001820 KS Equity</v>
      </c>
      <c r="D11" s="671" t="str">
        <f t="shared" ca="1" si="0"/>
        <v>SamwhaCapacitor</v>
      </c>
      <c r="E11" s="671">
        <f t="shared" ca="1" si="0"/>
        <v>1345110003696</v>
      </c>
      <c r="F11" s="671" t="str">
        <f t="shared" ca="1" si="0"/>
        <v>기타 전자부품 제조업</v>
      </c>
      <c r="G11" s="710">
        <f t="shared" ca="1" si="0"/>
        <v>288436.06925</v>
      </c>
      <c r="H11" s="710">
        <f t="shared" ca="1" si="0"/>
        <v>19211.213159999999</v>
      </c>
      <c r="I11" s="710">
        <f t="shared" ca="1" si="0"/>
        <v>20953.713879999999</v>
      </c>
      <c r="J11" s="710">
        <f t="shared" ca="1" si="0"/>
        <v>262306.17080999998</v>
      </c>
      <c r="K11" s="711">
        <f t="shared" ca="1" si="0"/>
        <v>0.96499999999999997</v>
      </c>
      <c r="L11" s="712">
        <f t="shared" ca="1" si="0"/>
        <v>1.1851155875521802</v>
      </c>
      <c r="M11" s="515">
        <f t="shared" ca="1" si="0"/>
        <v>19760626</v>
      </c>
      <c r="N11" s="515"/>
      <c r="O11" s="672">
        <v>1</v>
      </c>
      <c r="P11" s="673">
        <f t="shared" ca="1" si="3"/>
        <v>0.95369758130583626</v>
      </c>
      <c r="Q11" s="673">
        <f t="shared" ca="1" si="1"/>
        <v>2.4459120868294577</v>
      </c>
      <c r="R11" s="673">
        <f t="shared" ca="1" si="4"/>
        <v>1.3587256083919017</v>
      </c>
      <c r="S11" s="674" t="str">
        <f t="shared" ca="1" si="5"/>
        <v>정상</v>
      </c>
      <c r="T11" s="675" t="str">
        <f t="shared" ca="1" si="5"/>
        <v>정상</v>
      </c>
      <c r="U11" s="676">
        <f>MATCH($B11,TABLE!$E:$E,0)-1</f>
        <v>520</v>
      </c>
      <c r="V11" s="716">
        <f t="shared" ca="1" si="6"/>
        <v>0.23100000000000001</v>
      </c>
      <c r="W11" s="716" t="str">
        <f t="shared" ca="1" si="6"/>
        <v>www.samwha.co.kr/capacitor</v>
      </c>
      <c r="X11" s="716" t="str">
        <f t="shared" ca="1" si="6"/>
        <v>콘덴서(축전기) 제조</v>
      </c>
      <c r="Y11" s="716" t="str">
        <f t="shared" ca="1" si="2"/>
        <v>코스피 전기,전자</v>
      </c>
      <c r="Z11" s="716" t="str">
        <f t="shared" ca="1" si="2"/>
        <v>유가증권시장</v>
      </c>
      <c r="AA11" s="720">
        <f t="shared" ca="1" si="2"/>
        <v>9.8000000000000007</v>
      </c>
      <c r="AB11" s="720">
        <f t="shared" ca="1" si="2"/>
        <v>1.44</v>
      </c>
      <c r="AC11" s="720">
        <f t="shared" ca="1" si="2"/>
        <v>1.3</v>
      </c>
      <c r="AD11" s="720">
        <f t="shared" ca="1" si="2"/>
        <v>21.58</v>
      </c>
      <c r="AE11" s="718">
        <f t="shared" ca="1" si="2"/>
        <v>8.6248787671586058E-2</v>
      </c>
      <c r="AF11" s="719">
        <f t="shared" ca="1" si="2"/>
        <v>2425.1420241000001</v>
      </c>
      <c r="AG11" s="719">
        <f t="shared" ca="1" si="2"/>
        <v>2621.5928574</v>
      </c>
      <c r="AH11" s="719">
        <f t="shared" ca="1" si="2"/>
        <v>2634.6912996000001</v>
      </c>
      <c r="AI11" s="719">
        <f t="shared" ca="1" si="2"/>
        <v>2807.6854500999998</v>
      </c>
      <c r="AJ11" s="719">
        <f t="shared" ca="1" si="2"/>
        <v>3051</v>
      </c>
      <c r="AK11" s="719">
        <f t="shared" ca="1" si="2"/>
        <v>3446.6</v>
      </c>
      <c r="AL11" s="719">
        <f t="shared" ca="1" si="2"/>
        <v>3909</v>
      </c>
      <c r="AM11" s="719">
        <f t="shared" ca="1" si="2"/>
        <v>0</v>
      </c>
    </row>
    <row r="12" spans="1:39" ht="15" customHeight="1" thickBot="1">
      <c r="A12" s="523" t="s">
        <v>511</v>
      </c>
      <c r="B12" s="670" t="s">
        <v>2469</v>
      </c>
      <c r="C12" s="671" t="str">
        <f t="shared" ca="1" si="0"/>
        <v>166090 KS Equity</v>
      </c>
      <c r="D12" s="671" t="str">
        <f t="shared" ca="1" si="0"/>
        <v>Hana Materials Inc.</v>
      </c>
      <c r="E12" s="671">
        <f t="shared" ca="1" si="0"/>
        <v>1615110086227</v>
      </c>
      <c r="F12" s="671" t="str">
        <f t="shared" ca="1" si="0"/>
        <v>다이오드, 트랜지스터 및 유사 반도체소자 제조업</v>
      </c>
      <c r="G12" s="710">
        <f t="shared" ca="1" si="0"/>
        <v>217219.65917</v>
      </c>
      <c r="H12" s="710">
        <f t="shared" ca="1" si="0"/>
        <v>27876.45537</v>
      </c>
      <c r="I12" s="710">
        <f t="shared" ca="1" si="0"/>
        <v>24704.008620000001</v>
      </c>
      <c r="J12" s="710">
        <f t="shared" ca="1" si="0"/>
        <v>353285.04580000002</v>
      </c>
      <c r="K12" s="711">
        <f t="shared" ca="1" si="0"/>
        <v>1.135</v>
      </c>
      <c r="L12" s="712">
        <f t="shared" ca="1" si="0"/>
        <v>35.170125190114604</v>
      </c>
      <c r="M12" s="515">
        <f t="shared" ca="1" si="0"/>
        <v>20170428</v>
      </c>
      <c r="N12" s="515"/>
      <c r="O12" s="672">
        <v>1</v>
      </c>
      <c r="P12" s="673">
        <f t="shared" ca="1" si="3"/>
        <v>0.83968258400563056</v>
      </c>
      <c r="Q12" s="673">
        <f t="shared" ca="1" si="1"/>
        <v>2.1535021390192077</v>
      </c>
      <c r="R12" s="673">
        <f t="shared" ca="1" si="4"/>
        <v>1.1962893187240513</v>
      </c>
      <c r="S12" s="674" t="str">
        <f t="shared" ca="1" si="5"/>
        <v>정상</v>
      </c>
      <c r="T12" s="675" t="str">
        <f t="shared" ca="1" si="5"/>
        <v>정상</v>
      </c>
      <c r="U12" s="676">
        <f>MATCH($B12,TABLE!$E:$E,0)-1</f>
        <v>260</v>
      </c>
      <c r="V12" s="716">
        <f t="shared" ca="1" si="6"/>
        <v>0.23100000000000001</v>
      </c>
      <c r="W12" s="716" t="str">
        <f t="shared" ca="1" si="6"/>
        <v>www.hanamts.com</v>
      </c>
      <c r="X12" s="716" t="str">
        <f t="shared" ca="1" si="6"/>
        <v>실리콘부품, 세라믹부품, 특수가스</v>
      </c>
      <c r="Y12" s="716" t="str">
        <f t="shared" ca="1" si="2"/>
        <v>코스닥 제조</v>
      </c>
      <c r="Z12" s="716" t="str">
        <f t="shared" ca="1" si="2"/>
        <v>코스닥</v>
      </c>
      <c r="AA12" s="720">
        <f t="shared" ca="1" si="2"/>
        <v>12.93</v>
      </c>
      <c r="AB12" s="720">
        <f t="shared" ca="1" si="2"/>
        <v>1.77</v>
      </c>
      <c r="AC12" s="720">
        <f t="shared" ca="1" si="2"/>
        <v>2.92</v>
      </c>
      <c r="AD12" s="720">
        <f t="shared" ca="1" si="2"/>
        <v>34.01</v>
      </c>
      <c r="AE12" s="718">
        <f t="shared" ca="1" si="2"/>
        <v>9.1618274034875435E-2</v>
      </c>
      <c r="AF12" s="719">
        <f t="shared" ca="1" si="2"/>
        <v>2006.8545323999999</v>
      </c>
      <c r="AG12" s="719">
        <f t="shared" ca="1" si="2"/>
        <v>2711.005647</v>
      </c>
      <c r="AH12" s="719">
        <f t="shared" ca="1" si="2"/>
        <v>3073.2440068000001</v>
      </c>
      <c r="AI12" s="719">
        <f t="shared" ca="1" si="2"/>
        <v>2335.7671629000001</v>
      </c>
      <c r="AJ12" s="719">
        <f t="shared" ca="1" si="2"/>
        <v>2498</v>
      </c>
      <c r="AK12" s="719">
        <f t="shared" ca="1" si="2"/>
        <v>3129.4</v>
      </c>
      <c r="AL12" s="719">
        <f t="shared" ca="1" si="2"/>
        <v>3316.75</v>
      </c>
      <c r="AM12" s="719">
        <f t="shared" ca="1" si="2"/>
        <v>0</v>
      </c>
    </row>
    <row r="20" spans="24:46" ht="15" customHeight="1">
      <c r="X20" s="513"/>
      <c r="Y20" s="513"/>
      <c r="Z20" s="513"/>
      <c r="AA20" s="513"/>
      <c r="AB20" s="513"/>
      <c r="AC20" s="513"/>
      <c r="AD20" s="513"/>
      <c r="AE20" s="513"/>
      <c r="AF20" s="513"/>
    </row>
    <row r="21" spans="24:46" ht="15" customHeight="1">
      <c r="AJ21"/>
      <c r="AK21"/>
      <c r="AL21"/>
      <c r="AM21"/>
      <c r="AN21"/>
      <c r="AO21"/>
      <c r="AP21"/>
      <c r="AQ21"/>
      <c r="AR21"/>
      <c r="AS21"/>
      <c r="AT21"/>
    </row>
    <row r="22" spans="24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4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24:46" ht="15" customHeight="1">
      <c r="AJ24"/>
      <c r="AK24"/>
      <c r="AL24"/>
      <c r="AM24"/>
      <c r="AN24"/>
      <c r="AO24"/>
      <c r="AP24"/>
      <c r="AQ24"/>
      <c r="AR24"/>
      <c r="AS24"/>
      <c r="AT24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2 B8:L12">
    <cfRule type="expression" dxfId="19" priority="11">
      <formula>$O8=1</formula>
    </cfRule>
  </conditionalFormatting>
  <conditionalFormatting sqref="P8:T12 B8:L12">
    <cfRule type="expression" dxfId="18" priority="10">
      <formula>#REF!=1</formula>
    </cfRule>
  </conditionalFormatting>
  <conditionalFormatting sqref="S8:S12">
    <cfRule type="cellIs" dxfId="17" priority="7" operator="equal">
      <formula>"정지"</formula>
    </cfRule>
    <cfRule type="expression" dxfId="16" priority="9">
      <formula>$O8=1</formula>
    </cfRule>
  </conditionalFormatting>
  <conditionalFormatting sqref="T8:T12 V8:AM12">
    <cfRule type="cellIs" dxfId="15" priority="6" operator="equal">
      <formula>"관리"</formula>
    </cfRule>
    <cfRule type="expression" dxfId="14" priority="8">
      <formula>$O8=1</formula>
    </cfRule>
  </conditionalFormatting>
  <conditionalFormatting sqref="V8:AM12">
    <cfRule type="expression" dxfId="13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opLeftCell="R1" zoomScale="70" zoomScaleNormal="70" workbookViewId="0">
      <selection activeCell="AE17" sqref="AE17"/>
    </sheetView>
    <sheetView workbookViewId="1"/>
  </sheetViews>
  <sheetFormatPr defaultColWidth="9" defaultRowHeight="16.5"/>
  <cols>
    <col min="1" max="1" width="16.75" style="204" bestFit="1" customWidth="1"/>
    <col min="2" max="2" width="8.75" style="204" bestFit="1" customWidth="1"/>
    <col min="3" max="3" width="22.25" style="204" customWidth="1"/>
    <col min="4" max="4" width="13.125" style="204" bestFit="1" customWidth="1"/>
    <col min="5" max="5" width="18.875" style="204" bestFit="1" customWidth="1"/>
    <col min="6" max="7" width="20.625" style="204" customWidth="1"/>
    <col min="8" max="9" width="15.625" style="204" customWidth="1"/>
    <col min="10" max="13" width="10.625" style="638" customWidth="1"/>
    <col min="14" max="14" width="10.625" style="204" customWidth="1"/>
    <col min="15" max="15" width="10.625" style="691" customWidth="1"/>
    <col min="16" max="17" width="10.625" style="204" customWidth="1"/>
    <col min="18" max="18" width="10.625" style="700" customWidth="1"/>
    <col min="19" max="19" width="40.625" style="204" customWidth="1"/>
    <col min="20" max="20" width="10" style="699" bestFit="1" customWidth="1"/>
    <col min="21" max="21" width="10.625" style="204" customWidth="1"/>
    <col min="22" max="25" width="8.625" style="723" customWidth="1"/>
    <col min="26" max="26" width="14.625" style="690" customWidth="1"/>
    <col min="27" max="32" width="8.625" style="204" customWidth="1"/>
    <col min="33" max="34" width="8.625" style="657" customWidth="1"/>
    <col min="35" max="35" width="9" style="657" customWidth="1"/>
    <col min="36" max="36" width="0" style="657" hidden="1" customWidth="1"/>
    <col min="37" max="52" width="0" style="204" hidden="1" customWidth="1"/>
    <col min="53" max="16384" width="9" style="204"/>
  </cols>
  <sheetData>
    <row r="1" spans="1:56" ht="30" customHeight="1">
      <c r="A1" s="369" t="s">
        <v>209</v>
      </c>
      <c r="B1" s="370" t="s">
        <v>210</v>
      </c>
      <c r="C1" s="370" t="s">
        <v>211</v>
      </c>
      <c r="D1" s="371" t="s">
        <v>761</v>
      </c>
      <c r="E1" s="370" t="s">
        <v>212</v>
      </c>
      <c r="F1" s="370" t="s">
        <v>213</v>
      </c>
      <c r="G1" s="370" t="s">
        <v>741</v>
      </c>
      <c r="H1" s="370" t="s">
        <v>742</v>
      </c>
      <c r="I1" s="370" t="s">
        <v>743</v>
      </c>
      <c r="J1" s="701" t="s">
        <v>612</v>
      </c>
      <c r="K1" s="701" t="s">
        <v>215</v>
      </c>
      <c r="L1" s="702" t="s">
        <v>216</v>
      </c>
      <c r="M1" s="702" t="s">
        <v>217</v>
      </c>
      <c r="N1" s="369" t="s">
        <v>218</v>
      </c>
      <c r="O1" s="703" t="s">
        <v>219</v>
      </c>
      <c r="P1" s="369" t="s">
        <v>220</v>
      </c>
      <c r="Q1" s="549" t="s">
        <v>221</v>
      </c>
      <c r="R1" s="695" t="s">
        <v>613</v>
      </c>
      <c r="S1" s="549" t="s">
        <v>383</v>
      </c>
      <c r="T1" s="698" t="s">
        <v>744</v>
      </c>
      <c r="U1" s="549" t="s">
        <v>745</v>
      </c>
      <c r="V1" s="721" t="s">
        <v>746</v>
      </c>
      <c r="W1" s="721" t="s">
        <v>748</v>
      </c>
      <c r="X1" s="721" t="s">
        <v>747</v>
      </c>
      <c r="Y1" s="721" t="s">
        <v>749</v>
      </c>
      <c r="Z1" s="724" t="s">
        <v>16066</v>
      </c>
      <c r="AA1" s="654" t="s">
        <v>15798</v>
      </c>
      <c r="AB1" s="654" t="s">
        <v>15799</v>
      </c>
      <c r="AC1" s="654" t="s">
        <v>15800</v>
      </c>
      <c r="AD1" s="654" t="s">
        <v>15801</v>
      </c>
      <c r="AE1" s="654" t="s">
        <v>15802</v>
      </c>
      <c r="AF1" s="654" t="s">
        <v>15803</v>
      </c>
      <c r="AG1" s="654" t="s">
        <v>15804</v>
      </c>
      <c r="AH1" s="654" t="s">
        <v>16067</v>
      </c>
    </row>
    <row r="2" spans="1:56">
      <c r="A2" s="372" t="s">
        <v>614</v>
      </c>
      <c r="B2" s="373" t="s">
        <v>615</v>
      </c>
      <c r="C2" s="372" t="s">
        <v>616</v>
      </c>
      <c r="D2" s="374">
        <v>1301110006246</v>
      </c>
      <c r="E2" s="372" t="s">
        <v>617</v>
      </c>
      <c r="F2" s="372" t="s">
        <v>618</v>
      </c>
      <c r="G2" s="375" t="s">
        <v>618</v>
      </c>
      <c r="H2" s="375" t="s">
        <v>750</v>
      </c>
      <c r="I2" s="375" t="s">
        <v>751</v>
      </c>
      <c r="J2" s="375">
        <v>292862572</v>
      </c>
      <c r="K2" s="375">
        <v>29057975</v>
      </c>
      <c r="L2" s="375">
        <v>33146768</v>
      </c>
      <c r="M2" s="375">
        <v>386281363</v>
      </c>
      <c r="N2" s="372">
        <v>1.0840000000000001</v>
      </c>
      <c r="O2" s="704">
        <v>4.7909852600414577</v>
      </c>
      <c r="P2" s="375" t="s">
        <v>619</v>
      </c>
      <c r="Q2" s="375" t="s">
        <v>619</v>
      </c>
      <c r="R2" s="696">
        <v>19750611</v>
      </c>
      <c r="S2" s="375" t="s">
        <v>752</v>
      </c>
      <c r="T2" s="697">
        <v>0.26400000000000001</v>
      </c>
      <c r="U2" s="375" t="s">
        <v>753</v>
      </c>
      <c r="V2" s="722">
        <v>5.99</v>
      </c>
      <c r="W2" s="722">
        <v>1.1100000000000001</v>
      </c>
      <c r="X2" s="722">
        <v>1.43</v>
      </c>
      <c r="Y2" s="722">
        <v>13.03</v>
      </c>
      <c r="Z2" s="382">
        <v>7.2736162837774287E-2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3033480.16</v>
      </c>
      <c r="AF2" s="372">
        <v>3260272.28</v>
      </c>
      <c r="AG2" s="372">
        <v>3428966.73</v>
      </c>
      <c r="AH2" s="372">
        <v>3488785</v>
      </c>
      <c r="BA2" s="656" t="s">
        <v>249</v>
      </c>
      <c r="BB2" s="658" t="s">
        <v>218</v>
      </c>
      <c r="BC2" s="659" t="s">
        <v>15805</v>
      </c>
      <c r="BD2" s="659" t="s">
        <v>251</v>
      </c>
    </row>
    <row r="3" spans="1:56">
      <c r="A3" s="372" t="s">
        <v>762</v>
      </c>
      <c r="B3" s="373" t="s">
        <v>763</v>
      </c>
      <c r="C3" s="372" t="s">
        <v>764</v>
      </c>
      <c r="D3" s="374">
        <v>1344110001387</v>
      </c>
      <c r="E3" s="372" t="s">
        <v>765</v>
      </c>
      <c r="F3" s="375" t="s">
        <v>766</v>
      </c>
      <c r="G3" s="375" t="s">
        <v>766</v>
      </c>
      <c r="H3" s="375" t="s">
        <v>750</v>
      </c>
      <c r="I3" s="375" t="s">
        <v>751</v>
      </c>
      <c r="J3" s="375">
        <v>57731429</v>
      </c>
      <c r="K3" s="375">
        <v>15730557</v>
      </c>
      <c r="L3" s="375">
        <v>12429166</v>
      </c>
      <c r="M3" s="375">
        <v>65301520</v>
      </c>
      <c r="N3" s="372">
        <v>1.381</v>
      </c>
      <c r="O3" s="704">
        <v>19.135106352557372</v>
      </c>
      <c r="P3" s="375" t="s">
        <v>619</v>
      </c>
      <c r="Q3" s="375" t="s">
        <v>619</v>
      </c>
      <c r="R3" s="696">
        <v>19961226</v>
      </c>
      <c r="S3" s="375" t="s">
        <v>767</v>
      </c>
      <c r="T3" s="697">
        <v>0.26400000000000001</v>
      </c>
      <c r="U3" s="375" t="s">
        <v>769</v>
      </c>
      <c r="V3" s="722">
        <v>4.96</v>
      </c>
      <c r="W3" s="722">
        <v>1.88</v>
      </c>
      <c r="X3" s="722">
        <v>2.2000000000000002</v>
      </c>
      <c r="Y3" s="722">
        <v>12.19</v>
      </c>
      <c r="Z3" s="382">
        <v>0.29422284375971874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661744.31999999995</v>
      </c>
      <c r="AF3" s="372">
        <v>850704.88</v>
      </c>
      <c r="AG3" s="372">
        <v>919297.22</v>
      </c>
      <c r="AH3" s="372">
        <v>939410</v>
      </c>
      <c r="BA3" s="660" t="s">
        <v>222</v>
      </c>
      <c r="BB3" s="660" t="s">
        <v>16317</v>
      </c>
      <c r="BC3" s="661" t="s">
        <v>15806</v>
      </c>
      <c r="BD3" s="657" t="s">
        <v>15807</v>
      </c>
    </row>
    <row r="4" spans="1:56">
      <c r="A4" s="372" t="s">
        <v>771</v>
      </c>
      <c r="B4" s="373" t="s">
        <v>772</v>
      </c>
      <c r="C4" s="372" t="s">
        <v>773</v>
      </c>
      <c r="D4" s="374">
        <v>1101117701356</v>
      </c>
      <c r="E4" s="372" t="s">
        <v>774</v>
      </c>
      <c r="F4" s="375" t="s">
        <v>16097</v>
      </c>
      <c r="G4" s="375" t="s">
        <v>16097</v>
      </c>
      <c r="H4" s="375" t="s">
        <v>750</v>
      </c>
      <c r="I4" s="375" t="s">
        <v>751</v>
      </c>
      <c r="J4" s="375">
        <v>27169747</v>
      </c>
      <c r="K4" s="375">
        <v>-213664</v>
      </c>
      <c r="L4" s="375">
        <v>940591</v>
      </c>
      <c r="M4" s="375">
        <v>28497610</v>
      </c>
      <c r="N4" s="372">
        <v>1.083</v>
      </c>
      <c r="O4" s="704">
        <v>17.722189712128362</v>
      </c>
      <c r="P4" s="375" t="s">
        <v>619</v>
      </c>
      <c r="Q4" s="375" t="s">
        <v>619</v>
      </c>
      <c r="R4" s="696">
        <v>20220127</v>
      </c>
      <c r="S4" s="375" t="s">
        <v>775</v>
      </c>
      <c r="T4" s="697">
        <v>0.26400000000000001</v>
      </c>
      <c r="U4" s="375" t="s">
        <v>776</v>
      </c>
      <c r="V4" s="722">
        <v>44.7</v>
      </c>
      <c r="W4" s="722">
        <v>4.8</v>
      </c>
      <c r="X4" s="722">
        <v>3.57</v>
      </c>
      <c r="Y4" s="722" t="s">
        <v>770</v>
      </c>
      <c r="Z4" s="382">
        <v>3.9897881938544044E-2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259675.27</v>
      </c>
      <c r="AF4" s="372">
        <v>307798.90999999997</v>
      </c>
      <c r="AG4" s="372">
        <v>394619.24</v>
      </c>
      <c r="AH4" s="372">
        <v>518840</v>
      </c>
      <c r="BA4" s="660" t="s">
        <v>223</v>
      </c>
      <c r="BB4" s="660" t="s">
        <v>16318</v>
      </c>
      <c r="BC4" s="661" t="s">
        <v>15806</v>
      </c>
      <c r="BD4" s="657" t="s">
        <v>15807</v>
      </c>
    </row>
    <row r="5" spans="1:56">
      <c r="A5" s="372" t="s">
        <v>777</v>
      </c>
      <c r="B5" s="373" t="s">
        <v>778</v>
      </c>
      <c r="C5" s="372" t="s">
        <v>779</v>
      </c>
      <c r="D5" s="374">
        <v>1201110566317</v>
      </c>
      <c r="E5" s="372" t="s">
        <v>780</v>
      </c>
      <c r="F5" s="375" t="s">
        <v>16098</v>
      </c>
      <c r="G5" s="375" t="s">
        <v>16098</v>
      </c>
      <c r="H5" s="375" t="s">
        <v>781</v>
      </c>
      <c r="I5" s="375" t="s">
        <v>751</v>
      </c>
      <c r="J5" s="375">
        <v>4364391.7132200003</v>
      </c>
      <c r="K5" s="375">
        <v>1344356.3708599999</v>
      </c>
      <c r="L5" s="375">
        <v>1351748.42182</v>
      </c>
      <c r="M5" s="375">
        <v>10591549.252049999</v>
      </c>
      <c r="N5" s="372">
        <v>0.59099999999999997</v>
      </c>
      <c r="O5" s="704">
        <v>1.3601614594875218</v>
      </c>
      <c r="P5" s="375" t="s">
        <v>619</v>
      </c>
      <c r="Q5" s="375" t="s">
        <v>619</v>
      </c>
      <c r="R5" s="696">
        <v>20161110</v>
      </c>
      <c r="S5" s="372" t="s">
        <v>782</v>
      </c>
      <c r="T5" s="697">
        <v>0.26400000000000001</v>
      </c>
      <c r="U5" s="372" t="s">
        <v>783</v>
      </c>
      <c r="V5" s="722">
        <v>35.94</v>
      </c>
      <c r="W5" s="722">
        <v>6.57</v>
      </c>
      <c r="X5" s="722">
        <v>15.93</v>
      </c>
      <c r="Y5" s="722">
        <v>66.069999999999993</v>
      </c>
      <c r="Z5" s="382">
        <v>0.12329796161418005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44763.33</v>
      </c>
      <c r="AF5" s="372">
        <v>51612.95</v>
      </c>
      <c r="AG5" s="372">
        <v>58822.84</v>
      </c>
      <c r="AH5" s="372">
        <v>72476.67</v>
      </c>
      <c r="BA5" s="662"/>
      <c r="BB5" s="660"/>
      <c r="BC5" s="662"/>
      <c r="BD5" s="657"/>
    </row>
    <row r="6" spans="1:56">
      <c r="A6" s="372" t="s">
        <v>784</v>
      </c>
      <c r="B6" s="373" t="s">
        <v>785</v>
      </c>
      <c r="C6" s="372" t="s">
        <v>786</v>
      </c>
      <c r="D6" s="374">
        <v>1101110085450</v>
      </c>
      <c r="E6" s="372" t="s">
        <v>787</v>
      </c>
      <c r="F6" s="375" t="s">
        <v>788</v>
      </c>
      <c r="G6" s="375" t="s">
        <v>16099</v>
      </c>
      <c r="H6" s="375" t="s">
        <v>789</v>
      </c>
      <c r="I6" s="375" t="s">
        <v>751</v>
      </c>
      <c r="J6" s="375">
        <v>170276685</v>
      </c>
      <c r="K6" s="375">
        <v>14825190</v>
      </c>
      <c r="L6" s="375">
        <v>17920625</v>
      </c>
      <c r="M6" s="375">
        <v>111514026</v>
      </c>
      <c r="N6" s="372">
        <v>1.099</v>
      </c>
      <c r="O6" s="704">
        <v>310.57684462444706</v>
      </c>
      <c r="P6" s="375" t="s">
        <v>619</v>
      </c>
      <c r="Q6" s="375" t="s">
        <v>619</v>
      </c>
      <c r="R6" s="696">
        <v>19740628</v>
      </c>
      <c r="S6" s="375" t="s">
        <v>790</v>
      </c>
      <c r="T6" s="697">
        <v>0.26400000000000001</v>
      </c>
      <c r="U6" s="375" t="s">
        <v>791</v>
      </c>
      <c r="V6" s="722">
        <v>9.4499999999999993</v>
      </c>
      <c r="W6" s="722">
        <v>0.65</v>
      </c>
      <c r="X6" s="722">
        <v>0.39</v>
      </c>
      <c r="Y6" s="722">
        <v>5.34</v>
      </c>
      <c r="Z6" s="382">
        <v>3.3283533724057124E-2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1726996.5</v>
      </c>
      <c r="AF6" s="372">
        <v>1785019.42</v>
      </c>
      <c r="AG6" s="372">
        <v>1854250.3</v>
      </c>
      <c r="AH6" s="372">
        <v>2056430</v>
      </c>
      <c r="BA6" s="656" t="s">
        <v>249</v>
      </c>
      <c r="BB6" s="658" t="s">
        <v>504</v>
      </c>
      <c r="BC6" s="659" t="s">
        <v>15805</v>
      </c>
      <c r="BD6" s="655" t="s">
        <v>251</v>
      </c>
    </row>
    <row r="7" spans="1:56">
      <c r="A7" s="372" t="s">
        <v>792</v>
      </c>
      <c r="B7" s="373" t="s">
        <v>793</v>
      </c>
      <c r="C7" s="372" t="s">
        <v>794</v>
      </c>
      <c r="D7" s="374">
        <v>1101110037998</v>
      </c>
      <c r="E7" s="372" t="s">
        <v>795</v>
      </c>
      <c r="F7" s="375" t="s">
        <v>788</v>
      </c>
      <c r="G7" s="375" t="s">
        <v>16099</v>
      </c>
      <c r="H7" s="375" t="s">
        <v>789</v>
      </c>
      <c r="I7" s="375" t="s">
        <v>751</v>
      </c>
      <c r="J7" s="375">
        <v>104628789</v>
      </c>
      <c r="K7" s="375">
        <v>12416484</v>
      </c>
      <c r="L7" s="375">
        <v>13582726</v>
      </c>
      <c r="M7" s="375">
        <v>52273395</v>
      </c>
      <c r="N7" s="372">
        <v>1.0509999999999999</v>
      </c>
      <c r="O7" s="704">
        <v>9.032676386621203</v>
      </c>
      <c r="P7" s="375" t="s">
        <v>619</v>
      </c>
      <c r="Q7" s="375" t="s">
        <v>619</v>
      </c>
      <c r="R7" s="696">
        <v>19730721</v>
      </c>
      <c r="S7" s="375" t="s">
        <v>796</v>
      </c>
      <c r="T7" s="697">
        <v>0.26400000000000001</v>
      </c>
      <c r="U7" s="375" t="s">
        <v>797</v>
      </c>
      <c r="V7" s="722">
        <v>2.69</v>
      </c>
      <c r="W7" s="722">
        <v>0.75</v>
      </c>
      <c r="X7" s="722">
        <v>0.38</v>
      </c>
      <c r="Y7" s="722">
        <v>4.1500000000000004</v>
      </c>
      <c r="Z7" s="382">
        <v>3.801258470587876E-2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1072105</v>
      </c>
      <c r="AF7" s="372">
        <v>1106033.71</v>
      </c>
      <c r="AG7" s="372">
        <v>1158717.74</v>
      </c>
      <c r="AH7" s="372">
        <v>1348135</v>
      </c>
      <c r="BA7" s="660" t="s">
        <v>224</v>
      </c>
      <c r="BB7" s="660" t="s">
        <v>16326</v>
      </c>
      <c r="BC7" s="660" t="s">
        <v>15808</v>
      </c>
      <c r="BD7" s="665" t="s">
        <v>15809</v>
      </c>
    </row>
    <row r="8" spans="1:56">
      <c r="A8" s="372" t="s">
        <v>798</v>
      </c>
      <c r="B8" s="373" t="s">
        <v>799</v>
      </c>
      <c r="C8" s="372" t="s">
        <v>800</v>
      </c>
      <c r="D8" s="374">
        <v>1350110034038</v>
      </c>
      <c r="E8" s="372" t="s">
        <v>801</v>
      </c>
      <c r="F8" s="375" t="s">
        <v>16098</v>
      </c>
      <c r="G8" s="375" t="s">
        <v>16098</v>
      </c>
      <c r="H8" s="375" t="s">
        <v>781</v>
      </c>
      <c r="I8" s="375" t="s">
        <v>751</v>
      </c>
      <c r="J8" s="375">
        <v>2876252.5342299999</v>
      </c>
      <c r="K8" s="375">
        <v>314034.72149000003</v>
      </c>
      <c r="L8" s="375">
        <v>292348.62634999998</v>
      </c>
      <c r="M8" s="375">
        <v>17031290.055259999</v>
      </c>
      <c r="N8" s="372">
        <v>0.92900000000000005</v>
      </c>
      <c r="O8" s="704">
        <v>5.8326492131911225</v>
      </c>
      <c r="P8" s="375" t="s">
        <v>619</v>
      </c>
      <c r="Q8" s="375" t="s">
        <v>619</v>
      </c>
      <c r="R8" s="696">
        <v>20050719</v>
      </c>
      <c r="S8" s="375" t="s">
        <v>802</v>
      </c>
      <c r="T8" s="697">
        <v>0.23100000000000001</v>
      </c>
      <c r="U8" s="375" t="s">
        <v>803</v>
      </c>
      <c r="V8" s="722">
        <v>59.97</v>
      </c>
      <c r="W8" s="722">
        <v>2.2599999999999998</v>
      </c>
      <c r="X8" s="722">
        <v>13.62</v>
      </c>
      <c r="Y8" s="722">
        <v>209.3</v>
      </c>
      <c r="Z8" s="382">
        <v>0.25782375906890898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35217.870000000003</v>
      </c>
      <c r="AF8" s="372">
        <v>45684.09</v>
      </c>
      <c r="AG8" s="372">
        <v>54478.38</v>
      </c>
      <c r="AH8" s="372">
        <v>61440</v>
      </c>
      <c r="BA8" s="660" t="s">
        <v>225</v>
      </c>
      <c r="BB8" s="660" t="s">
        <v>16318</v>
      </c>
      <c r="BC8" s="660" t="s">
        <v>15808</v>
      </c>
      <c r="BD8" s="204" t="s">
        <v>15810</v>
      </c>
    </row>
    <row r="9" spans="1:56">
      <c r="A9" s="372" t="s">
        <v>804</v>
      </c>
      <c r="B9" s="373" t="s">
        <v>805</v>
      </c>
      <c r="C9" s="372" t="s">
        <v>806</v>
      </c>
      <c r="D9" s="374">
        <v>1746110000741</v>
      </c>
      <c r="E9" s="372" t="s">
        <v>807</v>
      </c>
      <c r="F9" s="375" t="s">
        <v>808</v>
      </c>
      <c r="G9" s="375" t="s">
        <v>808</v>
      </c>
      <c r="H9" s="375" t="s">
        <v>809</v>
      </c>
      <c r="I9" s="375" t="s">
        <v>751</v>
      </c>
      <c r="J9" s="375">
        <v>73547116.016939998</v>
      </c>
      <c r="K9" s="375">
        <v>2382463.5555199999</v>
      </c>
      <c r="L9" s="375">
        <v>1916249.9750099999</v>
      </c>
      <c r="M9" s="375">
        <v>61204411.835759997</v>
      </c>
      <c r="N9" s="372">
        <v>1.29</v>
      </c>
      <c r="O9" s="704">
        <v>105.66752619149264</v>
      </c>
      <c r="P9" s="375" t="s">
        <v>619</v>
      </c>
      <c r="Q9" s="375" t="s">
        <v>619</v>
      </c>
      <c r="R9" s="696">
        <v>19880610</v>
      </c>
      <c r="S9" s="375" t="s">
        <v>810</v>
      </c>
      <c r="T9" s="697">
        <v>0.26400000000000001</v>
      </c>
      <c r="U9" s="375" t="s">
        <v>15813</v>
      </c>
      <c r="V9" s="722">
        <v>7.56</v>
      </c>
      <c r="W9" s="722">
        <v>0.56000000000000005</v>
      </c>
      <c r="X9" s="722">
        <v>0.44</v>
      </c>
      <c r="Y9" s="722">
        <v>24.63</v>
      </c>
      <c r="Z9" s="382">
        <v>7.9844966037867504E-3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736012.21</v>
      </c>
      <c r="AF9" s="372">
        <v>761557.37</v>
      </c>
      <c r="AG9" s="372">
        <v>796201.44</v>
      </c>
      <c r="AH9" s="372">
        <v>0</v>
      </c>
      <c r="BA9" s="660" t="s">
        <v>214</v>
      </c>
      <c r="BB9" s="660" t="s">
        <v>16326</v>
      </c>
      <c r="BC9" s="660" t="s">
        <v>15808</v>
      </c>
      <c r="BD9" s="666" t="s">
        <v>15811</v>
      </c>
    </row>
    <row r="10" spans="1:56">
      <c r="A10" s="372" t="s">
        <v>811</v>
      </c>
      <c r="B10" s="373" t="s">
        <v>812</v>
      </c>
      <c r="C10" s="372" t="s">
        <v>813</v>
      </c>
      <c r="D10" s="374">
        <v>1101111707178</v>
      </c>
      <c r="E10" s="372" t="s">
        <v>813</v>
      </c>
      <c r="F10" s="375" t="s">
        <v>2515</v>
      </c>
      <c r="G10" s="375" t="s">
        <v>2515</v>
      </c>
      <c r="H10" s="375" t="s">
        <v>814</v>
      </c>
      <c r="I10" s="375" t="s">
        <v>751</v>
      </c>
      <c r="J10" s="375">
        <v>10389102.56435</v>
      </c>
      <c r="K10" s="375">
        <v>1842738.9196899999</v>
      </c>
      <c r="L10" s="375">
        <v>2219974.9468700001</v>
      </c>
      <c r="M10" s="375">
        <v>26155222.83365</v>
      </c>
      <c r="N10" s="372">
        <v>0.94199999999999995</v>
      </c>
      <c r="O10" s="704">
        <v>15.729110485840806</v>
      </c>
      <c r="P10" s="375" t="s">
        <v>619</v>
      </c>
      <c r="Q10" s="375" t="s">
        <v>619</v>
      </c>
      <c r="R10" s="696">
        <v>20021025</v>
      </c>
      <c r="S10" s="375" t="s">
        <v>815</v>
      </c>
      <c r="T10" s="697">
        <v>0.26400000000000001</v>
      </c>
      <c r="U10" s="375" t="s">
        <v>816</v>
      </c>
      <c r="V10" s="722">
        <v>11.85</v>
      </c>
      <c r="W10" s="722">
        <v>1.07</v>
      </c>
      <c r="X10" s="722">
        <v>2.65</v>
      </c>
      <c r="Y10" s="722">
        <v>16.34</v>
      </c>
      <c r="Z10" s="382">
        <v>6.8254186966236308E-2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106294.8</v>
      </c>
      <c r="AF10" s="372">
        <v>116143.29</v>
      </c>
      <c r="AG10" s="372">
        <v>125937.13</v>
      </c>
      <c r="AH10" s="372">
        <v>0</v>
      </c>
      <c r="BA10" s="664" t="s">
        <v>505</v>
      </c>
      <c r="BB10" s="660" t="s">
        <v>16327</v>
      </c>
      <c r="BC10" s="660" t="s">
        <v>15808</v>
      </c>
      <c r="BD10" s="383" t="s">
        <v>15812</v>
      </c>
    </row>
    <row r="11" spans="1:56">
      <c r="A11" s="372" t="s">
        <v>817</v>
      </c>
      <c r="B11" s="373" t="s">
        <v>818</v>
      </c>
      <c r="C11" s="372" t="s">
        <v>819</v>
      </c>
      <c r="D11" s="374">
        <v>1101112207995</v>
      </c>
      <c r="E11" s="372" t="s">
        <v>820</v>
      </c>
      <c r="F11" s="375" t="s">
        <v>821</v>
      </c>
      <c r="G11" s="375" t="s">
        <v>822</v>
      </c>
      <c r="H11" s="375" t="s">
        <v>823</v>
      </c>
      <c r="I11" s="375" t="s">
        <v>751</v>
      </c>
      <c r="J11" s="375">
        <v>49714304</v>
      </c>
      <c r="K11" s="375">
        <v>63475</v>
      </c>
      <c r="L11" s="375">
        <v>1106663</v>
      </c>
      <c r="M11" s="375">
        <v>45617176</v>
      </c>
      <c r="N11" s="372">
        <v>1.5189999999999999</v>
      </c>
      <c r="O11" s="704">
        <v>127.03080153998569</v>
      </c>
      <c r="P11" s="375" t="s">
        <v>619</v>
      </c>
      <c r="Q11" s="375" t="s">
        <v>619</v>
      </c>
      <c r="R11" s="696">
        <v>20010425</v>
      </c>
      <c r="S11" s="375" t="s">
        <v>824</v>
      </c>
      <c r="T11" s="697">
        <v>0.26400000000000001</v>
      </c>
      <c r="U11" s="375" t="s">
        <v>825</v>
      </c>
      <c r="V11" s="722">
        <v>13.09</v>
      </c>
      <c r="W11" s="722">
        <v>0.85</v>
      </c>
      <c r="X11" s="722">
        <v>0.56000000000000005</v>
      </c>
      <c r="Y11" s="722">
        <v>98.57</v>
      </c>
      <c r="Z11" s="382">
        <v>4.4604285256811815E-2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495401.38</v>
      </c>
      <c r="AF11" s="372">
        <v>573073.14</v>
      </c>
      <c r="AG11" s="372">
        <v>657866.55000000005</v>
      </c>
      <c r="AH11" s="372">
        <v>1113380</v>
      </c>
      <c r="BA11" s="660" t="s">
        <v>620</v>
      </c>
      <c r="BB11" s="663" t="s">
        <v>16327</v>
      </c>
      <c r="BC11" s="660" t="s">
        <v>15808</v>
      </c>
    </row>
    <row r="12" spans="1:56">
      <c r="A12" s="372" t="s">
        <v>826</v>
      </c>
      <c r="B12" s="373" t="s">
        <v>827</v>
      </c>
      <c r="C12" s="372" t="s">
        <v>828</v>
      </c>
      <c r="D12" s="374">
        <v>1101110394174</v>
      </c>
      <c r="E12" s="372" t="s">
        <v>829</v>
      </c>
      <c r="F12" s="375" t="s">
        <v>16097</v>
      </c>
      <c r="G12" s="375" t="s">
        <v>16100</v>
      </c>
      <c r="H12" s="375" t="s">
        <v>750</v>
      </c>
      <c r="I12" s="375" t="s">
        <v>751</v>
      </c>
      <c r="J12" s="375">
        <v>19426535.223299999</v>
      </c>
      <c r="K12" s="375">
        <v>955147.70207999996</v>
      </c>
      <c r="L12" s="375">
        <v>1550538.2854299999</v>
      </c>
      <c r="M12" s="375">
        <v>21135210.01354</v>
      </c>
      <c r="N12" s="372">
        <v>1.4219999999999999</v>
      </c>
      <c r="O12" s="704">
        <v>42.792021896115543</v>
      </c>
      <c r="P12" s="375" t="s">
        <v>619</v>
      </c>
      <c r="Q12" s="375" t="s">
        <v>619</v>
      </c>
      <c r="R12" s="696">
        <v>19790227</v>
      </c>
      <c r="S12" s="375" t="s">
        <v>830</v>
      </c>
      <c r="T12" s="697">
        <v>0.26400000000000001</v>
      </c>
      <c r="U12" s="375" t="s">
        <v>831</v>
      </c>
      <c r="V12" s="722">
        <v>12.63</v>
      </c>
      <c r="W12" s="722">
        <v>1.34</v>
      </c>
      <c r="X12" s="722">
        <v>1.37</v>
      </c>
      <c r="Y12" s="722">
        <v>20.149999999999999</v>
      </c>
      <c r="Z12" s="382">
        <v>2.2131796933896553E-2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178664.71</v>
      </c>
      <c r="AF12" s="372">
        <v>200548.95</v>
      </c>
      <c r="AG12" s="372">
        <v>247863.3</v>
      </c>
      <c r="AH12" s="372">
        <v>303830</v>
      </c>
      <c r="BA12" s="657"/>
      <c r="BB12" s="657"/>
      <c r="BC12" s="657"/>
      <c r="BD12" s="657"/>
    </row>
    <row r="13" spans="1:56">
      <c r="A13" s="372" t="s">
        <v>832</v>
      </c>
      <c r="B13" s="373" t="s">
        <v>833</v>
      </c>
      <c r="C13" s="372" t="s">
        <v>834</v>
      </c>
      <c r="D13" s="374">
        <v>1101111129497</v>
      </c>
      <c r="E13" s="372" t="s">
        <v>835</v>
      </c>
      <c r="F13" s="375" t="s">
        <v>2515</v>
      </c>
      <c r="G13" s="375" t="s">
        <v>2515</v>
      </c>
      <c r="H13" s="375" t="s">
        <v>814</v>
      </c>
      <c r="I13" s="375" t="s">
        <v>751</v>
      </c>
      <c r="J13" s="375">
        <v>7913152.6023000004</v>
      </c>
      <c r="K13" s="375">
        <v>545649.63075000001</v>
      </c>
      <c r="L13" s="375">
        <v>-1496044.6490199999</v>
      </c>
      <c r="M13" s="375">
        <v>14175705.32065</v>
      </c>
      <c r="N13" s="372">
        <v>1.1579999999999999</v>
      </c>
      <c r="O13" s="704">
        <v>26.70946876241052</v>
      </c>
      <c r="P13" s="375" t="s">
        <v>619</v>
      </c>
      <c r="Q13" s="375" t="s">
        <v>619</v>
      </c>
      <c r="R13" s="696">
        <v>19991109</v>
      </c>
      <c r="S13" s="375" t="s">
        <v>836</v>
      </c>
      <c r="T13" s="697" t="s">
        <v>768</v>
      </c>
      <c r="U13" s="375" t="s">
        <v>837</v>
      </c>
      <c r="V13" s="722">
        <v>14.51</v>
      </c>
      <c r="W13" s="722">
        <v>1.58</v>
      </c>
      <c r="X13" s="722">
        <v>2.0299999999999998</v>
      </c>
      <c r="Y13" s="722" t="s">
        <v>770</v>
      </c>
      <c r="Z13" s="382">
        <v>5.1937752820633731E-2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79886.460000000006</v>
      </c>
      <c r="AF13" s="372">
        <v>85674.52</v>
      </c>
      <c r="AG13" s="372">
        <v>92535.78</v>
      </c>
      <c r="AH13" s="372">
        <v>0</v>
      </c>
      <c r="BA13" s="664" t="s">
        <v>621</v>
      </c>
      <c r="BB13" s="664">
        <v>20241031</v>
      </c>
      <c r="BC13" s="657"/>
      <c r="BD13" s="657"/>
    </row>
    <row r="14" spans="1:56">
      <c r="A14" s="372" t="s">
        <v>838</v>
      </c>
      <c r="B14" s="373" t="s">
        <v>839</v>
      </c>
      <c r="C14" s="372" t="s">
        <v>840</v>
      </c>
      <c r="D14" s="374">
        <v>1101110015762</v>
      </c>
      <c r="E14" s="372" t="s">
        <v>841</v>
      </c>
      <c r="F14" s="375" t="s">
        <v>842</v>
      </c>
      <c r="G14" s="375" t="s">
        <v>842</v>
      </c>
      <c r="H14" s="375" t="s">
        <v>843</v>
      </c>
      <c r="I14" s="375" t="s">
        <v>751</v>
      </c>
      <c r="J14" s="375">
        <v>42210221.003919996</v>
      </c>
      <c r="K14" s="375">
        <v>2975799.6208700002</v>
      </c>
      <c r="L14" s="375">
        <v>3597720.2469199998</v>
      </c>
      <c r="M14" s="375">
        <v>38413952.049800001</v>
      </c>
      <c r="N14" s="372">
        <v>1.046</v>
      </c>
      <c r="O14" s="704">
        <v>24.871203638403475</v>
      </c>
      <c r="P14" s="375" t="s">
        <v>619</v>
      </c>
      <c r="Q14" s="375" t="s">
        <v>619</v>
      </c>
      <c r="R14" s="696">
        <v>20141218</v>
      </c>
      <c r="S14" s="375" t="s">
        <v>844</v>
      </c>
      <c r="T14" s="697">
        <v>0.26400000000000001</v>
      </c>
      <c r="U14" s="375" t="s">
        <v>845</v>
      </c>
      <c r="V14" s="722">
        <v>7.91</v>
      </c>
      <c r="W14" s="722">
        <v>0.73</v>
      </c>
      <c r="X14" s="722">
        <v>0.6</v>
      </c>
      <c r="Y14" s="722">
        <v>11.82</v>
      </c>
      <c r="Z14" s="382">
        <v>1.2558037114081211E-2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421189.93</v>
      </c>
      <c r="AF14" s="372">
        <v>429299.36</v>
      </c>
      <c r="AG14" s="372">
        <v>440401.67</v>
      </c>
      <c r="AH14" s="372">
        <v>0</v>
      </c>
      <c r="BA14" s="664" t="s">
        <v>757</v>
      </c>
      <c r="BB14" s="664" t="s">
        <v>16326</v>
      </c>
    </row>
    <row r="15" spans="1:56">
      <c r="A15" s="372" t="s">
        <v>846</v>
      </c>
      <c r="B15" s="373" t="s">
        <v>847</v>
      </c>
      <c r="C15" s="372" t="s">
        <v>848</v>
      </c>
      <c r="D15" s="374">
        <v>1101113975517</v>
      </c>
      <c r="E15" s="372" t="s">
        <v>849</v>
      </c>
      <c r="F15" s="375" t="s">
        <v>850</v>
      </c>
      <c r="G15" s="375" t="s">
        <v>851</v>
      </c>
      <c r="H15" s="375" t="s">
        <v>852</v>
      </c>
      <c r="I15" s="375" t="s">
        <v>751</v>
      </c>
      <c r="J15" s="375">
        <v>0</v>
      </c>
      <c r="K15" s="375">
        <v>0</v>
      </c>
      <c r="L15" s="375">
        <v>0</v>
      </c>
      <c r="M15" s="375">
        <v>0</v>
      </c>
      <c r="N15" s="372">
        <v>1.121</v>
      </c>
      <c r="O15" s="704" t="s">
        <v>16298</v>
      </c>
      <c r="P15" s="375" t="s">
        <v>619</v>
      </c>
      <c r="Q15" s="375" t="s">
        <v>619</v>
      </c>
      <c r="R15" s="696">
        <v>20081010</v>
      </c>
      <c r="S15" s="375" t="s">
        <v>768</v>
      </c>
      <c r="T15" s="697" t="s">
        <v>768</v>
      </c>
      <c r="U15" s="375" t="s">
        <v>853</v>
      </c>
      <c r="V15" s="722">
        <v>0</v>
      </c>
      <c r="W15" s="722">
        <v>0</v>
      </c>
      <c r="X15" s="722">
        <v>0</v>
      </c>
      <c r="Y15" s="722">
        <v>0</v>
      </c>
      <c r="Z15" s="382">
        <v>2.5145161804188465E-2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305561</v>
      </c>
      <c r="AF15" s="372">
        <v>311430.33</v>
      </c>
      <c r="AG15" s="372">
        <v>321889.42</v>
      </c>
      <c r="AH15" s="372">
        <v>0</v>
      </c>
    </row>
    <row r="16" spans="1:56">
      <c r="A16" s="372" t="s">
        <v>854</v>
      </c>
      <c r="B16" s="373" t="s">
        <v>855</v>
      </c>
      <c r="C16" s="372" t="s">
        <v>856</v>
      </c>
      <c r="D16" s="374">
        <v>1501110219184</v>
      </c>
      <c r="E16" s="372" t="s">
        <v>857</v>
      </c>
      <c r="F16" s="375" t="s">
        <v>16097</v>
      </c>
      <c r="G16" s="375" t="s">
        <v>16100</v>
      </c>
      <c r="H16" s="375" t="s">
        <v>858</v>
      </c>
      <c r="I16" s="375" t="s">
        <v>859</v>
      </c>
      <c r="J16" s="375">
        <v>3482309.8196700001</v>
      </c>
      <c r="K16" s="375">
        <v>-142525.54483999999</v>
      </c>
      <c r="L16" s="375">
        <v>-242243.9841</v>
      </c>
      <c r="M16" s="375">
        <v>1554968.91931</v>
      </c>
      <c r="N16" s="372">
        <v>0.91400000000000003</v>
      </c>
      <c r="O16" s="704">
        <v>13.013869502608621</v>
      </c>
      <c r="P16" s="375" t="s">
        <v>619</v>
      </c>
      <c r="Q16" s="375" t="s">
        <v>619</v>
      </c>
      <c r="R16" s="696">
        <v>20190305</v>
      </c>
      <c r="S16" s="375" t="s">
        <v>860</v>
      </c>
      <c r="T16" s="697" t="s">
        <v>768</v>
      </c>
      <c r="U16" s="375" t="s">
        <v>861</v>
      </c>
      <c r="V16" s="722" t="s">
        <v>770</v>
      </c>
      <c r="W16" s="722">
        <v>13.76</v>
      </c>
      <c r="X16" s="722">
        <v>5.18</v>
      </c>
      <c r="Y16" s="722" t="s">
        <v>770</v>
      </c>
      <c r="Z16" s="382">
        <v>-2.6409124068821344E-2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29518.86</v>
      </c>
      <c r="AF16" s="372">
        <v>39163.19</v>
      </c>
      <c r="AG16" s="372">
        <v>62002.57</v>
      </c>
      <c r="AH16" s="372">
        <v>102540</v>
      </c>
    </row>
    <row r="17" spans="1:34">
      <c r="A17" s="372" t="s">
        <v>862</v>
      </c>
      <c r="B17" s="373" t="s">
        <v>863</v>
      </c>
      <c r="C17" s="372" t="s">
        <v>864</v>
      </c>
      <c r="D17" s="374">
        <v>1101112322438</v>
      </c>
      <c r="E17" s="372" t="s">
        <v>865</v>
      </c>
      <c r="F17" s="375" t="s">
        <v>850</v>
      </c>
      <c r="G17" s="375" t="s">
        <v>851</v>
      </c>
      <c r="H17" s="375" t="s">
        <v>852</v>
      </c>
      <c r="I17" s="375" t="s">
        <v>751</v>
      </c>
      <c r="J17" s="375">
        <v>0</v>
      </c>
      <c r="K17" s="375">
        <v>0</v>
      </c>
      <c r="L17" s="375">
        <v>0</v>
      </c>
      <c r="M17" s="375">
        <v>0</v>
      </c>
      <c r="N17" s="372">
        <v>0.97399999999999998</v>
      </c>
      <c r="O17" s="704" t="s">
        <v>16298</v>
      </c>
      <c r="P17" s="375" t="s">
        <v>619</v>
      </c>
      <c r="Q17" s="375" t="s">
        <v>619</v>
      </c>
      <c r="R17" s="696">
        <v>20010910</v>
      </c>
      <c r="S17" s="375" t="s">
        <v>866</v>
      </c>
      <c r="T17" s="697" t="s">
        <v>768</v>
      </c>
      <c r="U17" s="375" t="s">
        <v>867</v>
      </c>
      <c r="V17" s="722">
        <v>0</v>
      </c>
      <c r="W17" s="722">
        <v>0</v>
      </c>
      <c r="X17" s="722">
        <v>0</v>
      </c>
      <c r="Y17" s="722">
        <v>0</v>
      </c>
      <c r="Z17" s="382">
        <v>1.6830497724404925E-2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284777.2</v>
      </c>
      <c r="AF17" s="372">
        <v>289540.33</v>
      </c>
      <c r="AG17" s="372">
        <v>294833</v>
      </c>
      <c r="AH17" s="372">
        <v>0</v>
      </c>
    </row>
    <row r="18" spans="1:34">
      <c r="A18" s="372" t="s">
        <v>868</v>
      </c>
      <c r="B18" s="373" t="s">
        <v>869</v>
      </c>
      <c r="C18" s="372" t="s">
        <v>870</v>
      </c>
      <c r="D18" s="374">
        <v>1746110001947</v>
      </c>
      <c r="E18" s="372" t="s">
        <v>871</v>
      </c>
      <c r="F18" s="375" t="s">
        <v>16097</v>
      </c>
      <c r="G18" s="375" t="s">
        <v>16097</v>
      </c>
      <c r="H18" s="375" t="s">
        <v>750</v>
      </c>
      <c r="I18" s="375" t="s">
        <v>751</v>
      </c>
      <c r="J18" s="375">
        <v>4122537.3256299999</v>
      </c>
      <c r="K18" s="375">
        <v>-31656.163240000002</v>
      </c>
      <c r="L18" s="375">
        <v>-147064.52643999999</v>
      </c>
      <c r="M18" s="375">
        <v>2639202.3840299998</v>
      </c>
      <c r="N18" s="372">
        <v>1.444</v>
      </c>
      <c r="O18" s="704">
        <v>22.360213326350532</v>
      </c>
      <c r="P18" s="375" t="s">
        <v>619</v>
      </c>
      <c r="Q18" s="375" t="s">
        <v>619</v>
      </c>
      <c r="R18" s="696">
        <v>20011030</v>
      </c>
      <c r="S18" s="375" t="s">
        <v>872</v>
      </c>
      <c r="T18" s="697" t="s">
        <v>768</v>
      </c>
      <c r="U18" s="375" t="s">
        <v>15814</v>
      </c>
      <c r="V18" s="722">
        <v>164.75</v>
      </c>
      <c r="W18" s="722">
        <v>8.33</v>
      </c>
      <c r="X18" s="722">
        <v>4.7</v>
      </c>
      <c r="Y18" s="722" t="s">
        <v>770</v>
      </c>
      <c r="Z18" s="382">
        <v>0.11651313229911109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40403.24</v>
      </c>
      <c r="AF18" s="372">
        <v>52674.9</v>
      </c>
      <c r="AG18" s="372">
        <v>73969.14</v>
      </c>
      <c r="AH18" s="372">
        <v>68690</v>
      </c>
    </row>
    <row r="19" spans="1:34">
      <c r="A19" s="372" t="s">
        <v>873</v>
      </c>
      <c r="B19" s="373" t="s">
        <v>874</v>
      </c>
      <c r="C19" s="372" t="s">
        <v>875</v>
      </c>
      <c r="D19" s="374">
        <v>1101110215536</v>
      </c>
      <c r="E19" s="372" t="s">
        <v>876</v>
      </c>
      <c r="F19" s="375" t="s">
        <v>877</v>
      </c>
      <c r="G19" s="375" t="s">
        <v>877</v>
      </c>
      <c r="H19" s="375" t="s">
        <v>789</v>
      </c>
      <c r="I19" s="375" t="s">
        <v>751</v>
      </c>
      <c r="J19" s="375">
        <v>57198538</v>
      </c>
      <c r="K19" s="375">
        <v>2610539</v>
      </c>
      <c r="L19" s="375">
        <v>4771269</v>
      </c>
      <c r="M19" s="375">
        <v>43296882</v>
      </c>
      <c r="N19" s="372">
        <v>0.9</v>
      </c>
      <c r="O19" s="704">
        <v>14.072207977522897</v>
      </c>
      <c r="P19" s="375" t="s">
        <v>619</v>
      </c>
      <c r="Q19" s="375" t="s">
        <v>619</v>
      </c>
      <c r="R19" s="696">
        <v>19890905</v>
      </c>
      <c r="S19" s="375" t="s">
        <v>878</v>
      </c>
      <c r="T19" s="697">
        <v>0.26400000000000001</v>
      </c>
      <c r="U19" s="375" t="s">
        <v>879</v>
      </c>
      <c r="V19" s="722">
        <v>5.68</v>
      </c>
      <c r="W19" s="722">
        <v>0.46</v>
      </c>
      <c r="X19" s="722">
        <v>0.36</v>
      </c>
      <c r="Y19" s="722">
        <v>5.93</v>
      </c>
      <c r="Z19" s="382">
        <v>2.2279339579447832E-2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573194.88</v>
      </c>
      <c r="AF19" s="372">
        <v>609084.71</v>
      </c>
      <c r="AG19" s="372">
        <v>647140.61</v>
      </c>
      <c r="AH19" s="372">
        <v>708840</v>
      </c>
    </row>
    <row r="20" spans="1:34">
      <c r="A20" s="372" t="s">
        <v>880</v>
      </c>
      <c r="B20" s="373" t="s">
        <v>881</v>
      </c>
      <c r="C20" s="372" t="s">
        <v>882</v>
      </c>
      <c r="D20" s="374">
        <v>1101112487050</v>
      </c>
      <c r="E20" s="372" t="s">
        <v>883</v>
      </c>
      <c r="F20" s="375" t="s">
        <v>618</v>
      </c>
      <c r="G20" s="375" t="s">
        <v>618</v>
      </c>
      <c r="H20" s="375" t="s">
        <v>750</v>
      </c>
      <c r="I20" s="375" t="s">
        <v>751</v>
      </c>
      <c r="J20" s="375">
        <v>88742268</v>
      </c>
      <c r="K20" s="375">
        <v>3643157</v>
      </c>
      <c r="L20" s="375">
        <v>2341845</v>
      </c>
      <c r="M20" s="375">
        <v>24419324</v>
      </c>
      <c r="N20" s="372">
        <v>0.82199999999999995</v>
      </c>
      <c r="O20" s="704">
        <v>105.22063902873408</v>
      </c>
      <c r="P20" s="375" t="s">
        <v>619</v>
      </c>
      <c r="Q20" s="375" t="s">
        <v>619</v>
      </c>
      <c r="R20" s="696">
        <v>20020422</v>
      </c>
      <c r="S20" s="375" t="s">
        <v>884</v>
      </c>
      <c r="T20" s="697">
        <v>0.26400000000000001</v>
      </c>
      <c r="U20" s="375" t="s">
        <v>885</v>
      </c>
      <c r="V20" s="722">
        <v>4.12</v>
      </c>
      <c r="W20" s="722">
        <v>0.92</v>
      </c>
      <c r="X20" s="722">
        <v>0.21</v>
      </c>
      <c r="Y20" s="722">
        <v>24.29</v>
      </c>
      <c r="Z20" s="382">
        <v>3.3189292333704268E-2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876351.83</v>
      </c>
      <c r="AF20" s="372">
        <v>913350.96</v>
      </c>
      <c r="AG20" s="372">
        <v>959787</v>
      </c>
      <c r="AH20" s="372">
        <v>0</v>
      </c>
    </row>
    <row r="21" spans="1:34">
      <c r="A21" s="372" t="s">
        <v>886</v>
      </c>
      <c r="B21" s="373" t="s">
        <v>887</v>
      </c>
      <c r="C21" s="372" t="s">
        <v>888</v>
      </c>
      <c r="D21" s="374">
        <v>1101111598379</v>
      </c>
      <c r="E21" s="372" t="s">
        <v>889</v>
      </c>
      <c r="F21" s="375" t="s">
        <v>890</v>
      </c>
      <c r="G21" s="375" t="s">
        <v>891</v>
      </c>
      <c r="H21" s="375" t="s">
        <v>892</v>
      </c>
      <c r="I21" s="375" t="s">
        <v>859</v>
      </c>
      <c r="J21" s="375">
        <v>3753761.2092800001</v>
      </c>
      <c r="K21" s="375">
        <v>-312673.85339</v>
      </c>
      <c r="L21" s="375">
        <v>-464127.55476000003</v>
      </c>
      <c r="M21" s="375">
        <v>3245727.2948699999</v>
      </c>
      <c r="N21" s="372">
        <v>0.89800000000000002</v>
      </c>
      <c r="O21" s="704">
        <v>31.916170612690564</v>
      </c>
      <c r="P21" s="375" t="s">
        <v>619</v>
      </c>
      <c r="Q21" s="375" t="s">
        <v>619</v>
      </c>
      <c r="R21" s="696">
        <v>20070720</v>
      </c>
      <c r="S21" s="375" t="s">
        <v>893</v>
      </c>
      <c r="T21" s="697" t="s">
        <v>768</v>
      </c>
      <c r="U21" s="375" t="s">
        <v>894</v>
      </c>
      <c r="V21" s="722" t="s">
        <v>770</v>
      </c>
      <c r="W21" s="722">
        <v>7.67</v>
      </c>
      <c r="X21" s="722">
        <v>3.14</v>
      </c>
      <c r="Y21" s="722" t="s">
        <v>770</v>
      </c>
      <c r="Z21" s="382" t="s">
        <v>924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895</v>
      </c>
      <c r="B22" s="373" t="s">
        <v>896</v>
      </c>
      <c r="C22" s="372" t="s">
        <v>897</v>
      </c>
      <c r="D22" s="374">
        <v>1101113352004</v>
      </c>
      <c r="E22" s="372" t="s">
        <v>898</v>
      </c>
      <c r="F22" s="375" t="s">
        <v>850</v>
      </c>
      <c r="G22" s="375" t="s">
        <v>851</v>
      </c>
      <c r="H22" s="375" t="s">
        <v>852</v>
      </c>
      <c r="I22" s="375" t="s">
        <v>751</v>
      </c>
      <c r="J22" s="375">
        <v>0</v>
      </c>
      <c r="K22" s="375">
        <v>0</v>
      </c>
      <c r="L22" s="375">
        <v>0</v>
      </c>
      <c r="M22" s="375">
        <v>0</v>
      </c>
      <c r="N22" s="372">
        <v>1.0349999999999999</v>
      </c>
      <c r="O22" s="704" t="s">
        <v>16298</v>
      </c>
      <c r="P22" s="375" t="s">
        <v>619</v>
      </c>
      <c r="Q22" s="375" t="s">
        <v>619</v>
      </c>
      <c r="R22" s="696">
        <v>20051212</v>
      </c>
      <c r="S22" s="375" t="s">
        <v>899</v>
      </c>
      <c r="T22" s="697" t="s">
        <v>768</v>
      </c>
      <c r="U22" s="375" t="s">
        <v>900</v>
      </c>
      <c r="V22" s="722">
        <v>0</v>
      </c>
      <c r="W22" s="722">
        <v>0</v>
      </c>
      <c r="X22" s="722">
        <v>0</v>
      </c>
      <c r="Y22" s="722">
        <v>0</v>
      </c>
      <c r="Z22" s="382">
        <v>2.5056536567541476E-2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245645.45</v>
      </c>
      <c r="AF22" s="372">
        <v>249377.1</v>
      </c>
      <c r="AG22" s="372">
        <v>256979.56</v>
      </c>
      <c r="AH22" s="372">
        <v>0</v>
      </c>
    </row>
    <row r="23" spans="1:34">
      <c r="A23" s="372" t="s">
        <v>901</v>
      </c>
      <c r="B23" s="373" t="s">
        <v>902</v>
      </c>
      <c r="C23" s="372" t="s">
        <v>903</v>
      </c>
      <c r="D23" s="374">
        <v>1101110193740</v>
      </c>
      <c r="E23" s="372" t="s">
        <v>903</v>
      </c>
      <c r="F23" s="375" t="s">
        <v>904</v>
      </c>
      <c r="G23" s="375" t="s">
        <v>905</v>
      </c>
      <c r="H23" s="375" t="s">
        <v>906</v>
      </c>
      <c r="I23" s="375" t="s">
        <v>751</v>
      </c>
      <c r="J23" s="375">
        <v>10608098</v>
      </c>
      <c r="K23" s="375">
        <v>2555100</v>
      </c>
      <c r="L23" s="375">
        <v>3241141</v>
      </c>
      <c r="M23" s="375">
        <v>24187690</v>
      </c>
      <c r="N23" s="372">
        <v>0.89300000000000002</v>
      </c>
      <c r="O23" s="704">
        <v>30.508105143943677</v>
      </c>
      <c r="P23" s="375" t="s">
        <v>619</v>
      </c>
      <c r="Q23" s="375" t="s">
        <v>619</v>
      </c>
      <c r="R23" s="696">
        <v>19951005</v>
      </c>
      <c r="S23" s="375" t="s">
        <v>907</v>
      </c>
      <c r="T23" s="697">
        <v>0.26400000000000001</v>
      </c>
      <c r="U23" s="375" t="s">
        <v>908</v>
      </c>
      <c r="V23" s="722">
        <v>4.04</v>
      </c>
      <c r="W23" s="722">
        <v>0.56999999999999995</v>
      </c>
      <c r="X23" s="722">
        <v>1.3</v>
      </c>
      <c r="Y23" s="722">
        <v>4.38</v>
      </c>
      <c r="Z23" s="382">
        <v>1.7954946208553757E-2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112079.2</v>
      </c>
      <c r="AF23" s="372">
        <v>92770.7</v>
      </c>
      <c r="AG23" s="372">
        <v>90207.7</v>
      </c>
      <c r="AH23" s="372">
        <v>83890</v>
      </c>
    </row>
    <row r="24" spans="1:34">
      <c r="A24" s="372" t="s">
        <v>909</v>
      </c>
      <c r="B24" s="373" t="s">
        <v>910</v>
      </c>
      <c r="C24" s="372" t="s">
        <v>911</v>
      </c>
      <c r="D24" s="374">
        <v>1101114566406</v>
      </c>
      <c r="E24" s="372" t="s">
        <v>912</v>
      </c>
      <c r="F24" s="372" t="s">
        <v>850</v>
      </c>
      <c r="G24" s="375" t="s">
        <v>851</v>
      </c>
      <c r="H24" s="375" t="s">
        <v>852</v>
      </c>
      <c r="I24" s="375" t="s">
        <v>751</v>
      </c>
      <c r="J24" s="375">
        <v>0</v>
      </c>
      <c r="K24" s="375">
        <v>0</v>
      </c>
      <c r="L24" s="375">
        <v>0</v>
      </c>
      <c r="M24" s="375">
        <v>0</v>
      </c>
      <c r="N24" s="372">
        <v>0.89</v>
      </c>
      <c r="O24" s="704" t="s">
        <v>16298</v>
      </c>
      <c r="P24" s="375" t="s">
        <v>619</v>
      </c>
      <c r="Q24" s="375" t="s">
        <v>619</v>
      </c>
      <c r="R24" s="696">
        <v>20110513</v>
      </c>
      <c r="S24" s="375" t="s">
        <v>913</v>
      </c>
      <c r="T24" s="697" t="s">
        <v>768</v>
      </c>
      <c r="U24" s="375" t="s">
        <v>914</v>
      </c>
      <c r="V24" s="722">
        <v>0</v>
      </c>
      <c r="W24" s="722">
        <v>0</v>
      </c>
      <c r="X24" s="722">
        <v>0</v>
      </c>
      <c r="Y24" s="722">
        <v>0</v>
      </c>
      <c r="Z24" s="382" t="s">
        <v>924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37830.5</v>
      </c>
      <c r="AF24" s="372">
        <v>33512.5</v>
      </c>
      <c r="AG24" s="372">
        <v>0</v>
      </c>
      <c r="AH24" s="372">
        <v>0</v>
      </c>
    </row>
    <row r="25" spans="1:34">
      <c r="A25" s="372" t="s">
        <v>915</v>
      </c>
      <c r="B25" s="373" t="s">
        <v>916</v>
      </c>
      <c r="C25" s="372" t="s">
        <v>917</v>
      </c>
      <c r="D25" s="374">
        <v>1311110435767</v>
      </c>
      <c r="E25" s="372" t="s">
        <v>918</v>
      </c>
      <c r="F25" s="375" t="s">
        <v>919</v>
      </c>
      <c r="G25" s="375" t="s">
        <v>920</v>
      </c>
      <c r="H25" s="375" t="s">
        <v>921</v>
      </c>
      <c r="I25" s="375" t="s">
        <v>751</v>
      </c>
      <c r="J25" s="375">
        <v>0</v>
      </c>
      <c r="K25" s="375">
        <v>0</v>
      </c>
      <c r="L25" s="375">
        <v>0</v>
      </c>
      <c r="M25" s="375">
        <v>0</v>
      </c>
      <c r="N25" s="372">
        <v>1.4239999999999999</v>
      </c>
      <c r="O25" s="704" t="s">
        <v>16298</v>
      </c>
      <c r="P25" s="375" t="s">
        <v>619</v>
      </c>
      <c r="Q25" s="375" t="s">
        <v>619</v>
      </c>
      <c r="R25" s="696">
        <v>20210806</v>
      </c>
      <c r="S25" s="375" t="s">
        <v>922</v>
      </c>
      <c r="T25" s="697" t="s">
        <v>768</v>
      </c>
      <c r="U25" s="375" t="s">
        <v>923</v>
      </c>
      <c r="V25" s="722">
        <v>0</v>
      </c>
      <c r="W25" s="722">
        <v>0</v>
      </c>
      <c r="X25" s="722">
        <v>0</v>
      </c>
      <c r="Y25" s="722">
        <v>0</v>
      </c>
      <c r="Z25" s="382" t="s">
        <v>924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925</v>
      </c>
      <c r="B26" s="373" t="s">
        <v>926</v>
      </c>
      <c r="C26" s="372" t="s">
        <v>927</v>
      </c>
      <c r="D26" s="374">
        <v>1101110005953</v>
      </c>
      <c r="E26" s="372" t="s">
        <v>928</v>
      </c>
      <c r="F26" s="372" t="s">
        <v>929</v>
      </c>
      <c r="G26" s="375" t="s">
        <v>929</v>
      </c>
      <c r="H26" s="375" t="s">
        <v>930</v>
      </c>
      <c r="I26" s="375" t="s">
        <v>751</v>
      </c>
      <c r="J26" s="375">
        <v>10265038</v>
      </c>
      <c r="K26" s="375">
        <v>3049982</v>
      </c>
      <c r="L26" s="375">
        <v>3332375</v>
      </c>
      <c r="M26" s="375">
        <v>35282322</v>
      </c>
      <c r="N26" s="372">
        <v>0.91200000000000003</v>
      </c>
      <c r="O26" s="704">
        <v>128.77040074852403</v>
      </c>
      <c r="P26" s="375" t="s">
        <v>619</v>
      </c>
      <c r="Q26" s="375" t="s">
        <v>619</v>
      </c>
      <c r="R26" s="696">
        <v>20100512</v>
      </c>
      <c r="S26" s="375" t="s">
        <v>931</v>
      </c>
      <c r="T26" s="697">
        <v>0.26400000000000001</v>
      </c>
      <c r="U26" s="375" t="s">
        <v>932</v>
      </c>
      <c r="V26" s="722">
        <v>0</v>
      </c>
      <c r="W26" s="722">
        <v>0.53</v>
      </c>
      <c r="X26" s="722">
        <v>0.57999999999999996</v>
      </c>
      <c r="Y26" s="722">
        <v>7.49</v>
      </c>
      <c r="Z26" s="382" t="s">
        <v>924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933</v>
      </c>
      <c r="B27" s="373" t="s">
        <v>934</v>
      </c>
      <c r="C27" s="372" t="s">
        <v>935</v>
      </c>
      <c r="D27" s="374">
        <v>1101110769583</v>
      </c>
      <c r="E27" s="372" t="s">
        <v>935</v>
      </c>
      <c r="F27" s="375" t="s">
        <v>890</v>
      </c>
      <c r="G27" s="375" t="s">
        <v>891</v>
      </c>
      <c r="H27" s="375" t="s">
        <v>852</v>
      </c>
      <c r="I27" s="375" t="s">
        <v>751</v>
      </c>
      <c r="J27" s="375">
        <v>129080972</v>
      </c>
      <c r="K27" s="375">
        <v>2878775</v>
      </c>
      <c r="L27" s="375">
        <v>1230182</v>
      </c>
      <c r="M27" s="375">
        <v>81764093</v>
      </c>
      <c r="N27" s="372">
        <v>1.274</v>
      </c>
      <c r="O27" s="704">
        <v>1053.588415165244</v>
      </c>
      <c r="P27" s="375" t="s">
        <v>619</v>
      </c>
      <c r="Q27" s="375" t="s">
        <v>619</v>
      </c>
      <c r="R27" s="696">
        <v>20091111</v>
      </c>
      <c r="S27" s="375" t="s">
        <v>936</v>
      </c>
      <c r="T27" s="697">
        <v>0.26400000000000001</v>
      </c>
      <c r="U27" s="375" t="s">
        <v>937</v>
      </c>
      <c r="V27" s="722">
        <v>10.71</v>
      </c>
      <c r="W27" s="722">
        <v>0.48</v>
      </c>
      <c r="X27" s="722">
        <v>0.09</v>
      </c>
      <c r="Y27" s="722" t="s">
        <v>770</v>
      </c>
      <c r="Z27" s="382">
        <v>1.441155210108902E-2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1290541.92</v>
      </c>
      <c r="AF27" s="372">
        <v>1326450.25</v>
      </c>
      <c r="AG27" s="372">
        <v>1389683.64</v>
      </c>
      <c r="AH27" s="372">
        <v>0</v>
      </c>
    </row>
    <row r="28" spans="1:34">
      <c r="A28" s="372" t="s">
        <v>938</v>
      </c>
      <c r="B28" s="373" t="s">
        <v>939</v>
      </c>
      <c r="C28" s="372" t="s">
        <v>940</v>
      </c>
      <c r="D28" s="374">
        <v>1146710001456</v>
      </c>
      <c r="E28" s="372" t="s">
        <v>941</v>
      </c>
      <c r="F28" s="375" t="s">
        <v>942</v>
      </c>
      <c r="G28" s="375" t="s">
        <v>942</v>
      </c>
      <c r="H28" s="375" t="s">
        <v>943</v>
      </c>
      <c r="I28" s="375" t="s">
        <v>751</v>
      </c>
      <c r="J28" s="375">
        <v>92402777</v>
      </c>
      <c r="K28" s="375">
        <v>7857397</v>
      </c>
      <c r="L28" s="375">
        <v>5071993</v>
      </c>
      <c r="M28" s="375">
        <v>39676572</v>
      </c>
      <c r="N28" s="372">
        <v>0.60399999999999998</v>
      </c>
      <c r="O28" s="704">
        <v>914.48852760305397</v>
      </c>
      <c r="P28" s="375" t="s">
        <v>619</v>
      </c>
      <c r="Q28" s="375" t="s">
        <v>619</v>
      </c>
      <c r="R28" s="696">
        <v>19890810</v>
      </c>
      <c r="S28" s="375" t="s">
        <v>944</v>
      </c>
      <c r="T28" s="697">
        <v>0.26400000000000001</v>
      </c>
      <c r="U28" s="375" t="s">
        <v>945</v>
      </c>
      <c r="V28" s="722">
        <v>6.55</v>
      </c>
      <c r="W28" s="722">
        <v>0.35</v>
      </c>
      <c r="X28" s="722">
        <v>0.14000000000000001</v>
      </c>
      <c r="Y28" s="722">
        <v>3.56</v>
      </c>
      <c r="Z28" s="382">
        <v>3.5445335435416725E-2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932616.73</v>
      </c>
      <c r="AF28" s="372">
        <v>983105.13</v>
      </c>
      <c r="AG28" s="372">
        <v>1014082.07</v>
      </c>
      <c r="AH28" s="372">
        <v>967390</v>
      </c>
    </row>
    <row r="29" spans="1:34">
      <c r="A29" s="372" t="s">
        <v>946</v>
      </c>
      <c r="B29" s="373" t="s">
        <v>947</v>
      </c>
      <c r="C29" s="372" t="s">
        <v>948</v>
      </c>
      <c r="D29" s="374">
        <v>1101110003543</v>
      </c>
      <c r="E29" s="372" t="s">
        <v>949</v>
      </c>
      <c r="F29" s="375" t="s">
        <v>890</v>
      </c>
      <c r="G29" s="375" t="s">
        <v>891</v>
      </c>
      <c r="H29" s="375" t="s">
        <v>852</v>
      </c>
      <c r="I29" s="375" t="s">
        <v>751</v>
      </c>
      <c r="J29" s="375">
        <v>7427170</v>
      </c>
      <c r="K29" s="375">
        <v>1328306</v>
      </c>
      <c r="L29" s="375">
        <v>1373971</v>
      </c>
      <c r="M29" s="375">
        <v>27613112</v>
      </c>
      <c r="N29" s="372">
        <v>0.98699999999999999</v>
      </c>
      <c r="O29" s="704">
        <v>5.8766204229560675</v>
      </c>
      <c r="P29" s="375" t="s">
        <v>619</v>
      </c>
      <c r="Q29" s="375" t="s">
        <v>619</v>
      </c>
      <c r="R29" s="696">
        <v>19700213</v>
      </c>
      <c r="S29" s="375" t="s">
        <v>851</v>
      </c>
      <c r="T29" s="697">
        <v>0.26400000000000001</v>
      </c>
      <c r="U29" s="372" t="s">
        <v>950</v>
      </c>
      <c r="V29" s="722">
        <v>8.9499999999999993</v>
      </c>
      <c r="W29" s="722">
        <v>0.47</v>
      </c>
      <c r="X29" s="722">
        <v>1.71</v>
      </c>
      <c r="Y29" s="722">
        <v>13.3</v>
      </c>
      <c r="Z29" s="382">
        <v>4.8943707246105195E-2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77399.5</v>
      </c>
      <c r="AF29" s="372">
        <v>84856.09</v>
      </c>
      <c r="AG29" s="372">
        <v>90134.91</v>
      </c>
      <c r="AH29" s="372">
        <v>0</v>
      </c>
    </row>
    <row r="30" spans="1:34">
      <c r="A30" s="372" t="s">
        <v>951</v>
      </c>
      <c r="B30" s="373" t="s">
        <v>952</v>
      </c>
      <c r="C30" s="372" t="s">
        <v>953</v>
      </c>
      <c r="D30" s="374">
        <v>1101110005078</v>
      </c>
      <c r="E30" s="372" t="s">
        <v>954</v>
      </c>
      <c r="F30" s="375" t="s">
        <v>955</v>
      </c>
      <c r="G30" s="375" t="s">
        <v>956</v>
      </c>
      <c r="H30" s="375" t="s">
        <v>930</v>
      </c>
      <c r="I30" s="375" t="s">
        <v>751</v>
      </c>
      <c r="J30" s="375">
        <v>17148062.170499999</v>
      </c>
      <c r="K30" s="375">
        <v>2603002.5954300002</v>
      </c>
      <c r="L30" s="375">
        <v>2696560.4465299998</v>
      </c>
      <c r="M30" s="375">
        <v>16201181.338</v>
      </c>
      <c r="N30" s="372">
        <v>0.84199999999999997</v>
      </c>
      <c r="O30" s="704">
        <v>2.3376721356890049</v>
      </c>
      <c r="P30" s="375" t="s">
        <v>619</v>
      </c>
      <c r="Q30" s="375" t="s">
        <v>619</v>
      </c>
      <c r="R30" s="696">
        <v>19750630</v>
      </c>
      <c r="S30" s="375" t="s">
        <v>957</v>
      </c>
      <c r="T30" s="697">
        <v>0.26400000000000001</v>
      </c>
      <c r="U30" s="375" t="s">
        <v>958</v>
      </c>
      <c r="V30" s="722">
        <v>0</v>
      </c>
      <c r="W30" s="722">
        <v>0.99</v>
      </c>
      <c r="X30" s="722">
        <v>0.79</v>
      </c>
      <c r="Y30" s="722">
        <v>8.52</v>
      </c>
      <c r="Z30" s="382" t="s">
        <v>924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959</v>
      </c>
      <c r="B31" s="373" t="s">
        <v>960</v>
      </c>
      <c r="C31" s="372" t="s">
        <v>961</v>
      </c>
      <c r="D31" s="374">
        <v>1601110067804</v>
      </c>
      <c r="E31" s="372" t="s">
        <v>962</v>
      </c>
      <c r="F31" s="375" t="s">
        <v>963</v>
      </c>
      <c r="G31" s="375" t="s">
        <v>964</v>
      </c>
      <c r="H31" s="375" t="s">
        <v>965</v>
      </c>
      <c r="I31" s="375" t="s">
        <v>751</v>
      </c>
      <c r="J31" s="375">
        <v>5793815</v>
      </c>
      <c r="K31" s="375">
        <v>1174279</v>
      </c>
      <c r="L31" s="375">
        <v>1239027</v>
      </c>
      <c r="M31" s="375">
        <v>9243669</v>
      </c>
      <c r="N31" s="372">
        <v>0.36599999999999999</v>
      </c>
      <c r="O31" s="704">
        <v>10.632039414792931</v>
      </c>
      <c r="P31" s="375" t="s">
        <v>619</v>
      </c>
      <c r="Q31" s="375" t="s">
        <v>619</v>
      </c>
      <c r="R31" s="696">
        <v>19991008</v>
      </c>
      <c r="S31" s="375" t="s">
        <v>966</v>
      </c>
      <c r="T31" s="697">
        <v>0.26400000000000001</v>
      </c>
      <c r="U31" s="375" t="s">
        <v>967</v>
      </c>
      <c r="V31" s="722">
        <v>10.07</v>
      </c>
      <c r="W31" s="722">
        <v>1.35</v>
      </c>
      <c r="X31" s="722">
        <v>2.48</v>
      </c>
      <c r="Y31" s="722">
        <v>14.97</v>
      </c>
      <c r="Z31" s="382">
        <v>2.4402163804859933E-2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58637.57</v>
      </c>
      <c r="AF31" s="372">
        <v>61768.639999999999</v>
      </c>
      <c r="AG31" s="372">
        <v>64561.38</v>
      </c>
      <c r="AH31" s="372">
        <v>63736</v>
      </c>
    </row>
    <row r="32" spans="1:34">
      <c r="A32" s="372" t="s">
        <v>968</v>
      </c>
      <c r="B32" s="373" t="s">
        <v>969</v>
      </c>
      <c r="C32" s="372" t="s">
        <v>970</v>
      </c>
      <c r="D32" s="374">
        <v>1101110398556</v>
      </c>
      <c r="E32" s="372" t="s">
        <v>971</v>
      </c>
      <c r="F32" s="375" t="s">
        <v>972</v>
      </c>
      <c r="G32" s="375" t="s">
        <v>973</v>
      </c>
      <c r="H32" s="375" t="s">
        <v>814</v>
      </c>
      <c r="I32" s="375" t="s">
        <v>751</v>
      </c>
      <c r="J32" s="375">
        <v>13563004.255070001</v>
      </c>
      <c r="K32" s="375">
        <v>914119.10751</v>
      </c>
      <c r="L32" s="375">
        <v>1040677.35243</v>
      </c>
      <c r="M32" s="375">
        <v>9393068.2888099998</v>
      </c>
      <c r="N32" s="372">
        <v>0.72299999999999998</v>
      </c>
      <c r="O32" s="704">
        <v>8.5684775059106855</v>
      </c>
      <c r="P32" s="375" t="s">
        <v>619</v>
      </c>
      <c r="Q32" s="375" t="s">
        <v>619</v>
      </c>
      <c r="R32" s="696">
        <v>20141114</v>
      </c>
      <c r="S32" s="375" t="s">
        <v>974</v>
      </c>
      <c r="T32" s="697">
        <v>0.26400000000000001</v>
      </c>
      <c r="U32" s="375" t="s">
        <v>975</v>
      </c>
      <c r="V32" s="722">
        <v>8.15</v>
      </c>
      <c r="W32" s="722">
        <v>1.33</v>
      </c>
      <c r="X32" s="722">
        <v>0.88</v>
      </c>
      <c r="Y32" s="722">
        <v>16.88</v>
      </c>
      <c r="Z32" s="382">
        <v>4.2423065712515085E-2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138626.82</v>
      </c>
      <c r="AF32" s="372">
        <v>147354.5</v>
      </c>
      <c r="AG32" s="372">
        <v>156772.87</v>
      </c>
      <c r="AH32" s="372">
        <v>0</v>
      </c>
    </row>
    <row r="33" spans="1:34">
      <c r="A33" s="372" t="s">
        <v>976</v>
      </c>
      <c r="B33" s="373" t="s">
        <v>977</v>
      </c>
      <c r="C33" s="372" t="s">
        <v>978</v>
      </c>
      <c r="D33" s="374">
        <v>1101113710385</v>
      </c>
      <c r="E33" s="372" t="s">
        <v>979</v>
      </c>
      <c r="F33" s="375" t="s">
        <v>980</v>
      </c>
      <c r="G33" s="375" t="s">
        <v>980</v>
      </c>
      <c r="H33" s="375" t="s">
        <v>823</v>
      </c>
      <c r="I33" s="375" t="s">
        <v>751</v>
      </c>
      <c r="J33" s="375">
        <v>74840598.303000003</v>
      </c>
      <c r="K33" s="375">
        <v>-223062.00599999999</v>
      </c>
      <c r="L33" s="375">
        <v>-1291565.696</v>
      </c>
      <c r="M33" s="375">
        <v>31997931.131000001</v>
      </c>
      <c r="N33" s="372">
        <v>1.141</v>
      </c>
      <c r="O33" s="704">
        <v>301.88379722289523</v>
      </c>
      <c r="P33" s="375" t="s">
        <v>619</v>
      </c>
      <c r="Q33" s="375" t="s">
        <v>619</v>
      </c>
      <c r="R33" s="696">
        <v>20070725</v>
      </c>
      <c r="S33" s="375" t="s">
        <v>981</v>
      </c>
      <c r="T33" s="697" t="s">
        <v>768</v>
      </c>
      <c r="U33" s="375" t="s">
        <v>982</v>
      </c>
      <c r="V33" s="722">
        <v>21.16</v>
      </c>
      <c r="W33" s="722">
        <v>0.54</v>
      </c>
      <c r="X33" s="722">
        <v>0.15</v>
      </c>
      <c r="Y33" s="722" t="s">
        <v>770</v>
      </c>
      <c r="Z33" s="382">
        <v>1.25242071715157E-2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739883.15</v>
      </c>
      <c r="AF33" s="372">
        <v>752779.25</v>
      </c>
      <c r="AG33" s="372">
        <v>812337.42</v>
      </c>
      <c r="AH33" s="372">
        <v>954600</v>
      </c>
    </row>
    <row r="34" spans="1:34">
      <c r="A34" s="372" t="s">
        <v>983</v>
      </c>
      <c r="B34" s="373" t="s">
        <v>984</v>
      </c>
      <c r="C34" s="372" t="s">
        <v>985</v>
      </c>
      <c r="D34" s="374">
        <v>1101110371346</v>
      </c>
      <c r="E34" s="372" t="s">
        <v>986</v>
      </c>
      <c r="F34" s="372" t="s">
        <v>987</v>
      </c>
      <c r="G34" s="375" t="s">
        <v>987</v>
      </c>
      <c r="H34" s="375" t="s">
        <v>988</v>
      </c>
      <c r="I34" s="375" t="s">
        <v>751</v>
      </c>
      <c r="J34" s="375">
        <v>17956379</v>
      </c>
      <c r="K34" s="375">
        <v>1866315</v>
      </c>
      <c r="L34" s="375">
        <v>1501031</v>
      </c>
      <c r="M34" s="375">
        <v>12561404</v>
      </c>
      <c r="N34" s="372">
        <v>0.434</v>
      </c>
      <c r="O34" s="704">
        <v>87.234085342490701</v>
      </c>
      <c r="P34" s="375" t="s">
        <v>619</v>
      </c>
      <c r="Q34" s="372" t="s">
        <v>619</v>
      </c>
      <c r="R34" s="696">
        <v>19891107</v>
      </c>
      <c r="S34" s="372" t="s">
        <v>989</v>
      </c>
      <c r="T34" s="697">
        <v>0.26400000000000001</v>
      </c>
      <c r="U34" s="375" t="s">
        <v>990</v>
      </c>
      <c r="V34" s="722">
        <v>3.76</v>
      </c>
      <c r="W34" s="722">
        <v>1.01</v>
      </c>
      <c r="X34" s="722">
        <v>0.67</v>
      </c>
      <c r="Y34" s="722">
        <v>10.64</v>
      </c>
      <c r="Z34" s="382">
        <v>1.511441498480659E-2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179860.13</v>
      </c>
      <c r="AF34" s="372">
        <v>183466.73</v>
      </c>
      <c r="AG34" s="372">
        <v>186974.6</v>
      </c>
      <c r="AH34" s="372">
        <v>0</v>
      </c>
    </row>
    <row r="35" spans="1:34">
      <c r="A35" s="372" t="s">
        <v>991</v>
      </c>
      <c r="B35" s="373" t="s">
        <v>992</v>
      </c>
      <c r="C35" s="372" t="s">
        <v>993</v>
      </c>
      <c r="D35" s="374">
        <v>1301110001626</v>
      </c>
      <c r="E35" s="372" t="s">
        <v>994</v>
      </c>
      <c r="F35" s="375" t="s">
        <v>995</v>
      </c>
      <c r="G35" s="375" t="s">
        <v>996</v>
      </c>
      <c r="H35" s="375" t="s">
        <v>750</v>
      </c>
      <c r="I35" s="375" t="s">
        <v>751</v>
      </c>
      <c r="J35" s="375">
        <v>10130224.99456</v>
      </c>
      <c r="K35" s="375">
        <v>719585.29391999997</v>
      </c>
      <c r="L35" s="375">
        <v>652226.71962999995</v>
      </c>
      <c r="M35" s="375">
        <v>8563954.3637899999</v>
      </c>
      <c r="N35" s="372">
        <v>1.044</v>
      </c>
      <c r="O35" s="704">
        <v>23.635200741961658</v>
      </c>
      <c r="P35" s="375" t="s">
        <v>619</v>
      </c>
      <c r="Q35" s="375" t="s">
        <v>619</v>
      </c>
      <c r="R35" s="696">
        <v>19790227</v>
      </c>
      <c r="S35" s="375" t="s">
        <v>997</v>
      </c>
      <c r="T35" s="697">
        <v>0.26400000000000001</v>
      </c>
      <c r="U35" s="375" t="s">
        <v>998</v>
      </c>
      <c r="V35" s="722">
        <v>6.74</v>
      </c>
      <c r="W35" s="722">
        <v>1.21</v>
      </c>
      <c r="X35" s="722">
        <v>1.01</v>
      </c>
      <c r="Y35" s="722">
        <v>20</v>
      </c>
      <c r="Z35" s="382">
        <v>7.7338240076470388E-2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102150.42</v>
      </c>
      <c r="AF35" s="372">
        <v>110877.83</v>
      </c>
      <c r="AG35" s="372">
        <v>120021.52</v>
      </c>
      <c r="AH35" s="372">
        <v>0</v>
      </c>
    </row>
    <row r="36" spans="1:34">
      <c r="A36" s="372" t="s">
        <v>999</v>
      </c>
      <c r="B36" s="373" t="s">
        <v>1000</v>
      </c>
      <c r="C36" s="372" t="s">
        <v>1001</v>
      </c>
      <c r="D36" s="374">
        <v>1101113645772</v>
      </c>
      <c r="E36" s="372" t="s">
        <v>1002</v>
      </c>
      <c r="F36" s="375" t="s">
        <v>1003</v>
      </c>
      <c r="G36" s="375" t="s">
        <v>1003</v>
      </c>
      <c r="H36" s="375" t="s">
        <v>814</v>
      </c>
      <c r="I36" s="375" t="s">
        <v>751</v>
      </c>
      <c r="J36" s="375">
        <v>2626760.7837</v>
      </c>
      <c r="K36" s="375">
        <v>1131357.4929200001</v>
      </c>
      <c r="L36" s="375">
        <v>1146373.5039599999</v>
      </c>
      <c r="M36" s="375">
        <v>6258767.5468499996</v>
      </c>
      <c r="N36" s="372">
        <v>1.022</v>
      </c>
      <c r="O36" s="704">
        <v>1.3368141470784238</v>
      </c>
      <c r="P36" s="375" t="s">
        <v>619</v>
      </c>
      <c r="Q36" s="375" t="s">
        <v>619</v>
      </c>
      <c r="R36" s="696">
        <v>20210810</v>
      </c>
      <c r="S36" s="375" t="s">
        <v>1004</v>
      </c>
      <c r="T36" s="697">
        <v>0.26400000000000001</v>
      </c>
      <c r="U36" s="375" t="s">
        <v>1005</v>
      </c>
      <c r="V36" s="722">
        <v>13.26</v>
      </c>
      <c r="W36" s="722">
        <v>2.59</v>
      </c>
      <c r="X36" s="722">
        <v>6.28</v>
      </c>
      <c r="Y36" s="722">
        <v>20.61</v>
      </c>
      <c r="Z36" s="382">
        <v>0.15552983686665822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27486.14</v>
      </c>
      <c r="AF36" s="372">
        <v>30627.55</v>
      </c>
      <c r="AG36" s="372">
        <v>34063.480000000003</v>
      </c>
      <c r="AH36" s="372">
        <v>32640</v>
      </c>
    </row>
    <row r="37" spans="1:34">
      <c r="A37" s="372" t="s">
        <v>1006</v>
      </c>
      <c r="B37" s="373" t="s">
        <v>1007</v>
      </c>
      <c r="C37" s="372" t="s">
        <v>1008</v>
      </c>
      <c r="D37" s="374">
        <v>2301110312741</v>
      </c>
      <c r="E37" s="372" t="s">
        <v>1009</v>
      </c>
      <c r="F37" s="375" t="s">
        <v>1010</v>
      </c>
      <c r="G37" s="375" t="s">
        <v>1010</v>
      </c>
      <c r="H37" s="375" t="s">
        <v>789</v>
      </c>
      <c r="I37" s="375" t="s">
        <v>751</v>
      </c>
      <c r="J37" s="375">
        <v>13894014.767000001</v>
      </c>
      <c r="K37" s="375">
        <v>561705.75199999998</v>
      </c>
      <c r="L37" s="375">
        <v>359490.73300000001</v>
      </c>
      <c r="M37" s="375">
        <v>5460369.6919999998</v>
      </c>
      <c r="N37" s="372">
        <v>0.58599999999999997</v>
      </c>
      <c r="O37" s="704">
        <v>9.2449860379212119</v>
      </c>
      <c r="P37" s="375" t="s">
        <v>619</v>
      </c>
      <c r="Q37" s="375" t="s">
        <v>619</v>
      </c>
      <c r="R37" s="696">
        <v>20210917</v>
      </c>
      <c r="S37" s="375" t="s">
        <v>1011</v>
      </c>
      <c r="T37" s="697">
        <v>0.26400000000000001</v>
      </c>
      <c r="U37" s="375" t="s">
        <v>1012</v>
      </c>
      <c r="V37" s="722">
        <v>19.95</v>
      </c>
      <c r="W37" s="722">
        <v>3</v>
      </c>
      <c r="X37" s="722">
        <v>1.18</v>
      </c>
      <c r="Y37" s="722">
        <v>57.31</v>
      </c>
      <c r="Z37" s="382">
        <v>0.10204576597343773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144527.04999999999</v>
      </c>
      <c r="AF37" s="372">
        <v>162660.20000000001</v>
      </c>
      <c r="AG37" s="372">
        <v>176470.55</v>
      </c>
      <c r="AH37" s="372">
        <v>175915</v>
      </c>
    </row>
    <row r="38" spans="1:34">
      <c r="A38" s="372" t="s">
        <v>1013</v>
      </c>
      <c r="B38" s="373" t="s">
        <v>1014</v>
      </c>
      <c r="C38" s="372" t="s">
        <v>1015</v>
      </c>
      <c r="D38" s="374">
        <v>1101116981206</v>
      </c>
      <c r="E38" s="372" t="s">
        <v>1016</v>
      </c>
      <c r="F38" s="375" t="s">
        <v>850</v>
      </c>
      <c r="G38" s="375" t="s">
        <v>851</v>
      </c>
      <c r="H38" s="375" t="s">
        <v>852</v>
      </c>
      <c r="I38" s="375" t="s">
        <v>751</v>
      </c>
      <c r="J38" s="375">
        <v>0</v>
      </c>
      <c r="K38" s="375">
        <v>0</v>
      </c>
      <c r="L38" s="375">
        <v>0</v>
      </c>
      <c r="M38" s="375">
        <v>0</v>
      </c>
      <c r="N38" s="372">
        <v>0.85199999999999998</v>
      </c>
      <c r="O38" s="704" t="s">
        <v>16298</v>
      </c>
      <c r="P38" s="375" t="s">
        <v>619</v>
      </c>
      <c r="Q38" s="375" t="s">
        <v>619</v>
      </c>
      <c r="R38" s="696">
        <v>20190213</v>
      </c>
      <c r="S38" s="375" t="s">
        <v>1017</v>
      </c>
      <c r="T38" s="697" t="s">
        <v>768</v>
      </c>
      <c r="U38" s="375" t="s">
        <v>1018</v>
      </c>
      <c r="V38" s="722">
        <v>0</v>
      </c>
      <c r="W38" s="722">
        <v>0</v>
      </c>
      <c r="X38" s="722">
        <v>0</v>
      </c>
      <c r="Y38" s="722">
        <v>0</v>
      </c>
      <c r="Z38" s="382">
        <v>2.0005022998507371E-2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214518.36</v>
      </c>
      <c r="AF38" s="372">
        <v>218946.7</v>
      </c>
      <c r="AG38" s="372">
        <v>223435.22</v>
      </c>
      <c r="AH38" s="372">
        <v>0</v>
      </c>
    </row>
    <row r="39" spans="1:34">
      <c r="A39" s="372" t="s">
        <v>1019</v>
      </c>
      <c r="B39" s="373" t="s">
        <v>1020</v>
      </c>
      <c r="C39" s="372" t="s">
        <v>1021</v>
      </c>
      <c r="D39" s="374">
        <v>1717110132339</v>
      </c>
      <c r="E39" s="372" t="s">
        <v>1022</v>
      </c>
      <c r="F39" s="375" t="s">
        <v>16097</v>
      </c>
      <c r="G39" s="375" t="s">
        <v>16097</v>
      </c>
      <c r="H39" s="375" t="s">
        <v>750</v>
      </c>
      <c r="I39" s="375" t="s">
        <v>751</v>
      </c>
      <c r="J39" s="375">
        <v>400152.45059000002</v>
      </c>
      <c r="K39" s="375">
        <v>-55038.589809999998</v>
      </c>
      <c r="L39" s="375">
        <v>-57103.476589999998</v>
      </c>
      <c r="M39" s="375">
        <v>729140.49912000005</v>
      </c>
      <c r="N39" s="372" t="s">
        <v>1023</v>
      </c>
      <c r="O39" s="704">
        <v>4.1032780298210243</v>
      </c>
      <c r="P39" s="375" t="s">
        <v>619</v>
      </c>
      <c r="Q39" s="375" t="s">
        <v>619</v>
      </c>
      <c r="R39" s="696">
        <v>20231117</v>
      </c>
      <c r="S39" s="375" t="s">
        <v>1024</v>
      </c>
      <c r="T39" s="697" t="s">
        <v>768</v>
      </c>
      <c r="U39" s="375" t="s">
        <v>1025</v>
      </c>
      <c r="V39" s="722">
        <v>0</v>
      </c>
      <c r="W39" s="722">
        <v>0</v>
      </c>
      <c r="X39" s="722">
        <v>0</v>
      </c>
      <c r="Y39" s="722">
        <v>0</v>
      </c>
      <c r="Z39" s="382" t="s">
        <v>924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1026</v>
      </c>
      <c r="B40" s="373" t="s">
        <v>1027</v>
      </c>
      <c r="C40" s="372" t="s">
        <v>1028</v>
      </c>
      <c r="D40" s="374">
        <v>1101110168404</v>
      </c>
      <c r="E40" s="372" t="s">
        <v>1029</v>
      </c>
      <c r="F40" s="375" t="s">
        <v>1030</v>
      </c>
      <c r="G40" s="375" t="s">
        <v>1031</v>
      </c>
      <c r="H40" s="375" t="s">
        <v>809</v>
      </c>
      <c r="I40" s="375" t="s">
        <v>751</v>
      </c>
      <c r="J40" s="375">
        <v>11054717.300410001</v>
      </c>
      <c r="K40" s="375">
        <v>801265.95979999995</v>
      </c>
      <c r="L40" s="375">
        <v>874471.57518000004</v>
      </c>
      <c r="M40" s="375">
        <v>9430810.9718800001</v>
      </c>
      <c r="N40" s="372">
        <v>0.72099999999999997</v>
      </c>
      <c r="O40" s="704">
        <v>13.595852810491577</v>
      </c>
      <c r="P40" s="375" t="s">
        <v>619</v>
      </c>
      <c r="Q40" s="375" t="s">
        <v>619</v>
      </c>
      <c r="R40" s="696">
        <v>19900728</v>
      </c>
      <c r="S40" s="375" t="s">
        <v>1032</v>
      </c>
      <c r="T40" s="697">
        <v>0.26400000000000001</v>
      </c>
      <c r="U40" s="375" t="s">
        <v>1033</v>
      </c>
      <c r="V40" s="722">
        <v>12.87</v>
      </c>
      <c r="W40" s="722">
        <v>1.51</v>
      </c>
      <c r="X40" s="722">
        <v>1.3</v>
      </c>
      <c r="Y40" s="722">
        <v>22.76</v>
      </c>
      <c r="Z40" s="382">
        <v>8.2024253642749345E-2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118631.93</v>
      </c>
      <c r="AF40" s="372">
        <v>127412.64</v>
      </c>
      <c r="AG40" s="372">
        <v>133021.57999999999</v>
      </c>
      <c r="AH40" s="372">
        <v>113780</v>
      </c>
    </row>
    <row r="41" spans="1:34">
      <c r="A41" s="372" t="s">
        <v>1034</v>
      </c>
      <c r="B41" s="373" t="s">
        <v>1035</v>
      </c>
      <c r="C41" s="372" t="s">
        <v>1036</v>
      </c>
      <c r="D41" s="374">
        <v>1942110000943</v>
      </c>
      <c r="E41" s="372" t="s">
        <v>1037</v>
      </c>
      <c r="F41" s="375" t="s">
        <v>1038</v>
      </c>
      <c r="G41" s="375" t="s">
        <v>1039</v>
      </c>
      <c r="H41" s="375" t="s">
        <v>1040</v>
      </c>
      <c r="I41" s="375" t="s">
        <v>751</v>
      </c>
      <c r="J41" s="375">
        <v>16498427.318770001</v>
      </c>
      <c r="K41" s="375">
        <v>1079354.9031199999</v>
      </c>
      <c r="L41" s="375">
        <v>562892.35449000006</v>
      </c>
      <c r="M41" s="375">
        <v>11369885.1515</v>
      </c>
      <c r="N41" s="372">
        <v>1.075</v>
      </c>
      <c r="O41" s="704">
        <v>50.258986027910446</v>
      </c>
      <c r="P41" s="375" t="s">
        <v>619</v>
      </c>
      <c r="Q41" s="375" t="s">
        <v>619</v>
      </c>
      <c r="R41" s="696">
        <v>20001025</v>
      </c>
      <c r="S41" s="375" t="s">
        <v>1041</v>
      </c>
      <c r="T41" s="697">
        <v>0.26400000000000001</v>
      </c>
      <c r="U41" s="375" t="s">
        <v>15815</v>
      </c>
      <c r="V41" s="722">
        <v>12.42</v>
      </c>
      <c r="W41" s="722">
        <v>1.54</v>
      </c>
      <c r="X41" s="722">
        <v>0.7</v>
      </c>
      <c r="Y41" s="722">
        <v>139.52000000000001</v>
      </c>
      <c r="Z41" s="382">
        <v>6.1660868153918802E-3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157782.5</v>
      </c>
      <c r="AF41" s="372">
        <v>165311.5</v>
      </c>
      <c r="AG41" s="372">
        <v>180277.6</v>
      </c>
      <c r="AH41" s="372">
        <v>193940</v>
      </c>
    </row>
    <row r="42" spans="1:34">
      <c r="A42" s="372" t="s">
        <v>1042</v>
      </c>
      <c r="B42" s="373" t="s">
        <v>1043</v>
      </c>
      <c r="C42" s="372" t="s">
        <v>1044</v>
      </c>
      <c r="D42" s="374">
        <v>1101350000903</v>
      </c>
      <c r="E42" s="372" t="s">
        <v>1045</v>
      </c>
      <c r="F42" s="375" t="s">
        <v>919</v>
      </c>
      <c r="G42" s="375" t="s">
        <v>920</v>
      </c>
      <c r="H42" s="375" t="s">
        <v>921</v>
      </c>
      <c r="I42" s="375" t="s">
        <v>751</v>
      </c>
      <c r="J42" s="375">
        <v>0</v>
      </c>
      <c r="K42" s="375">
        <v>0</v>
      </c>
      <c r="L42" s="375">
        <v>0</v>
      </c>
      <c r="M42" s="375">
        <v>0</v>
      </c>
      <c r="N42" s="372">
        <v>0.66900000000000004</v>
      </c>
      <c r="O42" s="704" t="s">
        <v>16298</v>
      </c>
      <c r="P42" s="375" t="s">
        <v>619</v>
      </c>
      <c r="Q42" s="375" t="s">
        <v>619</v>
      </c>
      <c r="R42" s="696">
        <v>19941130</v>
      </c>
      <c r="S42" s="375" t="s">
        <v>1046</v>
      </c>
      <c r="T42" s="697" t="s">
        <v>768</v>
      </c>
      <c r="U42" s="375" t="s">
        <v>1047</v>
      </c>
      <c r="V42" s="722">
        <v>0</v>
      </c>
      <c r="W42" s="722">
        <v>0</v>
      </c>
      <c r="X42" s="722">
        <v>0</v>
      </c>
      <c r="Y42" s="722">
        <v>0</v>
      </c>
      <c r="Z42" s="382">
        <v>3.0173753564088024E-2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192368.45</v>
      </c>
      <c r="AF42" s="372">
        <v>200123.9</v>
      </c>
      <c r="AG42" s="372">
        <v>206828.56</v>
      </c>
      <c r="AH42" s="372">
        <v>0</v>
      </c>
    </row>
    <row r="43" spans="1:34">
      <c r="A43" s="372" t="s">
        <v>1048</v>
      </c>
      <c r="B43" s="373" t="s">
        <v>1049</v>
      </c>
      <c r="C43" s="372" t="s">
        <v>1050</v>
      </c>
      <c r="D43" s="374">
        <v>1701110021600</v>
      </c>
      <c r="E43" s="372" t="s">
        <v>1051</v>
      </c>
      <c r="F43" s="375" t="s">
        <v>1052</v>
      </c>
      <c r="G43" s="375" t="s">
        <v>16101</v>
      </c>
      <c r="H43" s="375" t="s">
        <v>858</v>
      </c>
      <c r="I43" s="375" t="s">
        <v>859</v>
      </c>
      <c r="J43" s="375">
        <v>51922.246729999999</v>
      </c>
      <c r="K43" s="375">
        <v>-127053.69164</v>
      </c>
      <c r="L43" s="375">
        <v>-207502.28466</v>
      </c>
      <c r="M43" s="375">
        <v>588163.60436999996</v>
      </c>
      <c r="N43" s="372">
        <v>1.208</v>
      </c>
      <c r="O43" s="704">
        <v>1.7755074623754217</v>
      </c>
      <c r="P43" s="375" t="s">
        <v>619</v>
      </c>
      <c r="Q43" s="375" t="s">
        <v>619</v>
      </c>
      <c r="R43" s="696">
        <v>19960720</v>
      </c>
      <c r="S43" s="375" t="s">
        <v>1053</v>
      </c>
      <c r="T43" s="697" t="s">
        <v>768</v>
      </c>
      <c r="U43" s="375" t="s">
        <v>1054</v>
      </c>
      <c r="V43" s="722" t="s">
        <v>770</v>
      </c>
      <c r="W43" s="722">
        <v>21.15</v>
      </c>
      <c r="X43" s="722">
        <v>215.48</v>
      </c>
      <c r="Y43" s="722" t="s">
        <v>770</v>
      </c>
      <c r="Z43" s="382" t="s">
        <v>924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1055</v>
      </c>
      <c r="B44" s="373" t="s">
        <v>1056</v>
      </c>
      <c r="C44" s="372" t="s">
        <v>1057</v>
      </c>
      <c r="D44" s="374">
        <v>1101111468754</v>
      </c>
      <c r="E44" s="372" t="s">
        <v>1058</v>
      </c>
      <c r="F44" s="375" t="s">
        <v>1059</v>
      </c>
      <c r="G44" s="375" t="s">
        <v>1059</v>
      </c>
      <c r="H44" s="375" t="s">
        <v>988</v>
      </c>
      <c r="I44" s="375" t="s">
        <v>751</v>
      </c>
      <c r="J44" s="375">
        <v>26543222</v>
      </c>
      <c r="K44" s="375">
        <v>1730224</v>
      </c>
      <c r="L44" s="375">
        <v>1582780</v>
      </c>
      <c r="M44" s="375">
        <v>19186403</v>
      </c>
      <c r="N44" s="372">
        <v>0.48599999999999999</v>
      </c>
      <c r="O44" s="704">
        <v>99.706127089087133</v>
      </c>
      <c r="P44" s="375" t="s">
        <v>619</v>
      </c>
      <c r="Q44" s="375" t="s">
        <v>619</v>
      </c>
      <c r="R44" s="696">
        <v>19981223</v>
      </c>
      <c r="S44" s="375" t="s">
        <v>1060</v>
      </c>
      <c r="T44" s="697">
        <v>0.26400000000000001</v>
      </c>
      <c r="U44" s="375" t="s">
        <v>1061</v>
      </c>
      <c r="V44" s="722">
        <v>3.13</v>
      </c>
      <c r="W44" s="722">
        <v>0.57999999999999996</v>
      </c>
      <c r="X44" s="722">
        <v>0.39</v>
      </c>
      <c r="Y44" s="722">
        <v>8.7100000000000009</v>
      </c>
      <c r="Z44" s="382">
        <v>1.22940393598856E-2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265820.40000000002</v>
      </c>
      <c r="AF44" s="372">
        <v>273575.07</v>
      </c>
      <c r="AG44" s="372">
        <v>276974.73</v>
      </c>
      <c r="AH44" s="372">
        <v>0</v>
      </c>
    </row>
    <row r="45" spans="1:34">
      <c r="A45" s="372" t="s">
        <v>1062</v>
      </c>
      <c r="B45" s="373" t="s">
        <v>1063</v>
      </c>
      <c r="C45" s="372" t="s">
        <v>1064</v>
      </c>
      <c r="D45" s="374">
        <v>1101112137358</v>
      </c>
      <c r="E45" s="372" t="s">
        <v>1065</v>
      </c>
      <c r="F45" s="375" t="s">
        <v>1066</v>
      </c>
      <c r="G45" s="375" t="s">
        <v>1066</v>
      </c>
      <c r="H45" s="375" t="s">
        <v>843</v>
      </c>
      <c r="I45" s="375" t="s">
        <v>751</v>
      </c>
      <c r="J45" s="375">
        <v>32308048.565000001</v>
      </c>
      <c r="K45" s="375">
        <v>1186973.662</v>
      </c>
      <c r="L45" s="375">
        <v>931505.63500000001</v>
      </c>
      <c r="M45" s="375">
        <v>7291004.0130000003</v>
      </c>
      <c r="N45" s="372">
        <v>1.4059999999999999</v>
      </c>
      <c r="O45" s="704">
        <v>70.470234260743538</v>
      </c>
      <c r="P45" s="375" t="s">
        <v>619</v>
      </c>
      <c r="Q45" s="375" t="s">
        <v>619</v>
      </c>
      <c r="R45" s="696">
        <v>20010323</v>
      </c>
      <c r="S45" s="375" t="s">
        <v>16265</v>
      </c>
      <c r="T45" s="697">
        <v>0.26400000000000001</v>
      </c>
      <c r="U45" s="375" t="s">
        <v>1067</v>
      </c>
      <c r="V45" s="722">
        <v>9.18</v>
      </c>
      <c r="W45" s="722">
        <v>1.52</v>
      </c>
      <c r="X45" s="722">
        <v>0.31</v>
      </c>
      <c r="Y45" s="722">
        <v>14.89</v>
      </c>
      <c r="Z45" s="382">
        <v>1.9724998941726302E-2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324199.8</v>
      </c>
      <c r="AF45" s="372">
        <v>342694.1</v>
      </c>
      <c r="AG45" s="372">
        <v>358253.7</v>
      </c>
      <c r="AH45" s="372">
        <v>407890</v>
      </c>
    </row>
    <row r="46" spans="1:34">
      <c r="A46" s="372" t="s">
        <v>1068</v>
      </c>
      <c r="B46" s="373" t="s">
        <v>1069</v>
      </c>
      <c r="C46" s="372" t="s">
        <v>1070</v>
      </c>
      <c r="D46" s="374">
        <v>1101113166546</v>
      </c>
      <c r="E46" s="372" t="s">
        <v>1071</v>
      </c>
      <c r="F46" s="375" t="s">
        <v>1072</v>
      </c>
      <c r="G46" s="375" t="s">
        <v>1072</v>
      </c>
      <c r="H46" s="375" t="s">
        <v>814</v>
      </c>
      <c r="I46" s="375" t="s">
        <v>751</v>
      </c>
      <c r="J46" s="375">
        <v>2137833.7719999999</v>
      </c>
      <c r="K46" s="375">
        <v>208611.61499999999</v>
      </c>
      <c r="L46" s="375">
        <v>-31957.66</v>
      </c>
      <c r="M46" s="375">
        <v>3224754.3160000001</v>
      </c>
      <c r="N46" s="372">
        <v>0.65400000000000003</v>
      </c>
      <c r="O46" s="704">
        <v>14.487834329440687</v>
      </c>
      <c r="P46" s="375" t="s">
        <v>619</v>
      </c>
      <c r="Q46" s="375" t="s">
        <v>619</v>
      </c>
      <c r="R46" s="696">
        <v>20201015</v>
      </c>
      <c r="S46" s="375" t="s">
        <v>1073</v>
      </c>
      <c r="T46" s="697" t="s">
        <v>768</v>
      </c>
      <c r="U46" s="375" t="s">
        <v>15816</v>
      </c>
      <c r="V46" s="722">
        <v>20.82</v>
      </c>
      <c r="W46" s="722">
        <v>2.38</v>
      </c>
      <c r="X46" s="722">
        <v>3.29</v>
      </c>
      <c r="Y46" s="722" t="s">
        <v>770</v>
      </c>
      <c r="Z46" s="382">
        <v>0.10723133068816737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21934.41</v>
      </c>
      <c r="AF46" s="372">
        <v>26617.41</v>
      </c>
      <c r="AG46" s="372">
        <v>32736.25</v>
      </c>
      <c r="AH46" s="372">
        <v>32870</v>
      </c>
    </row>
    <row r="47" spans="1:34">
      <c r="A47" s="372" t="s">
        <v>1074</v>
      </c>
      <c r="B47" s="373" t="s">
        <v>1075</v>
      </c>
      <c r="C47" s="372" t="s">
        <v>1076</v>
      </c>
      <c r="D47" s="374">
        <v>1101110658637</v>
      </c>
      <c r="E47" s="372" t="s">
        <v>1077</v>
      </c>
      <c r="F47" s="375" t="s">
        <v>1078</v>
      </c>
      <c r="G47" s="375" t="s">
        <v>1079</v>
      </c>
      <c r="H47" s="375" t="s">
        <v>814</v>
      </c>
      <c r="I47" s="375" t="s">
        <v>751</v>
      </c>
      <c r="J47" s="375">
        <v>1467357.00859</v>
      </c>
      <c r="K47" s="375">
        <v>99952.626489999995</v>
      </c>
      <c r="L47" s="375">
        <v>100077.22585</v>
      </c>
      <c r="M47" s="375">
        <v>507424.43722999998</v>
      </c>
      <c r="N47" s="372">
        <v>1.778</v>
      </c>
      <c r="O47" s="704">
        <v>0.10537545026746856</v>
      </c>
      <c r="P47" s="375" t="s">
        <v>619</v>
      </c>
      <c r="Q47" s="372" t="s">
        <v>619</v>
      </c>
      <c r="R47" s="696">
        <v>20001124</v>
      </c>
      <c r="S47" s="375" t="s">
        <v>1080</v>
      </c>
      <c r="T47" s="697">
        <v>0.23100000000000001</v>
      </c>
      <c r="U47" s="375" t="s">
        <v>1081</v>
      </c>
      <c r="V47" s="722">
        <v>41.34</v>
      </c>
      <c r="W47" s="722">
        <v>9.16</v>
      </c>
      <c r="X47" s="722">
        <v>3.16</v>
      </c>
      <c r="Y47" s="722">
        <v>58.48</v>
      </c>
      <c r="Z47" s="382" t="s">
        <v>924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1082</v>
      </c>
      <c r="B48" s="373" t="s">
        <v>1083</v>
      </c>
      <c r="C48" s="372" t="s">
        <v>1084</v>
      </c>
      <c r="D48" s="374">
        <v>1101110108484</v>
      </c>
      <c r="E48" s="372" t="s">
        <v>1085</v>
      </c>
      <c r="F48" s="375" t="s">
        <v>1086</v>
      </c>
      <c r="G48" s="375" t="s">
        <v>1086</v>
      </c>
      <c r="H48" s="375" t="s">
        <v>906</v>
      </c>
      <c r="I48" s="375" t="s">
        <v>751</v>
      </c>
      <c r="J48" s="375">
        <v>17762356.828279998</v>
      </c>
      <c r="K48" s="375">
        <v>1930420.93095</v>
      </c>
      <c r="L48" s="375">
        <v>1614439.4528600001</v>
      </c>
      <c r="M48" s="375">
        <v>10610858.67076</v>
      </c>
      <c r="N48" s="372">
        <v>0.84</v>
      </c>
      <c r="O48" s="704">
        <v>127.34676325763678</v>
      </c>
      <c r="P48" s="375" t="s">
        <v>619</v>
      </c>
      <c r="Q48" s="375" t="s">
        <v>619</v>
      </c>
      <c r="R48" s="696">
        <v>19660318</v>
      </c>
      <c r="S48" s="375" t="s">
        <v>1087</v>
      </c>
      <c r="T48" s="697">
        <v>0.26400000000000001</v>
      </c>
      <c r="U48" s="375" t="s">
        <v>1088</v>
      </c>
      <c r="V48" s="722">
        <v>3.87</v>
      </c>
      <c r="W48" s="722">
        <v>0.81</v>
      </c>
      <c r="X48" s="722">
        <v>0.47</v>
      </c>
      <c r="Y48" s="722">
        <v>7.67</v>
      </c>
      <c r="Z48" s="382">
        <v>4.4459182236021411E-2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179907.27</v>
      </c>
      <c r="AF48" s="372">
        <v>186879.4</v>
      </c>
      <c r="AG48" s="372">
        <v>191738.73</v>
      </c>
      <c r="AH48" s="372">
        <v>202590</v>
      </c>
    </row>
    <row r="49" spans="1:34">
      <c r="A49" s="372" t="s">
        <v>1089</v>
      </c>
      <c r="B49" s="373" t="s">
        <v>1090</v>
      </c>
      <c r="C49" s="372" t="s">
        <v>1091</v>
      </c>
      <c r="D49" s="374">
        <v>1101113471036</v>
      </c>
      <c r="E49" s="372" t="s">
        <v>1092</v>
      </c>
      <c r="F49" s="375" t="s">
        <v>1093</v>
      </c>
      <c r="G49" s="375" t="s">
        <v>1094</v>
      </c>
      <c r="H49" s="375" t="s">
        <v>823</v>
      </c>
      <c r="I49" s="375" t="s">
        <v>751</v>
      </c>
      <c r="J49" s="375">
        <v>3719460.8388100001</v>
      </c>
      <c r="K49" s="375">
        <v>162677.14564</v>
      </c>
      <c r="L49" s="375">
        <v>794675.57330000005</v>
      </c>
      <c r="M49" s="375">
        <v>5372883.95395</v>
      </c>
      <c r="N49" s="372">
        <v>0.75600000000000001</v>
      </c>
      <c r="O49" s="704">
        <v>6.0836189656020396</v>
      </c>
      <c r="P49" s="375" t="s">
        <v>619</v>
      </c>
      <c r="Q49" s="375" t="s">
        <v>619</v>
      </c>
      <c r="R49" s="696">
        <v>20060629</v>
      </c>
      <c r="S49" s="375" t="s">
        <v>1095</v>
      </c>
      <c r="T49" s="697">
        <v>0.26400000000000001</v>
      </c>
      <c r="U49" s="375" t="s">
        <v>1096</v>
      </c>
      <c r="V49" s="722">
        <v>22.01</v>
      </c>
      <c r="W49" s="722">
        <v>1.91</v>
      </c>
      <c r="X49" s="722">
        <v>2.74</v>
      </c>
      <c r="Y49" s="722">
        <v>14.77</v>
      </c>
      <c r="Z49" s="382">
        <v>6.5523247740330692E-2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38784.79</v>
      </c>
      <c r="AF49" s="372">
        <v>43755.26</v>
      </c>
      <c r="AG49" s="372">
        <v>47357.26</v>
      </c>
      <c r="AH49" s="372">
        <v>53320</v>
      </c>
    </row>
    <row r="50" spans="1:34">
      <c r="A50" s="372" t="s">
        <v>1097</v>
      </c>
      <c r="B50" s="373" t="s">
        <v>1098</v>
      </c>
      <c r="C50" s="372" t="s">
        <v>1099</v>
      </c>
      <c r="D50" s="374">
        <v>1812110000386</v>
      </c>
      <c r="E50" s="372" t="s">
        <v>1100</v>
      </c>
      <c r="F50" s="372" t="s">
        <v>890</v>
      </c>
      <c r="G50" s="375" t="s">
        <v>891</v>
      </c>
      <c r="H50" s="375" t="s">
        <v>852</v>
      </c>
      <c r="I50" s="375" t="s">
        <v>751</v>
      </c>
      <c r="J50" s="375">
        <v>24365865.651000001</v>
      </c>
      <c r="K50" s="375">
        <v>1096126.182</v>
      </c>
      <c r="L50" s="375">
        <v>885117.59400000004</v>
      </c>
      <c r="M50" s="375">
        <v>13571418.663000001</v>
      </c>
      <c r="N50" s="372">
        <v>0.86</v>
      </c>
      <c r="O50" s="704">
        <v>13.610538376388762</v>
      </c>
      <c r="P50" s="375" t="s">
        <v>619</v>
      </c>
      <c r="Q50" s="372" t="s">
        <v>619</v>
      </c>
      <c r="R50" s="696">
        <v>19940627</v>
      </c>
      <c r="S50" s="372" t="s">
        <v>1101</v>
      </c>
      <c r="T50" s="697">
        <v>0.26400000000000001</v>
      </c>
      <c r="U50" s="375" t="s">
        <v>15817</v>
      </c>
      <c r="V50" s="722">
        <v>10.1</v>
      </c>
      <c r="W50" s="722">
        <v>1.24</v>
      </c>
      <c r="X50" s="722">
        <v>0.55000000000000004</v>
      </c>
      <c r="Y50" s="722">
        <v>21.89</v>
      </c>
      <c r="Z50" s="382">
        <v>0.10010393054502953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252669.73</v>
      </c>
      <c r="AF50" s="372">
        <v>286464.59999999998</v>
      </c>
      <c r="AG50" s="372">
        <v>311915.59999999998</v>
      </c>
      <c r="AH50" s="372">
        <v>337795</v>
      </c>
    </row>
    <row r="51" spans="1:34">
      <c r="A51" s="372" t="s">
        <v>1102</v>
      </c>
      <c r="B51" s="373" t="s">
        <v>1103</v>
      </c>
      <c r="C51" s="372" t="s">
        <v>1104</v>
      </c>
      <c r="D51" s="374">
        <v>1101110189955</v>
      </c>
      <c r="E51" s="372" t="s">
        <v>1105</v>
      </c>
      <c r="F51" s="375" t="s">
        <v>1106</v>
      </c>
      <c r="G51" s="375" t="s">
        <v>1106</v>
      </c>
      <c r="H51" s="375" t="s">
        <v>823</v>
      </c>
      <c r="I51" s="375" t="s">
        <v>751</v>
      </c>
      <c r="J51" s="375">
        <v>37549863</v>
      </c>
      <c r="K51" s="375">
        <v>143401</v>
      </c>
      <c r="L51" s="375">
        <v>-12510</v>
      </c>
      <c r="M51" s="375">
        <v>8787736</v>
      </c>
      <c r="N51" s="372">
        <v>0.73799999999999999</v>
      </c>
      <c r="O51" s="704">
        <v>110.83411363261968</v>
      </c>
      <c r="P51" s="375" t="s">
        <v>619</v>
      </c>
      <c r="Q51" s="375" t="s">
        <v>619</v>
      </c>
      <c r="R51" s="696">
        <v>19870527</v>
      </c>
      <c r="S51" s="375" t="s">
        <v>1107</v>
      </c>
      <c r="T51" s="697" t="s">
        <v>768</v>
      </c>
      <c r="U51" s="375" t="s">
        <v>1108</v>
      </c>
      <c r="V51" s="722">
        <v>14.05</v>
      </c>
      <c r="W51" s="722">
        <v>0.81</v>
      </c>
      <c r="X51" s="722">
        <v>0.19</v>
      </c>
      <c r="Y51" s="722">
        <v>71.94</v>
      </c>
      <c r="Z51" s="382">
        <v>-4.9941700140916367E-3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364447.95</v>
      </c>
      <c r="AF51" s="372">
        <v>345354.84</v>
      </c>
      <c r="AG51" s="372">
        <v>350183.22</v>
      </c>
      <c r="AH51" s="372">
        <v>0</v>
      </c>
    </row>
    <row r="52" spans="1:34">
      <c r="A52" s="372" t="s">
        <v>1109</v>
      </c>
      <c r="B52" s="373" t="s">
        <v>1110</v>
      </c>
      <c r="C52" s="372" t="s">
        <v>1111</v>
      </c>
      <c r="D52" s="374">
        <v>1101114570720</v>
      </c>
      <c r="E52" s="372" t="s">
        <v>1112</v>
      </c>
      <c r="F52" s="375" t="s">
        <v>1113</v>
      </c>
      <c r="G52" s="375" t="s">
        <v>1113</v>
      </c>
      <c r="H52" s="375" t="s">
        <v>814</v>
      </c>
      <c r="I52" s="375" t="s">
        <v>751</v>
      </c>
      <c r="J52" s="375">
        <v>511327.56546999997</v>
      </c>
      <c r="K52" s="375">
        <v>70467.454740000001</v>
      </c>
      <c r="L52" s="375">
        <v>44567.982250000001</v>
      </c>
      <c r="M52" s="375">
        <v>366258.94258999999</v>
      </c>
      <c r="N52" s="372">
        <v>1.06</v>
      </c>
      <c r="O52" s="704">
        <v>1.9096980156682313</v>
      </c>
      <c r="P52" s="375" t="s">
        <v>619</v>
      </c>
      <c r="Q52" s="375" t="s">
        <v>619</v>
      </c>
      <c r="R52" s="696">
        <v>20200702</v>
      </c>
      <c r="S52" s="375" t="s">
        <v>1114</v>
      </c>
      <c r="T52" s="697">
        <v>0.23100000000000001</v>
      </c>
      <c r="U52" s="375" t="s">
        <v>1115</v>
      </c>
      <c r="V52" s="722">
        <v>92.95</v>
      </c>
      <c r="W52" s="722">
        <v>24.1</v>
      </c>
      <c r="X52" s="722">
        <v>15.93</v>
      </c>
      <c r="Y52" s="722">
        <v>141.93</v>
      </c>
      <c r="Z52" s="382">
        <v>0.2521898528205313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5284.37</v>
      </c>
      <c r="AF52" s="372">
        <v>6782.21</v>
      </c>
      <c r="AG52" s="372">
        <v>8725.2199999999993</v>
      </c>
      <c r="AH52" s="372">
        <v>11746.67</v>
      </c>
    </row>
    <row r="53" spans="1:34">
      <c r="A53" s="372" t="s">
        <v>1116</v>
      </c>
      <c r="B53" s="373" t="s">
        <v>1117</v>
      </c>
      <c r="C53" s="372" t="s">
        <v>1118</v>
      </c>
      <c r="D53" s="374">
        <v>1101118077821</v>
      </c>
      <c r="E53" s="372" t="s">
        <v>1119</v>
      </c>
      <c r="F53" s="375" t="s">
        <v>890</v>
      </c>
      <c r="G53" s="375" t="s">
        <v>891</v>
      </c>
      <c r="H53" s="375" t="s">
        <v>852</v>
      </c>
      <c r="I53" s="375" t="s">
        <v>751</v>
      </c>
      <c r="J53" s="375">
        <v>2648516</v>
      </c>
      <c r="K53" s="375">
        <v>366962</v>
      </c>
      <c r="L53" s="375">
        <v>1602331</v>
      </c>
      <c r="M53" s="375">
        <v>17999721</v>
      </c>
      <c r="N53" s="372">
        <v>1.623</v>
      </c>
      <c r="O53" s="704">
        <v>0.69162260812574095</v>
      </c>
      <c r="P53" s="375" t="s">
        <v>619</v>
      </c>
      <c r="Q53" s="375" t="s">
        <v>619</v>
      </c>
      <c r="R53" s="696">
        <v>20211129</v>
      </c>
      <c r="S53" s="375" t="s">
        <v>851</v>
      </c>
      <c r="T53" s="697">
        <v>0.26400000000000001</v>
      </c>
      <c r="U53" s="375" t="s">
        <v>1120</v>
      </c>
      <c r="V53" s="722">
        <v>24.57</v>
      </c>
      <c r="W53" s="722">
        <v>0.62</v>
      </c>
      <c r="X53" s="722">
        <v>4.18</v>
      </c>
      <c r="Y53" s="722">
        <v>6.5</v>
      </c>
      <c r="Z53" s="382">
        <v>1.0103289323868303</v>
      </c>
      <c r="AA53" s="372">
        <v>0</v>
      </c>
      <c r="AB53" s="372">
        <v>11464.14</v>
      </c>
      <c r="AC53" s="372">
        <v>27351.79</v>
      </c>
      <c r="AD53" s="372">
        <v>2239.15</v>
      </c>
      <c r="AE53" s="372">
        <v>26760</v>
      </c>
      <c r="AF53" s="372">
        <v>33183.67</v>
      </c>
      <c r="AG53" s="372">
        <v>36572.25</v>
      </c>
      <c r="AH53" s="372">
        <v>0</v>
      </c>
    </row>
    <row r="54" spans="1:34">
      <c r="A54" s="372" t="s">
        <v>1121</v>
      </c>
      <c r="B54" s="373" t="s">
        <v>1122</v>
      </c>
      <c r="C54" s="372" t="s">
        <v>1123</v>
      </c>
      <c r="D54" s="374">
        <v>1942110000480</v>
      </c>
      <c r="E54" s="372" t="s">
        <v>1124</v>
      </c>
      <c r="F54" s="375" t="s">
        <v>1125</v>
      </c>
      <c r="G54" s="375" t="s">
        <v>1126</v>
      </c>
      <c r="H54" s="375" t="s">
        <v>789</v>
      </c>
      <c r="I54" s="375" t="s">
        <v>751</v>
      </c>
      <c r="J54" s="375">
        <v>11053597.983619999</v>
      </c>
      <c r="K54" s="375">
        <v>1178255.9121300001</v>
      </c>
      <c r="L54" s="375">
        <v>806387.35927000002</v>
      </c>
      <c r="M54" s="375">
        <v>4202487.98367</v>
      </c>
      <c r="N54" s="372">
        <v>0.45400000000000001</v>
      </c>
      <c r="O54" s="704">
        <v>35.050263410627927</v>
      </c>
      <c r="P54" s="375" t="s">
        <v>619</v>
      </c>
      <c r="Q54" s="375" t="s">
        <v>619</v>
      </c>
      <c r="R54" s="696">
        <v>19870527</v>
      </c>
      <c r="S54" s="375" t="s">
        <v>1127</v>
      </c>
      <c r="T54" s="697">
        <v>0.26400000000000001</v>
      </c>
      <c r="U54" s="375" t="s">
        <v>1128</v>
      </c>
      <c r="V54" s="722">
        <v>12.61</v>
      </c>
      <c r="W54" s="722">
        <v>4.45</v>
      </c>
      <c r="X54" s="722">
        <v>1.35</v>
      </c>
      <c r="Y54" s="722">
        <v>24.14</v>
      </c>
      <c r="Z54" s="382">
        <v>7.8219631609290685E-2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102867.22</v>
      </c>
      <c r="AF54" s="372">
        <v>114978.56</v>
      </c>
      <c r="AG54" s="372">
        <v>126490.72</v>
      </c>
      <c r="AH54" s="372">
        <v>119440</v>
      </c>
    </row>
    <row r="55" spans="1:34">
      <c r="A55" s="372" t="s">
        <v>1129</v>
      </c>
      <c r="B55" s="373" t="s">
        <v>1130</v>
      </c>
      <c r="C55" s="372" t="s">
        <v>1131</v>
      </c>
      <c r="D55" s="374">
        <v>1101112095837</v>
      </c>
      <c r="E55" s="372" t="s">
        <v>1132</v>
      </c>
      <c r="F55" s="375" t="s">
        <v>1133</v>
      </c>
      <c r="G55" s="375" t="s">
        <v>1134</v>
      </c>
      <c r="H55" s="375" t="s">
        <v>789</v>
      </c>
      <c r="I55" s="375" t="s">
        <v>751</v>
      </c>
      <c r="J55" s="375">
        <v>9753765.6899800003</v>
      </c>
      <c r="K55" s="375">
        <v>20030.69988</v>
      </c>
      <c r="L55" s="375">
        <v>-35242.20766</v>
      </c>
      <c r="M55" s="375">
        <v>4180771.5758500001</v>
      </c>
      <c r="N55" s="372">
        <v>0.77900000000000003</v>
      </c>
      <c r="O55" s="704">
        <v>60.478458866786212</v>
      </c>
      <c r="P55" s="375" t="s">
        <v>619</v>
      </c>
      <c r="Q55" s="375" t="s">
        <v>619</v>
      </c>
      <c r="R55" s="696">
        <v>20010202</v>
      </c>
      <c r="S55" s="375" t="s">
        <v>1135</v>
      </c>
      <c r="T55" s="697" t="s">
        <v>768</v>
      </c>
      <c r="U55" s="375" t="s">
        <v>15818</v>
      </c>
      <c r="V55" s="722">
        <v>69.25</v>
      </c>
      <c r="W55" s="722">
        <v>2.2400000000000002</v>
      </c>
      <c r="X55" s="722">
        <v>0.93</v>
      </c>
      <c r="Y55" s="722">
        <v>38.799999999999997</v>
      </c>
      <c r="Z55" s="382">
        <v>0.13412240003052456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103490</v>
      </c>
      <c r="AF55" s="372">
        <v>112910.56</v>
      </c>
      <c r="AG55" s="372">
        <v>122562.89</v>
      </c>
      <c r="AH55" s="372">
        <v>121780</v>
      </c>
    </row>
    <row r="56" spans="1:34">
      <c r="A56" s="372" t="s">
        <v>1136</v>
      </c>
      <c r="B56" s="373" t="s">
        <v>1137</v>
      </c>
      <c r="C56" s="372" t="s">
        <v>1138</v>
      </c>
      <c r="D56" s="374">
        <v>1311110478337</v>
      </c>
      <c r="E56" s="372" t="s">
        <v>1139</v>
      </c>
      <c r="F56" s="375" t="s">
        <v>1140</v>
      </c>
      <c r="G56" s="375" t="s">
        <v>1141</v>
      </c>
      <c r="H56" s="375" t="s">
        <v>852</v>
      </c>
      <c r="I56" s="375" t="s">
        <v>751</v>
      </c>
      <c r="J56" s="375">
        <v>714192.77477999998</v>
      </c>
      <c r="K56" s="375">
        <v>-45932.60097</v>
      </c>
      <c r="L56" s="375">
        <v>-18138.170620000001</v>
      </c>
      <c r="M56" s="375">
        <v>1908113.5433100001</v>
      </c>
      <c r="N56" s="372">
        <v>1.55</v>
      </c>
      <c r="O56" s="704">
        <v>2.7882323443530637</v>
      </c>
      <c r="P56" s="375" t="s">
        <v>619</v>
      </c>
      <c r="Q56" s="372" t="s">
        <v>619</v>
      </c>
      <c r="R56" s="696">
        <v>20211103</v>
      </c>
      <c r="S56" s="375" t="s">
        <v>1142</v>
      </c>
      <c r="T56" s="697" t="s">
        <v>768</v>
      </c>
      <c r="U56" s="375" t="s">
        <v>1143</v>
      </c>
      <c r="V56" s="722">
        <v>756.82</v>
      </c>
      <c r="W56" s="722">
        <v>1.77</v>
      </c>
      <c r="X56" s="722">
        <v>4.59</v>
      </c>
      <c r="Y56" s="722" t="s">
        <v>770</v>
      </c>
      <c r="Z56" s="382">
        <v>0.12011035060109099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7435</v>
      </c>
      <c r="AF56" s="372">
        <v>8530</v>
      </c>
      <c r="AG56" s="372">
        <v>9686.67</v>
      </c>
      <c r="AH56" s="372">
        <v>0</v>
      </c>
    </row>
    <row r="57" spans="1:34">
      <c r="A57" s="372" t="s">
        <v>1144</v>
      </c>
      <c r="B57" s="373" t="s">
        <v>1145</v>
      </c>
      <c r="C57" s="372" t="s">
        <v>1146</v>
      </c>
      <c r="D57" s="374">
        <v>1101112177388</v>
      </c>
      <c r="E57" s="372" t="s">
        <v>1147</v>
      </c>
      <c r="F57" s="375" t="s">
        <v>1148</v>
      </c>
      <c r="G57" s="375" t="s">
        <v>1149</v>
      </c>
      <c r="H57" s="375" t="s">
        <v>906</v>
      </c>
      <c r="I57" s="375" t="s">
        <v>751</v>
      </c>
      <c r="J57" s="375">
        <v>27636874.333420001</v>
      </c>
      <c r="K57" s="375">
        <v>1643787.13616</v>
      </c>
      <c r="L57" s="375">
        <v>1691708.7273500001</v>
      </c>
      <c r="M57" s="375">
        <v>8560567.1771300007</v>
      </c>
      <c r="N57" s="372">
        <v>0.995</v>
      </c>
      <c r="O57" s="704">
        <v>41.805233055309856</v>
      </c>
      <c r="P57" s="375" t="s">
        <v>619</v>
      </c>
      <c r="Q57" s="375" t="s">
        <v>619</v>
      </c>
      <c r="R57" s="696">
        <v>20051226</v>
      </c>
      <c r="S57" s="375" t="s">
        <v>1150</v>
      </c>
      <c r="T57" s="697">
        <v>0.26400000000000001</v>
      </c>
      <c r="U57" s="375" t="s">
        <v>1151</v>
      </c>
      <c r="V57" s="722">
        <v>4.0199999999999996</v>
      </c>
      <c r="W57" s="722">
        <v>1.07</v>
      </c>
      <c r="X57" s="722">
        <v>0.33</v>
      </c>
      <c r="Y57" s="722">
        <v>7.36</v>
      </c>
      <c r="Z57" s="382">
        <v>5.019074161003112E-2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282131.14</v>
      </c>
      <c r="AF57" s="372">
        <v>298863.78999999998</v>
      </c>
      <c r="AG57" s="372">
        <v>312407.77</v>
      </c>
      <c r="AH57" s="372">
        <v>0</v>
      </c>
    </row>
    <row r="58" spans="1:34">
      <c r="A58" s="372" t="s">
        <v>1152</v>
      </c>
      <c r="B58" s="373" t="s">
        <v>1153</v>
      </c>
      <c r="C58" s="372" t="s">
        <v>1154</v>
      </c>
      <c r="D58" s="374">
        <v>1101110168595</v>
      </c>
      <c r="E58" s="372" t="s">
        <v>1155</v>
      </c>
      <c r="F58" s="375" t="s">
        <v>1133</v>
      </c>
      <c r="G58" s="375" t="s">
        <v>1134</v>
      </c>
      <c r="H58" s="375" t="s">
        <v>789</v>
      </c>
      <c r="I58" s="375" t="s">
        <v>751</v>
      </c>
      <c r="J58" s="375">
        <v>9635867.9308700003</v>
      </c>
      <c r="K58" s="375">
        <v>407464.28720000002</v>
      </c>
      <c r="L58" s="375">
        <v>-194875.65302</v>
      </c>
      <c r="M58" s="375">
        <v>3731177.1872200002</v>
      </c>
      <c r="N58" s="372">
        <v>0.77600000000000002</v>
      </c>
      <c r="O58" s="704">
        <v>48.952661414335182</v>
      </c>
      <c r="P58" s="375" t="s">
        <v>619</v>
      </c>
      <c r="Q58" s="375" t="s">
        <v>619</v>
      </c>
      <c r="R58" s="696">
        <v>19940128</v>
      </c>
      <c r="S58" s="375" t="s">
        <v>1156</v>
      </c>
      <c r="T58" s="697" t="s">
        <v>768</v>
      </c>
      <c r="U58" s="375" t="s">
        <v>1157</v>
      </c>
      <c r="V58" s="722">
        <v>15.43</v>
      </c>
      <c r="W58" s="722">
        <v>1.86</v>
      </c>
      <c r="X58" s="722">
        <v>0.92</v>
      </c>
      <c r="Y58" s="722" t="s">
        <v>770</v>
      </c>
      <c r="Z58" s="382">
        <v>0.12243749414067362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99422.3</v>
      </c>
      <c r="AF58" s="372">
        <v>112793.75</v>
      </c>
      <c r="AG58" s="372">
        <v>127130.65</v>
      </c>
      <c r="AH58" s="372">
        <v>135090</v>
      </c>
    </row>
    <row r="59" spans="1:34">
      <c r="A59" s="372" t="s">
        <v>1158</v>
      </c>
      <c r="B59" s="373" t="s">
        <v>1159</v>
      </c>
      <c r="C59" s="372" t="s">
        <v>1160</v>
      </c>
      <c r="D59" s="374">
        <v>1101114952093</v>
      </c>
      <c r="E59" s="372" t="s">
        <v>1161</v>
      </c>
      <c r="F59" s="375" t="s">
        <v>16102</v>
      </c>
      <c r="G59" s="375" t="s">
        <v>16102</v>
      </c>
      <c r="H59" s="375" t="s">
        <v>823</v>
      </c>
      <c r="I59" s="375" t="s">
        <v>751</v>
      </c>
      <c r="J59" s="375">
        <v>9112449.0844199993</v>
      </c>
      <c r="K59" s="375">
        <v>1781418.73251</v>
      </c>
      <c r="L59" s="375">
        <v>1774389.41713</v>
      </c>
      <c r="M59" s="375">
        <v>10720538.982860001</v>
      </c>
      <c r="N59" s="372">
        <v>0.66600000000000004</v>
      </c>
      <c r="O59" s="704">
        <v>28.028680170291043</v>
      </c>
      <c r="P59" s="375" t="s">
        <v>619</v>
      </c>
      <c r="Q59" s="375" t="s">
        <v>619</v>
      </c>
      <c r="R59" s="696">
        <v>20121004</v>
      </c>
      <c r="S59" s="375" t="s">
        <v>1162</v>
      </c>
      <c r="T59" s="697">
        <v>0.26400000000000001</v>
      </c>
      <c r="U59" s="375" t="s">
        <v>1163</v>
      </c>
      <c r="V59" s="722">
        <v>2.2799999999999998</v>
      </c>
      <c r="W59" s="722">
        <v>0.48</v>
      </c>
      <c r="X59" s="722">
        <v>0.56000000000000005</v>
      </c>
      <c r="Y59" s="722">
        <v>4.12</v>
      </c>
      <c r="Z59" s="382">
        <v>2.6785363594250322E-2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91842.19</v>
      </c>
      <c r="AF59" s="372">
        <v>95460.19</v>
      </c>
      <c r="AG59" s="372">
        <v>99366</v>
      </c>
      <c r="AH59" s="372">
        <v>112060</v>
      </c>
    </row>
    <row r="60" spans="1:34">
      <c r="A60" s="372" t="s">
        <v>1164</v>
      </c>
      <c r="B60" s="373" t="s">
        <v>1165</v>
      </c>
      <c r="C60" s="372" t="s">
        <v>1166</v>
      </c>
      <c r="D60" s="374">
        <v>1101110095285</v>
      </c>
      <c r="E60" s="372" t="s">
        <v>1167</v>
      </c>
      <c r="F60" s="375" t="s">
        <v>955</v>
      </c>
      <c r="G60" s="375" t="s">
        <v>956</v>
      </c>
      <c r="H60" s="375" t="s">
        <v>930</v>
      </c>
      <c r="I60" s="375" t="s">
        <v>751</v>
      </c>
      <c r="J60" s="375">
        <v>15626425.935000001</v>
      </c>
      <c r="K60" s="375">
        <v>2566287.8603099999</v>
      </c>
      <c r="L60" s="375">
        <v>2589066.7667700001</v>
      </c>
      <c r="M60" s="375">
        <v>9883320.2983899992</v>
      </c>
      <c r="N60" s="372">
        <v>0.80700000000000005</v>
      </c>
      <c r="O60" s="704">
        <v>33.509498468175018</v>
      </c>
      <c r="P60" s="375" t="s">
        <v>619</v>
      </c>
      <c r="Q60" s="375" t="s">
        <v>619</v>
      </c>
      <c r="R60" s="696">
        <v>19730628</v>
      </c>
      <c r="S60" s="375" t="s">
        <v>1168</v>
      </c>
      <c r="T60" s="697">
        <v>0.26400000000000001</v>
      </c>
      <c r="U60" s="375" t="s">
        <v>1169</v>
      </c>
      <c r="V60" s="722">
        <v>0</v>
      </c>
      <c r="W60" s="722">
        <v>0.8</v>
      </c>
      <c r="X60" s="722">
        <v>0.4</v>
      </c>
      <c r="Y60" s="722">
        <v>3.98</v>
      </c>
      <c r="Z60" s="382" t="s">
        <v>924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1170</v>
      </c>
      <c r="B61" s="373" t="s">
        <v>1171</v>
      </c>
      <c r="C61" s="372" t="s">
        <v>1172</v>
      </c>
      <c r="D61" s="374">
        <v>1101110393134</v>
      </c>
      <c r="E61" s="372" t="s">
        <v>1173</v>
      </c>
      <c r="F61" s="375" t="s">
        <v>1174</v>
      </c>
      <c r="G61" s="375" t="s">
        <v>1175</v>
      </c>
      <c r="H61" s="375" t="s">
        <v>750</v>
      </c>
      <c r="I61" s="375" t="s">
        <v>751</v>
      </c>
      <c r="J61" s="375">
        <v>26178380</v>
      </c>
      <c r="K61" s="375">
        <v>-511960</v>
      </c>
      <c r="L61" s="375">
        <v>-1610200</v>
      </c>
      <c r="M61" s="375">
        <v>8343428</v>
      </c>
      <c r="N61" s="372">
        <v>1.1459999999999999</v>
      </c>
      <c r="O61" s="704">
        <v>279.71152255639095</v>
      </c>
      <c r="P61" s="375" t="s">
        <v>619</v>
      </c>
      <c r="Q61" s="375" t="s">
        <v>619</v>
      </c>
      <c r="R61" s="696">
        <v>20040723</v>
      </c>
      <c r="S61" s="375" t="s">
        <v>1176</v>
      </c>
      <c r="T61" s="697" t="s">
        <v>768</v>
      </c>
      <c r="U61" s="375" t="s">
        <v>1177</v>
      </c>
      <c r="V61" s="722">
        <v>4.37</v>
      </c>
      <c r="W61" s="722">
        <v>0.78</v>
      </c>
      <c r="X61" s="722">
        <v>0.19</v>
      </c>
      <c r="Y61" s="722" t="s">
        <v>770</v>
      </c>
      <c r="Z61" s="382">
        <v>6.0727026387341398E-2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263755.09999999998</v>
      </c>
      <c r="AF61" s="372">
        <v>262265</v>
      </c>
      <c r="AG61" s="372">
        <v>270036.25</v>
      </c>
      <c r="AH61" s="372">
        <v>0</v>
      </c>
    </row>
    <row r="62" spans="1:34">
      <c r="A62" s="372" t="s">
        <v>1178</v>
      </c>
      <c r="B62" s="373" t="s">
        <v>1179</v>
      </c>
      <c r="C62" s="372" t="s">
        <v>1180</v>
      </c>
      <c r="D62" s="374">
        <v>1201110038423</v>
      </c>
      <c r="E62" s="372" t="s">
        <v>1181</v>
      </c>
      <c r="F62" s="375" t="s">
        <v>1182</v>
      </c>
      <c r="G62" s="375" t="s">
        <v>1183</v>
      </c>
      <c r="H62" s="375" t="s">
        <v>1040</v>
      </c>
      <c r="I62" s="375" t="s">
        <v>751</v>
      </c>
      <c r="J62" s="375">
        <v>461536.08562000003</v>
      </c>
      <c r="K62" s="375">
        <v>201866.36093</v>
      </c>
      <c r="L62" s="375">
        <v>236435.25081999999</v>
      </c>
      <c r="M62" s="375">
        <v>551009.64191999997</v>
      </c>
      <c r="N62" s="372">
        <v>1.4119999999999999</v>
      </c>
      <c r="O62" s="704">
        <v>3.5232470478193258E-2</v>
      </c>
      <c r="P62" s="375" t="s">
        <v>619</v>
      </c>
      <c r="Q62" s="375" t="s">
        <v>619</v>
      </c>
      <c r="R62" s="696">
        <v>20050722</v>
      </c>
      <c r="S62" s="375" t="s">
        <v>1184</v>
      </c>
      <c r="T62" s="697">
        <v>0.23100000000000001</v>
      </c>
      <c r="U62" s="375" t="s">
        <v>1185</v>
      </c>
      <c r="V62" s="722">
        <v>49.84</v>
      </c>
      <c r="W62" s="722">
        <v>15.34</v>
      </c>
      <c r="X62" s="722">
        <v>22.81</v>
      </c>
      <c r="Y62" s="722">
        <v>57.98</v>
      </c>
      <c r="Z62" s="382">
        <v>0.66521545711912933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5953.6</v>
      </c>
      <c r="AF62" s="372">
        <v>9122.7999999999993</v>
      </c>
      <c r="AG62" s="372">
        <v>12226.5</v>
      </c>
      <c r="AH62" s="372">
        <v>12170</v>
      </c>
    </row>
    <row r="63" spans="1:34">
      <c r="A63" s="372" t="s">
        <v>1186</v>
      </c>
      <c r="B63" s="373" t="s">
        <v>1187</v>
      </c>
      <c r="C63" s="372" t="s">
        <v>1188</v>
      </c>
      <c r="D63" s="374">
        <v>1101110360935</v>
      </c>
      <c r="E63" s="372" t="s">
        <v>1189</v>
      </c>
      <c r="F63" s="375" t="s">
        <v>821</v>
      </c>
      <c r="G63" s="375" t="s">
        <v>822</v>
      </c>
      <c r="H63" s="375" t="s">
        <v>823</v>
      </c>
      <c r="I63" s="375" t="s">
        <v>751</v>
      </c>
      <c r="J63" s="375">
        <v>11765392.50746</v>
      </c>
      <c r="K63" s="375">
        <v>-343790.06160999998</v>
      </c>
      <c r="L63" s="375">
        <v>-1569367.35546</v>
      </c>
      <c r="M63" s="375">
        <v>10035297.24584</v>
      </c>
      <c r="N63" s="372">
        <v>1.415</v>
      </c>
      <c r="O63" s="704">
        <v>350.80056700018957</v>
      </c>
      <c r="P63" s="375" t="s">
        <v>619</v>
      </c>
      <c r="Q63" s="375" t="s">
        <v>619</v>
      </c>
      <c r="R63" s="696">
        <v>19740619</v>
      </c>
      <c r="S63" s="375" t="s">
        <v>1190</v>
      </c>
      <c r="T63" s="697" t="s">
        <v>768</v>
      </c>
      <c r="U63" s="375" t="s">
        <v>1191</v>
      </c>
      <c r="V63" s="722">
        <v>44.52</v>
      </c>
      <c r="W63" s="722">
        <v>0.5</v>
      </c>
      <c r="X63" s="722">
        <v>0.38</v>
      </c>
      <c r="Y63" s="722" t="s">
        <v>770</v>
      </c>
      <c r="Z63" s="382">
        <v>8.1297203403818408E-4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116095.7</v>
      </c>
      <c r="AF63" s="372">
        <v>127155.5</v>
      </c>
      <c r="AG63" s="372">
        <v>133320.10999999999</v>
      </c>
      <c r="AH63" s="372">
        <v>145560</v>
      </c>
    </row>
    <row r="64" spans="1:34">
      <c r="A64" s="372" t="s">
        <v>1192</v>
      </c>
      <c r="B64" s="373" t="s">
        <v>1193</v>
      </c>
      <c r="C64" s="372" t="s">
        <v>1194</v>
      </c>
      <c r="D64" s="374">
        <v>1101110193196</v>
      </c>
      <c r="E64" s="372" t="s">
        <v>1195</v>
      </c>
      <c r="F64" s="375" t="s">
        <v>821</v>
      </c>
      <c r="G64" s="375" t="s">
        <v>822</v>
      </c>
      <c r="H64" s="375" t="s">
        <v>823</v>
      </c>
      <c r="I64" s="375" t="s">
        <v>751</v>
      </c>
      <c r="J64" s="375">
        <v>20439587.723310001</v>
      </c>
      <c r="K64" s="375">
        <v>-975856.05570999999</v>
      </c>
      <c r="L64" s="375">
        <v>-1452163.34262</v>
      </c>
      <c r="M64" s="375">
        <v>19659236.861620001</v>
      </c>
      <c r="N64" s="372">
        <v>1.1120000000000001</v>
      </c>
      <c r="O64" s="704">
        <v>272.37745396550201</v>
      </c>
      <c r="P64" s="375" t="s">
        <v>619</v>
      </c>
      <c r="Q64" s="375" t="s">
        <v>619</v>
      </c>
      <c r="R64" s="696">
        <v>19910530</v>
      </c>
      <c r="S64" s="375" t="s">
        <v>1196</v>
      </c>
      <c r="T64" s="697" t="s">
        <v>768</v>
      </c>
      <c r="U64" s="375" t="s">
        <v>1197</v>
      </c>
      <c r="V64" s="722">
        <v>48.51</v>
      </c>
      <c r="W64" s="722">
        <v>0.28999999999999998</v>
      </c>
      <c r="X64" s="722">
        <v>0.21</v>
      </c>
      <c r="Y64" s="722" t="s">
        <v>770</v>
      </c>
      <c r="Z64" s="382">
        <v>2.198912605718073E-2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208255.9</v>
      </c>
      <c r="AF64" s="372">
        <v>212875.75</v>
      </c>
      <c r="AG64" s="372">
        <v>217595.32</v>
      </c>
      <c r="AH64" s="372">
        <v>217030</v>
      </c>
    </row>
    <row r="65" spans="1:34">
      <c r="A65" s="372" t="s">
        <v>1198</v>
      </c>
      <c r="B65" s="373" t="s">
        <v>1199</v>
      </c>
      <c r="C65" s="372" t="s">
        <v>1200</v>
      </c>
      <c r="D65" s="374">
        <v>1701110638661</v>
      </c>
      <c r="E65" s="372" t="s">
        <v>1201</v>
      </c>
      <c r="F65" s="375" t="s">
        <v>890</v>
      </c>
      <c r="G65" s="375" t="s">
        <v>891</v>
      </c>
      <c r="H65" s="375" t="s">
        <v>852</v>
      </c>
      <c r="I65" s="375" t="s">
        <v>751</v>
      </c>
      <c r="J65" s="375">
        <v>67381228.577999994</v>
      </c>
      <c r="K65" s="375">
        <v>2462887.469</v>
      </c>
      <c r="L65" s="375">
        <v>1421545.2509999999</v>
      </c>
      <c r="M65" s="375">
        <v>25494813.276999999</v>
      </c>
      <c r="N65" s="372">
        <v>0.72499999999999998</v>
      </c>
      <c r="O65" s="704">
        <v>305.02758475465293</v>
      </c>
      <c r="P65" s="375" t="s">
        <v>619</v>
      </c>
      <c r="Q65" s="375" t="s">
        <v>619</v>
      </c>
      <c r="R65" s="696">
        <v>20170510</v>
      </c>
      <c r="S65" s="375" t="s">
        <v>851</v>
      </c>
      <c r="T65" s="697">
        <v>0.26400000000000001</v>
      </c>
      <c r="U65" s="375" t="s">
        <v>15819</v>
      </c>
      <c r="V65" s="722">
        <v>7.64</v>
      </c>
      <c r="W65" s="722">
        <v>0.67</v>
      </c>
      <c r="X65" s="722">
        <v>0.09</v>
      </c>
      <c r="Y65" s="722">
        <v>23.93</v>
      </c>
      <c r="Z65" s="382">
        <v>5.2665402721159937E-2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674637</v>
      </c>
      <c r="AF65" s="372">
        <v>711395.14</v>
      </c>
      <c r="AG65" s="372">
        <v>753084.29</v>
      </c>
      <c r="AH65" s="372">
        <v>0</v>
      </c>
    </row>
    <row r="66" spans="1:34">
      <c r="A66" s="372" t="s">
        <v>1202</v>
      </c>
      <c r="B66" s="373" t="s">
        <v>1203</v>
      </c>
      <c r="C66" s="372" t="s">
        <v>1204</v>
      </c>
      <c r="D66" s="374">
        <v>1101117064217</v>
      </c>
      <c r="E66" s="372" t="s">
        <v>1205</v>
      </c>
      <c r="F66" s="372" t="s">
        <v>16097</v>
      </c>
      <c r="G66" s="375" t="s">
        <v>16097</v>
      </c>
      <c r="H66" s="375" t="s">
        <v>750</v>
      </c>
      <c r="I66" s="375" t="s">
        <v>751</v>
      </c>
      <c r="J66" s="375">
        <v>332349.85399999999</v>
      </c>
      <c r="K66" s="375">
        <v>-186936.59400000001</v>
      </c>
      <c r="L66" s="375">
        <v>-110394.057</v>
      </c>
      <c r="M66" s="375">
        <v>2343327.5320000001</v>
      </c>
      <c r="N66" s="372">
        <v>1.3240000000000001</v>
      </c>
      <c r="O66" s="704">
        <v>63.879110880543081</v>
      </c>
      <c r="P66" s="375" t="s">
        <v>619</v>
      </c>
      <c r="Q66" s="375" t="s">
        <v>619</v>
      </c>
      <c r="R66" s="696">
        <v>20210511</v>
      </c>
      <c r="S66" s="375" t="s">
        <v>1206</v>
      </c>
      <c r="T66" s="697" t="s">
        <v>768</v>
      </c>
      <c r="U66" s="375" t="s">
        <v>1207</v>
      </c>
      <c r="V66" s="722" t="s">
        <v>770</v>
      </c>
      <c r="W66" s="722">
        <v>1.1000000000000001</v>
      </c>
      <c r="X66" s="722">
        <v>7.77</v>
      </c>
      <c r="Y66" s="722" t="s">
        <v>770</v>
      </c>
      <c r="Z66" s="382">
        <v>9.8013899353649236E-2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2709.38</v>
      </c>
      <c r="AF66" s="372">
        <v>5820.23</v>
      </c>
      <c r="AG66" s="372">
        <v>9441.83</v>
      </c>
      <c r="AH66" s="372">
        <v>19350</v>
      </c>
    </row>
    <row r="67" spans="1:34">
      <c r="A67" s="372" t="s">
        <v>1208</v>
      </c>
      <c r="B67" s="373" t="s">
        <v>1209</v>
      </c>
      <c r="C67" s="372" t="s">
        <v>1210</v>
      </c>
      <c r="D67" s="374">
        <v>1101114731299</v>
      </c>
      <c r="E67" s="372" t="s">
        <v>1211</v>
      </c>
      <c r="F67" s="375" t="s">
        <v>1003</v>
      </c>
      <c r="G67" s="375" t="s">
        <v>1212</v>
      </c>
      <c r="H67" s="375" t="s">
        <v>814</v>
      </c>
      <c r="I67" s="375" t="s">
        <v>751</v>
      </c>
      <c r="J67" s="375">
        <v>2680339.7404499999</v>
      </c>
      <c r="K67" s="375">
        <v>199238.65317000001</v>
      </c>
      <c r="L67" s="375">
        <v>253112.50727</v>
      </c>
      <c r="M67" s="375">
        <v>5267911.84088</v>
      </c>
      <c r="N67" s="372">
        <v>1.05</v>
      </c>
      <c r="O67" s="704">
        <v>34.587350104991835</v>
      </c>
      <c r="P67" s="375" t="s">
        <v>619</v>
      </c>
      <c r="Q67" s="375" t="s">
        <v>619</v>
      </c>
      <c r="R67" s="696">
        <v>20170512</v>
      </c>
      <c r="S67" s="375" t="s">
        <v>1213</v>
      </c>
      <c r="T67" s="697">
        <v>0.23100000000000001</v>
      </c>
      <c r="U67" s="375" t="s">
        <v>1214</v>
      </c>
      <c r="V67" s="722">
        <v>17.25</v>
      </c>
      <c r="W67" s="722">
        <v>0.91</v>
      </c>
      <c r="X67" s="722">
        <v>1.91</v>
      </c>
      <c r="Y67" s="722">
        <v>260.41000000000003</v>
      </c>
      <c r="Z67" s="382">
        <v>4.1440334187591965E-2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27050.15</v>
      </c>
      <c r="AF67" s="372">
        <v>28051.4</v>
      </c>
      <c r="AG67" s="372">
        <v>29433</v>
      </c>
      <c r="AH67" s="372">
        <v>37570</v>
      </c>
    </row>
    <row r="68" spans="1:34">
      <c r="A68" s="372" t="s">
        <v>1215</v>
      </c>
      <c r="B68" s="373" t="s">
        <v>1216</v>
      </c>
      <c r="C68" s="372" t="s">
        <v>1217</v>
      </c>
      <c r="D68" s="374">
        <v>1760110022654</v>
      </c>
      <c r="E68" s="372" t="s">
        <v>1218</v>
      </c>
      <c r="F68" s="375" t="s">
        <v>16097</v>
      </c>
      <c r="G68" s="375" t="s">
        <v>16100</v>
      </c>
      <c r="H68" s="375" t="s">
        <v>750</v>
      </c>
      <c r="I68" s="375" t="s">
        <v>751</v>
      </c>
      <c r="J68" s="375">
        <v>2199758.6981100002</v>
      </c>
      <c r="K68" s="375">
        <v>-640913.77133000002</v>
      </c>
      <c r="L68" s="375">
        <v>-747059.65298000001</v>
      </c>
      <c r="M68" s="375">
        <v>845120.97582000005</v>
      </c>
      <c r="N68" s="372">
        <v>1.4139999999999999</v>
      </c>
      <c r="O68" s="704">
        <v>47.466111954071899</v>
      </c>
      <c r="P68" s="375" t="s">
        <v>619</v>
      </c>
      <c r="Q68" s="375" t="s">
        <v>619</v>
      </c>
      <c r="R68" s="696">
        <v>20021227</v>
      </c>
      <c r="S68" s="375" t="s">
        <v>1219</v>
      </c>
      <c r="T68" s="697" t="s">
        <v>768</v>
      </c>
      <c r="U68" s="375" t="s">
        <v>1220</v>
      </c>
      <c r="V68" s="722" t="s">
        <v>770</v>
      </c>
      <c r="W68" s="722">
        <v>4.9000000000000004</v>
      </c>
      <c r="X68" s="722">
        <v>1.87</v>
      </c>
      <c r="Y68" s="722" t="s">
        <v>770</v>
      </c>
      <c r="Z68" s="382">
        <v>2.8417398210469624E-3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20820.900000000001</v>
      </c>
      <c r="AF68" s="372">
        <v>30846.58</v>
      </c>
      <c r="AG68" s="372">
        <v>46971.05</v>
      </c>
      <c r="AH68" s="372">
        <v>57040</v>
      </c>
    </row>
    <row r="69" spans="1:34">
      <c r="A69" s="372" t="s">
        <v>1221</v>
      </c>
      <c r="B69" s="373" t="s">
        <v>1222</v>
      </c>
      <c r="C69" s="372" t="s">
        <v>1223</v>
      </c>
      <c r="D69" s="374">
        <v>1101112208000</v>
      </c>
      <c r="E69" s="372" t="s">
        <v>1224</v>
      </c>
      <c r="F69" s="375" t="s">
        <v>1093</v>
      </c>
      <c r="G69" s="375" t="s">
        <v>1225</v>
      </c>
      <c r="H69" s="375" t="s">
        <v>823</v>
      </c>
      <c r="I69" s="375" t="s">
        <v>751</v>
      </c>
      <c r="J69" s="375">
        <v>6769213.9092399999</v>
      </c>
      <c r="K69" s="375">
        <v>470365.56965999998</v>
      </c>
      <c r="L69" s="375">
        <v>290635.14980999997</v>
      </c>
      <c r="M69" s="375">
        <v>5802668.4773899997</v>
      </c>
      <c r="N69" s="372">
        <v>1.087</v>
      </c>
      <c r="O69" s="704">
        <v>8.7792365038682174</v>
      </c>
      <c r="P69" s="375" t="s">
        <v>619</v>
      </c>
      <c r="Q69" s="375" t="s">
        <v>619</v>
      </c>
      <c r="R69" s="696">
        <v>20010425</v>
      </c>
      <c r="S69" s="375" t="s">
        <v>1226</v>
      </c>
      <c r="T69" s="697">
        <v>0.23100000000000001</v>
      </c>
      <c r="U69" s="375" t="s">
        <v>1227</v>
      </c>
      <c r="V69" s="722">
        <v>8.75</v>
      </c>
      <c r="W69" s="722">
        <v>1.17</v>
      </c>
      <c r="X69" s="722">
        <v>0.99</v>
      </c>
      <c r="Y69" s="722">
        <v>44</v>
      </c>
      <c r="Z69" s="382">
        <v>1.6758068528922143E-2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68476.22</v>
      </c>
      <c r="AF69" s="372">
        <v>70409</v>
      </c>
      <c r="AG69" s="372">
        <v>72725.78</v>
      </c>
      <c r="AH69" s="372">
        <v>0</v>
      </c>
    </row>
    <row r="70" spans="1:34">
      <c r="A70" s="372" t="s">
        <v>1228</v>
      </c>
      <c r="B70" s="373" t="s">
        <v>1229</v>
      </c>
      <c r="C70" s="372" t="s">
        <v>1230</v>
      </c>
      <c r="D70" s="374">
        <v>1311110523736</v>
      </c>
      <c r="E70" s="372" t="s">
        <v>1231</v>
      </c>
      <c r="F70" s="372" t="s">
        <v>16098</v>
      </c>
      <c r="G70" s="375" t="s">
        <v>16098</v>
      </c>
      <c r="H70" s="375" t="s">
        <v>781</v>
      </c>
      <c r="I70" s="375" t="s">
        <v>751</v>
      </c>
      <c r="J70" s="375">
        <v>201300.04037</v>
      </c>
      <c r="K70" s="375">
        <v>-96082.627330000003</v>
      </c>
      <c r="L70" s="375">
        <v>-63758.94485</v>
      </c>
      <c r="M70" s="375">
        <v>1719441.8398500001</v>
      </c>
      <c r="N70" s="372">
        <v>1.2649999999999999</v>
      </c>
      <c r="O70" s="704">
        <v>4.8386760802035669</v>
      </c>
      <c r="P70" s="375" t="s">
        <v>619</v>
      </c>
      <c r="Q70" s="375" t="s">
        <v>619</v>
      </c>
      <c r="R70" s="696">
        <v>20210318</v>
      </c>
      <c r="S70" s="375" t="s">
        <v>1232</v>
      </c>
      <c r="T70" s="697" t="s">
        <v>768</v>
      </c>
      <c r="U70" s="375" t="s">
        <v>1233</v>
      </c>
      <c r="V70" s="722" t="s">
        <v>770</v>
      </c>
      <c r="W70" s="722">
        <v>2.48</v>
      </c>
      <c r="X70" s="722">
        <v>21.14</v>
      </c>
      <c r="Y70" s="722" t="s">
        <v>770</v>
      </c>
      <c r="Z70" s="382">
        <v>-0.11614424644068955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1875</v>
      </c>
      <c r="AF70" s="372">
        <v>2025</v>
      </c>
      <c r="AG70" s="372">
        <v>2255</v>
      </c>
      <c r="AH70" s="372">
        <v>2360</v>
      </c>
    </row>
    <row r="71" spans="1:34">
      <c r="A71" s="372" t="s">
        <v>1234</v>
      </c>
      <c r="B71" s="373" t="s">
        <v>1235</v>
      </c>
      <c r="C71" s="372" t="s">
        <v>1236</v>
      </c>
      <c r="D71" s="374">
        <v>1101111827570</v>
      </c>
      <c r="E71" s="372" t="s">
        <v>1237</v>
      </c>
      <c r="F71" s="375" t="s">
        <v>1238</v>
      </c>
      <c r="G71" s="375" t="s">
        <v>1239</v>
      </c>
      <c r="H71" s="375" t="s">
        <v>789</v>
      </c>
      <c r="I71" s="375" t="s">
        <v>751</v>
      </c>
      <c r="J71" s="375">
        <v>4048972.5534899998</v>
      </c>
      <c r="K71" s="375">
        <v>352929.96253999998</v>
      </c>
      <c r="L71" s="375">
        <v>343462.72340000002</v>
      </c>
      <c r="M71" s="375">
        <v>1729602.8021800001</v>
      </c>
      <c r="N71" s="372">
        <v>0.52100000000000002</v>
      </c>
      <c r="O71" s="704">
        <v>13.458502246774684</v>
      </c>
      <c r="P71" s="375" t="s">
        <v>619</v>
      </c>
      <c r="Q71" s="375" t="s">
        <v>619</v>
      </c>
      <c r="R71" s="696">
        <v>20110630</v>
      </c>
      <c r="S71" s="375" t="s">
        <v>1240</v>
      </c>
      <c r="T71" s="697">
        <v>0.26400000000000001</v>
      </c>
      <c r="U71" s="375" t="s">
        <v>1241</v>
      </c>
      <c r="V71" s="722">
        <v>12.29</v>
      </c>
      <c r="W71" s="722">
        <v>2.97</v>
      </c>
      <c r="X71" s="722">
        <v>1.25</v>
      </c>
      <c r="Y71" s="722">
        <v>17.53</v>
      </c>
      <c r="Z71" s="382">
        <v>8.2935469396283601E-2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36926.89</v>
      </c>
      <c r="AF71" s="372">
        <v>43573.74</v>
      </c>
      <c r="AG71" s="372">
        <v>52529</v>
      </c>
      <c r="AH71" s="372">
        <v>55331</v>
      </c>
    </row>
    <row r="72" spans="1:34">
      <c r="A72" s="372" t="s">
        <v>1242</v>
      </c>
      <c r="B72" s="373" t="s">
        <v>1243</v>
      </c>
      <c r="C72" s="372" t="s">
        <v>1244</v>
      </c>
      <c r="D72" s="374">
        <v>1101110014409</v>
      </c>
      <c r="E72" s="372" t="s">
        <v>1245</v>
      </c>
      <c r="F72" s="375" t="s">
        <v>1246</v>
      </c>
      <c r="G72" s="375" t="s">
        <v>1246</v>
      </c>
      <c r="H72" s="375" t="s">
        <v>781</v>
      </c>
      <c r="I72" s="375" t="s">
        <v>751</v>
      </c>
      <c r="J72" s="375">
        <v>2008840.7350600001</v>
      </c>
      <c r="K72" s="375">
        <v>72647.978619999994</v>
      </c>
      <c r="L72" s="375">
        <v>169563.65025000001</v>
      </c>
      <c r="M72" s="375">
        <v>2174564.29079</v>
      </c>
      <c r="N72" s="372">
        <v>0.97499999999999998</v>
      </c>
      <c r="O72" s="704">
        <v>2.5742155749421149</v>
      </c>
      <c r="P72" s="375" t="s">
        <v>619</v>
      </c>
      <c r="Q72" s="375" t="s">
        <v>619</v>
      </c>
      <c r="R72" s="696">
        <v>19621101</v>
      </c>
      <c r="S72" s="375" t="s">
        <v>1247</v>
      </c>
      <c r="T72" s="697">
        <v>0.23100000000000001</v>
      </c>
      <c r="U72" s="375" t="s">
        <v>1248</v>
      </c>
      <c r="V72" s="722">
        <v>89.01</v>
      </c>
      <c r="W72" s="722">
        <v>4.97</v>
      </c>
      <c r="X72" s="722">
        <v>5.78</v>
      </c>
      <c r="Y72" s="722">
        <v>69.17</v>
      </c>
      <c r="Z72" s="382">
        <v>6.9202619500207785E-2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20711.64</v>
      </c>
      <c r="AF72" s="372">
        <v>22642.07</v>
      </c>
      <c r="AG72" s="372">
        <v>24294.93</v>
      </c>
      <c r="AH72" s="372">
        <v>28520</v>
      </c>
    </row>
    <row r="73" spans="1:34">
      <c r="A73" s="372" t="s">
        <v>1249</v>
      </c>
      <c r="B73" s="373" t="s">
        <v>1250</v>
      </c>
      <c r="C73" s="372" t="s">
        <v>1251</v>
      </c>
      <c r="D73" s="374">
        <v>1101115197193</v>
      </c>
      <c r="E73" s="372" t="s">
        <v>1252</v>
      </c>
      <c r="F73" s="375" t="s">
        <v>890</v>
      </c>
      <c r="G73" s="375" t="s">
        <v>891</v>
      </c>
      <c r="H73" s="375" t="s">
        <v>852</v>
      </c>
      <c r="I73" s="375" t="s">
        <v>751</v>
      </c>
      <c r="J73" s="375">
        <v>292502.97558000003</v>
      </c>
      <c r="K73" s="375">
        <v>47531.052839999997</v>
      </c>
      <c r="L73" s="375">
        <v>526613.07718999998</v>
      </c>
      <c r="M73" s="375">
        <v>3268024.0240000002</v>
      </c>
      <c r="N73" s="372">
        <v>1.077</v>
      </c>
      <c r="O73" s="704">
        <v>11.3265069388928</v>
      </c>
      <c r="P73" s="375" t="s">
        <v>619</v>
      </c>
      <c r="Q73" s="375" t="s">
        <v>619</v>
      </c>
      <c r="R73" s="696">
        <v>20130916</v>
      </c>
      <c r="S73" s="375" t="s">
        <v>1253</v>
      </c>
      <c r="T73" s="697">
        <v>0.26400000000000001</v>
      </c>
      <c r="U73" s="375" t="s">
        <v>1254</v>
      </c>
      <c r="V73" s="722">
        <v>80.849999999999994</v>
      </c>
      <c r="W73" s="722">
        <v>1.76</v>
      </c>
      <c r="X73" s="722">
        <v>18.98</v>
      </c>
      <c r="Y73" s="722">
        <v>12.31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1255</v>
      </c>
      <c r="B74" s="373" t="s">
        <v>1256</v>
      </c>
      <c r="C74" s="372" t="s">
        <v>1257</v>
      </c>
      <c r="D74" s="374">
        <v>1101110011679</v>
      </c>
      <c r="E74" s="372" t="s">
        <v>1258</v>
      </c>
      <c r="F74" s="375" t="s">
        <v>1259</v>
      </c>
      <c r="G74" s="375" t="s">
        <v>1260</v>
      </c>
      <c r="H74" s="375" t="s">
        <v>1261</v>
      </c>
      <c r="I74" s="375" t="s">
        <v>751</v>
      </c>
      <c r="J74" s="375">
        <v>0</v>
      </c>
      <c r="K74" s="375">
        <v>0</v>
      </c>
      <c r="L74" s="375">
        <v>0</v>
      </c>
      <c r="M74" s="375">
        <v>0</v>
      </c>
      <c r="N74" s="372">
        <v>1.06</v>
      </c>
      <c r="O74" s="704" t="s">
        <v>16298</v>
      </c>
      <c r="P74" s="375" t="s">
        <v>619</v>
      </c>
      <c r="Q74" s="375" t="s">
        <v>619</v>
      </c>
      <c r="R74" s="696">
        <v>19750930</v>
      </c>
      <c r="S74" s="375" t="s">
        <v>1262</v>
      </c>
      <c r="T74" s="697" t="s">
        <v>768</v>
      </c>
      <c r="U74" s="375" t="s">
        <v>1263</v>
      </c>
      <c r="V74" s="722">
        <v>0</v>
      </c>
      <c r="W74" s="722">
        <v>0</v>
      </c>
      <c r="X74" s="722">
        <v>0</v>
      </c>
      <c r="Y74" s="722">
        <v>0</v>
      </c>
      <c r="Z74" s="382">
        <v>0.10651478004191395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27006.18</v>
      </c>
      <c r="AF74" s="372">
        <v>26677.09</v>
      </c>
      <c r="AG74" s="372">
        <v>28293.439999999999</v>
      </c>
      <c r="AH74" s="372">
        <v>0</v>
      </c>
    </row>
    <row r="75" spans="1:34">
      <c r="A75" s="372" t="s">
        <v>1264</v>
      </c>
      <c r="B75" s="373" t="s">
        <v>1265</v>
      </c>
      <c r="C75" s="372" t="s">
        <v>15820</v>
      </c>
      <c r="D75" s="374">
        <v>1101110240509</v>
      </c>
      <c r="E75" s="372" t="s">
        <v>15821</v>
      </c>
      <c r="F75" s="375" t="s">
        <v>1078</v>
      </c>
      <c r="G75" s="375" t="s">
        <v>1079</v>
      </c>
      <c r="H75" s="375" t="s">
        <v>814</v>
      </c>
      <c r="I75" s="375" t="s">
        <v>751</v>
      </c>
      <c r="J75" s="375">
        <v>10215510.575619999</v>
      </c>
      <c r="K75" s="375">
        <v>945699.18594999996</v>
      </c>
      <c r="L75" s="375">
        <v>903660.8186</v>
      </c>
      <c r="M75" s="375">
        <v>3808974.1852699998</v>
      </c>
      <c r="N75" s="372">
        <v>0.69299999999999995</v>
      </c>
      <c r="O75" s="704">
        <v>3.5903262915076444</v>
      </c>
      <c r="P75" s="375" t="s">
        <v>619</v>
      </c>
      <c r="Q75" s="375" t="s">
        <v>619</v>
      </c>
      <c r="R75" s="696">
        <v>19961224</v>
      </c>
      <c r="S75" s="375" t="s">
        <v>1266</v>
      </c>
      <c r="T75" s="697">
        <v>0.26400000000000001</v>
      </c>
      <c r="U75" s="375" t="s">
        <v>1267</v>
      </c>
      <c r="V75" s="722">
        <v>3.95</v>
      </c>
      <c r="W75" s="722">
        <v>1.05</v>
      </c>
      <c r="X75" s="722">
        <v>0.42</v>
      </c>
      <c r="Y75" s="722">
        <v>5.7</v>
      </c>
      <c r="Z75" s="382">
        <v>-2.7632177690674053E-3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99038.42</v>
      </c>
      <c r="AF75" s="372">
        <v>97347.05</v>
      </c>
      <c r="AG75" s="372">
        <v>105079.67999999999</v>
      </c>
      <c r="AH75" s="372">
        <v>139950</v>
      </c>
    </row>
    <row r="76" spans="1:34">
      <c r="A76" s="372" t="s">
        <v>1268</v>
      </c>
      <c r="B76" s="373" t="s">
        <v>1269</v>
      </c>
      <c r="C76" s="372" t="s">
        <v>1270</v>
      </c>
      <c r="D76" s="374">
        <v>1101110192180</v>
      </c>
      <c r="E76" s="372" t="s">
        <v>1271</v>
      </c>
      <c r="F76" s="375" t="s">
        <v>1272</v>
      </c>
      <c r="G76" s="375" t="s">
        <v>1272</v>
      </c>
      <c r="H76" s="375" t="s">
        <v>750</v>
      </c>
      <c r="I76" s="375" t="s">
        <v>751</v>
      </c>
      <c r="J76" s="375">
        <v>22132544.434099998</v>
      </c>
      <c r="K76" s="375">
        <v>941843.27500000002</v>
      </c>
      <c r="L76" s="375">
        <v>791026.49980999995</v>
      </c>
      <c r="M76" s="375">
        <v>4986204.6222700002</v>
      </c>
      <c r="N76" s="372">
        <v>1.1579999999999999</v>
      </c>
      <c r="O76" s="704">
        <v>72.242679544392246</v>
      </c>
      <c r="P76" s="375" t="s">
        <v>619</v>
      </c>
      <c r="Q76" s="375" t="s">
        <v>619</v>
      </c>
      <c r="R76" s="696">
        <v>20080724</v>
      </c>
      <c r="S76" s="375" t="s">
        <v>1273</v>
      </c>
      <c r="T76" s="697">
        <v>0.26400000000000001</v>
      </c>
      <c r="U76" s="375" t="s">
        <v>1274</v>
      </c>
      <c r="V76" s="722">
        <v>3.29</v>
      </c>
      <c r="W76" s="722">
        <v>1.03</v>
      </c>
      <c r="X76" s="722">
        <v>0.23</v>
      </c>
      <c r="Y76" s="722">
        <v>7.44</v>
      </c>
      <c r="Z76" s="382">
        <v>2.4451863933899309E-2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208893.87</v>
      </c>
      <c r="AF76" s="372">
        <v>214648.61</v>
      </c>
      <c r="AG76" s="372">
        <v>226957.72</v>
      </c>
      <c r="AH76" s="372">
        <v>0</v>
      </c>
    </row>
    <row r="77" spans="1:34">
      <c r="A77" s="372" t="s">
        <v>1275</v>
      </c>
      <c r="B77" s="373" t="s">
        <v>1276</v>
      </c>
      <c r="C77" s="372" t="s">
        <v>1277</v>
      </c>
      <c r="D77" s="374">
        <v>1101115402237</v>
      </c>
      <c r="E77" s="372" t="s">
        <v>1278</v>
      </c>
      <c r="F77" s="375" t="s">
        <v>1279</v>
      </c>
      <c r="G77" s="375" t="s">
        <v>1280</v>
      </c>
      <c r="H77" s="375" t="s">
        <v>1040</v>
      </c>
      <c r="I77" s="375" t="s">
        <v>751</v>
      </c>
      <c r="J77" s="375">
        <v>8732654.5289999992</v>
      </c>
      <c r="K77" s="375">
        <v>949791.87899999996</v>
      </c>
      <c r="L77" s="375">
        <v>863401.52899999998</v>
      </c>
      <c r="M77" s="375">
        <v>6373680.9699999997</v>
      </c>
      <c r="N77" s="372">
        <v>0.95699999999999996</v>
      </c>
      <c r="O77" s="704">
        <v>50.6218488993484</v>
      </c>
      <c r="P77" s="375" t="s">
        <v>619</v>
      </c>
      <c r="Q77" s="375" t="s">
        <v>619</v>
      </c>
      <c r="R77" s="696">
        <v>20161118</v>
      </c>
      <c r="S77" s="375" t="s">
        <v>1281</v>
      </c>
      <c r="T77" s="697">
        <v>0.26400000000000001</v>
      </c>
      <c r="U77" s="375" t="s">
        <v>1282</v>
      </c>
      <c r="V77" s="722">
        <v>3.63</v>
      </c>
      <c r="W77" s="722">
        <v>0.64</v>
      </c>
      <c r="X77" s="722">
        <v>0.47</v>
      </c>
      <c r="Y77" s="722">
        <v>6.2</v>
      </c>
      <c r="Z77" s="382">
        <v>-2.3622975632943466E-2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82582.67</v>
      </c>
      <c r="AF77" s="372">
        <v>84698.44</v>
      </c>
      <c r="AG77" s="372">
        <v>88689.33</v>
      </c>
      <c r="AH77" s="372">
        <v>0</v>
      </c>
    </row>
    <row r="78" spans="1:34">
      <c r="A78" s="372" t="s">
        <v>1283</v>
      </c>
      <c r="B78" s="373" t="s">
        <v>1284</v>
      </c>
      <c r="C78" s="372" t="s">
        <v>1285</v>
      </c>
      <c r="D78" s="374">
        <v>1101115798272</v>
      </c>
      <c r="E78" s="372" t="s">
        <v>1286</v>
      </c>
      <c r="F78" s="375" t="s">
        <v>1287</v>
      </c>
      <c r="G78" s="375" t="s">
        <v>1287</v>
      </c>
      <c r="H78" s="375" t="s">
        <v>1040</v>
      </c>
      <c r="I78" s="375" t="s">
        <v>751</v>
      </c>
      <c r="J78" s="375">
        <v>52215.646220000002</v>
      </c>
      <c r="K78" s="375">
        <v>-27442.106950000001</v>
      </c>
      <c r="L78" s="375">
        <v>-13509.02007</v>
      </c>
      <c r="M78" s="375">
        <v>426099.41178000002</v>
      </c>
      <c r="N78" s="372" t="s">
        <v>1023</v>
      </c>
      <c r="O78" s="704">
        <v>6.0130611622142477E-2</v>
      </c>
      <c r="P78" s="375" t="s">
        <v>619</v>
      </c>
      <c r="Q78" s="375" t="s">
        <v>619</v>
      </c>
      <c r="R78" s="696">
        <v>20231005</v>
      </c>
      <c r="S78" s="375" t="s">
        <v>1288</v>
      </c>
      <c r="T78" s="697" t="s">
        <v>768</v>
      </c>
      <c r="U78" s="375" t="s">
        <v>1289</v>
      </c>
      <c r="V78" s="722" t="s">
        <v>770</v>
      </c>
      <c r="W78" s="722">
        <v>9.69</v>
      </c>
      <c r="X78" s="722">
        <v>79.08</v>
      </c>
      <c r="Y78" s="722" t="s">
        <v>770</v>
      </c>
      <c r="Z78" s="382">
        <v>0.46039145667163495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724.5</v>
      </c>
      <c r="AF78" s="372">
        <v>1201</v>
      </c>
      <c r="AG78" s="372">
        <v>2412.5</v>
      </c>
      <c r="AH78" s="372">
        <v>7660</v>
      </c>
    </row>
    <row r="79" spans="1:34">
      <c r="A79" s="372" t="s">
        <v>1290</v>
      </c>
      <c r="B79" s="373" t="s">
        <v>1291</v>
      </c>
      <c r="C79" s="372" t="s">
        <v>1292</v>
      </c>
      <c r="D79" s="374">
        <v>1201110001743</v>
      </c>
      <c r="E79" s="372" t="s">
        <v>1293</v>
      </c>
      <c r="F79" s="375" t="s">
        <v>808</v>
      </c>
      <c r="G79" s="375" t="s">
        <v>808</v>
      </c>
      <c r="H79" s="375" t="s">
        <v>809</v>
      </c>
      <c r="I79" s="375" t="s">
        <v>751</v>
      </c>
      <c r="J79" s="375">
        <v>23717658.48212</v>
      </c>
      <c r="K79" s="375">
        <v>-23751.833750000002</v>
      </c>
      <c r="L79" s="375">
        <v>-309963.76127999998</v>
      </c>
      <c r="M79" s="375">
        <v>19319530.38332</v>
      </c>
      <c r="N79" s="372">
        <v>1.0569999999999999</v>
      </c>
      <c r="O79" s="704">
        <v>319.78701430480686</v>
      </c>
      <c r="P79" s="375" t="s">
        <v>619</v>
      </c>
      <c r="Q79" s="375" t="s">
        <v>619</v>
      </c>
      <c r="R79" s="696">
        <v>19870523</v>
      </c>
      <c r="S79" s="375" t="s">
        <v>1294</v>
      </c>
      <c r="T79" s="697" t="s">
        <v>768</v>
      </c>
      <c r="U79" s="375" t="s">
        <v>1295</v>
      </c>
      <c r="V79" s="722">
        <v>7.56</v>
      </c>
      <c r="W79" s="722">
        <v>0.2</v>
      </c>
      <c r="X79" s="722">
        <v>0.16</v>
      </c>
      <c r="Y79" s="722" t="s">
        <v>770</v>
      </c>
      <c r="Z79" s="382">
        <v>-1.4035076072287156E-2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235637.89</v>
      </c>
      <c r="AF79" s="372">
        <v>238461.37</v>
      </c>
      <c r="AG79" s="372">
        <v>244902.41</v>
      </c>
      <c r="AH79" s="372">
        <v>259110</v>
      </c>
    </row>
    <row r="80" spans="1:34">
      <c r="A80" s="372" t="s">
        <v>1296</v>
      </c>
      <c r="B80" s="373" t="s">
        <v>1297</v>
      </c>
      <c r="C80" s="372" t="s">
        <v>1298</v>
      </c>
      <c r="D80" s="374">
        <v>1801110003101</v>
      </c>
      <c r="E80" s="372" t="s">
        <v>1299</v>
      </c>
      <c r="F80" s="375" t="s">
        <v>1300</v>
      </c>
      <c r="G80" s="375" t="s">
        <v>1300</v>
      </c>
      <c r="H80" s="375" t="s">
        <v>823</v>
      </c>
      <c r="I80" s="375" t="s">
        <v>751</v>
      </c>
      <c r="J80" s="375">
        <v>156495.23996000001</v>
      </c>
      <c r="K80" s="375">
        <v>-51122.992700000003</v>
      </c>
      <c r="L80" s="375">
        <v>-219228.39762999999</v>
      </c>
      <c r="M80" s="375">
        <v>88593.232690000004</v>
      </c>
      <c r="N80" s="372">
        <v>1.202</v>
      </c>
      <c r="O80" s="704">
        <v>28.574357530238327</v>
      </c>
      <c r="P80" s="375" t="s">
        <v>619</v>
      </c>
      <c r="Q80" s="375" t="s">
        <v>619</v>
      </c>
      <c r="R80" s="696">
        <v>19761217</v>
      </c>
      <c r="S80" s="375" t="s">
        <v>1301</v>
      </c>
      <c r="T80" s="697" t="s">
        <v>768</v>
      </c>
      <c r="U80" s="375" t="s">
        <v>1302</v>
      </c>
      <c r="V80" s="722" t="s">
        <v>770</v>
      </c>
      <c r="W80" s="722">
        <v>37.19</v>
      </c>
      <c r="X80" s="722">
        <v>19.399999999999999</v>
      </c>
      <c r="Y80" s="722" t="s">
        <v>770</v>
      </c>
      <c r="Z80" s="382" t="s">
        <v>924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1303</v>
      </c>
      <c r="B81" s="373" t="s">
        <v>1304</v>
      </c>
      <c r="C81" s="372" t="s">
        <v>1305</v>
      </c>
      <c r="D81" s="374">
        <v>1101111296676</v>
      </c>
      <c r="E81" s="372" t="s">
        <v>1306</v>
      </c>
      <c r="F81" s="372" t="s">
        <v>987</v>
      </c>
      <c r="G81" s="375" t="s">
        <v>987</v>
      </c>
      <c r="H81" s="375" t="s">
        <v>988</v>
      </c>
      <c r="I81" s="375" t="s">
        <v>751</v>
      </c>
      <c r="J81" s="375">
        <v>14692868</v>
      </c>
      <c r="K81" s="375">
        <v>916485</v>
      </c>
      <c r="L81" s="375">
        <v>685094</v>
      </c>
      <c r="M81" s="375">
        <v>8903227</v>
      </c>
      <c r="N81" s="372">
        <v>0.55700000000000005</v>
      </c>
      <c r="O81" s="704">
        <v>162.84733957336439</v>
      </c>
      <c r="P81" s="375" t="s">
        <v>619</v>
      </c>
      <c r="Q81" s="375" t="s">
        <v>619</v>
      </c>
      <c r="R81" s="696">
        <v>20000919</v>
      </c>
      <c r="S81" s="375" t="s">
        <v>1307</v>
      </c>
      <c r="T81" s="697">
        <v>0.26400000000000001</v>
      </c>
      <c r="U81" s="375" t="s">
        <v>1308</v>
      </c>
      <c r="V81" s="722">
        <v>2.77</v>
      </c>
      <c r="W81" s="722">
        <v>0.49</v>
      </c>
      <c r="X81" s="722">
        <v>0.28999999999999998</v>
      </c>
      <c r="Y81" s="722">
        <v>8.0299999999999994</v>
      </c>
      <c r="Z81" s="382">
        <v>1.4104196933537594E-2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146661.4</v>
      </c>
      <c r="AF81" s="372">
        <v>149077.87</v>
      </c>
      <c r="AG81" s="372">
        <v>152008</v>
      </c>
      <c r="AH81" s="372">
        <v>0</v>
      </c>
    </row>
    <row r="82" spans="1:34">
      <c r="A82" s="372" t="s">
        <v>1309</v>
      </c>
      <c r="B82" s="373" t="s">
        <v>1310</v>
      </c>
      <c r="C82" s="372" t="s">
        <v>1311</v>
      </c>
      <c r="D82" s="374">
        <v>1101113748253</v>
      </c>
      <c r="E82" s="372" t="s">
        <v>1312</v>
      </c>
      <c r="F82" s="375" t="s">
        <v>2219</v>
      </c>
      <c r="G82" s="375" t="s">
        <v>2219</v>
      </c>
      <c r="H82" s="375" t="s">
        <v>1313</v>
      </c>
      <c r="I82" s="375" t="s">
        <v>751</v>
      </c>
      <c r="J82" s="375">
        <v>29158352.697000001</v>
      </c>
      <c r="K82" s="375">
        <v>1473966.399</v>
      </c>
      <c r="L82" s="375">
        <v>835243.00199999998</v>
      </c>
      <c r="M82" s="375">
        <v>11989053.607999999</v>
      </c>
      <c r="N82" s="372">
        <v>0.65100000000000002</v>
      </c>
      <c r="O82" s="704">
        <v>273.19645871095901</v>
      </c>
      <c r="P82" s="375" t="s">
        <v>619</v>
      </c>
      <c r="Q82" s="375" t="s">
        <v>619</v>
      </c>
      <c r="R82" s="696">
        <v>20070928</v>
      </c>
      <c r="S82" s="375" t="s">
        <v>1314</v>
      </c>
      <c r="T82" s="697">
        <v>0.26400000000000001</v>
      </c>
      <c r="U82" s="375" t="s">
        <v>1315</v>
      </c>
      <c r="V82" s="722">
        <v>6</v>
      </c>
      <c r="W82" s="722">
        <v>0.65</v>
      </c>
      <c r="X82" s="722">
        <v>0.17</v>
      </c>
      <c r="Y82" s="722">
        <v>10.79</v>
      </c>
      <c r="Z82" s="382">
        <v>2.2811955950062135E-2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295018.07</v>
      </c>
      <c r="AF82" s="372">
        <v>305240.36</v>
      </c>
      <c r="AG82" s="372">
        <v>317638.08</v>
      </c>
      <c r="AH82" s="372">
        <v>0</v>
      </c>
    </row>
    <row r="83" spans="1:34">
      <c r="A83" s="372" t="s">
        <v>1316</v>
      </c>
      <c r="B83" s="373" t="s">
        <v>1317</v>
      </c>
      <c r="C83" s="372" t="s">
        <v>1318</v>
      </c>
      <c r="D83" s="374">
        <v>1101112112764</v>
      </c>
      <c r="E83" s="372" t="s">
        <v>1319</v>
      </c>
      <c r="F83" s="375" t="s">
        <v>1320</v>
      </c>
      <c r="G83" s="375" t="s">
        <v>16103</v>
      </c>
      <c r="H83" s="375" t="s">
        <v>858</v>
      </c>
      <c r="I83" s="375" t="s">
        <v>859</v>
      </c>
      <c r="J83" s="375">
        <v>437408.08046000003</v>
      </c>
      <c r="K83" s="375">
        <v>31944.292430000001</v>
      </c>
      <c r="L83" s="375">
        <v>22437.284250000001</v>
      </c>
      <c r="M83" s="375">
        <v>389980.9178</v>
      </c>
      <c r="N83" s="372">
        <v>1.0649999999999999</v>
      </c>
      <c r="O83" s="704">
        <v>6.863035609604534</v>
      </c>
      <c r="P83" s="375" t="s">
        <v>619</v>
      </c>
      <c r="Q83" s="372" t="s">
        <v>619</v>
      </c>
      <c r="R83" s="696">
        <v>20060203</v>
      </c>
      <c r="S83" s="375" t="s">
        <v>1321</v>
      </c>
      <c r="T83" s="697">
        <v>0.23100000000000001</v>
      </c>
      <c r="U83" s="375" t="s">
        <v>1322</v>
      </c>
      <c r="V83" s="722">
        <v>0</v>
      </c>
      <c r="W83" s="722">
        <v>0</v>
      </c>
      <c r="X83" s="722">
        <v>0</v>
      </c>
      <c r="Y83" s="722">
        <v>0</v>
      </c>
      <c r="Z83" s="382" t="s">
        <v>924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1323</v>
      </c>
      <c r="B84" s="373" t="s">
        <v>1324</v>
      </c>
      <c r="C84" s="372" t="s">
        <v>1325</v>
      </c>
      <c r="D84" s="374">
        <v>1101111387748</v>
      </c>
      <c r="E84" s="372" t="s">
        <v>1326</v>
      </c>
      <c r="F84" s="375" t="s">
        <v>1003</v>
      </c>
      <c r="G84" s="375" t="s">
        <v>1212</v>
      </c>
      <c r="H84" s="375" t="s">
        <v>814</v>
      </c>
      <c r="I84" s="375" t="s">
        <v>751</v>
      </c>
      <c r="J84" s="375">
        <v>1606425.49569</v>
      </c>
      <c r="K84" s="375">
        <v>24128.47136</v>
      </c>
      <c r="L84" s="375">
        <v>110874.58188</v>
      </c>
      <c r="M84" s="375">
        <v>3115722.4352600002</v>
      </c>
      <c r="N84" s="372">
        <v>1.0009999999999999</v>
      </c>
      <c r="O84" s="704">
        <v>8.8404787811020924</v>
      </c>
      <c r="P84" s="375" t="s">
        <v>619</v>
      </c>
      <c r="Q84" s="375" t="s">
        <v>619</v>
      </c>
      <c r="R84" s="696">
        <v>20000707</v>
      </c>
      <c r="S84" s="375" t="s">
        <v>1327</v>
      </c>
      <c r="T84" s="697">
        <v>0.23100000000000001</v>
      </c>
      <c r="U84" s="375" t="s">
        <v>1328</v>
      </c>
      <c r="V84" s="722">
        <v>31.56</v>
      </c>
      <c r="W84" s="722">
        <v>1.0900000000000001</v>
      </c>
      <c r="X84" s="722">
        <v>2.61</v>
      </c>
      <c r="Y84" s="722">
        <v>33.119999999999997</v>
      </c>
      <c r="Z84" s="382">
        <v>4.3608935921029213E-2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16065.95</v>
      </c>
      <c r="AF84" s="372">
        <v>18669.05</v>
      </c>
      <c r="AG84" s="372">
        <v>21112.05</v>
      </c>
      <c r="AH84" s="372">
        <v>20640</v>
      </c>
    </row>
    <row r="85" spans="1:34">
      <c r="A85" s="372" t="s">
        <v>1329</v>
      </c>
      <c r="B85" s="373" t="s">
        <v>1330</v>
      </c>
      <c r="C85" s="372" t="s">
        <v>1331</v>
      </c>
      <c r="D85" s="374">
        <v>1601110242050</v>
      </c>
      <c r="E85" s="372" t="s">
        <v>1332</v>
      </c>
      <c r="F85" s="375" t="s">
        <v>1113</v>
      </c>
      <c r="G85" s="375" t="s">
        <v>1333</v>
      </c>
      <c r="H85" s="375" t="s">
        <v>1334</v>
      </c>
      <c r="I85" s="375" t="s">
        <v>859</v>
      </c>
      <c r="J85" s="375">
        <v>74375.119160000002</v>
      </c>
      <c r="K85" s="375">
        <v>-5699.37266</v>
      </c>
      <c r="L85" s="375">
        <v>-5061.4655599999996</v>
      </c>
      <c r="M85" s="375">
        <v>177477.75567000001</v>
      </c>
      <c r="N85" s="372">
        <v>1.2529999999999999</v>
      </c>
      <c r="O85" s="704">
        <v>0.50035033557719411</v>
      </c>
      <c r="P85" s="375" t="s">
        <v>619</v>
      </c>
      <c r="Q85" s="375" t="s">
        <v>619</v>
      </c>
      <c r="R85" s="696">
        <v>20141212</v>
      </c>
      <c r="S85" s="375" t="s">
        <v>1335</v>
      </c>
      <c r="T85" s="697" t="s">
        <v>768</v>
      </c>
      <c r="U85" s="375" t="s">
        <v>1336</v>
      </c>
      <c r="V85" s="722" t="s">
        <v>770</v>
      </c>
      <c r="W85" s="722">
        <v>97.26</v>
      </c>
      <c r="X85" s="722">
        <v>232.95</v>
      </c>
      <c r="Y85" s="722" t="s">
        <v>770</v>
      </c>
      <c r="Z85" s="382">
        <v>0.44669213948070929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845</v>
      </c>
      <c r="AF85" s="372">
        <v>1089</v>
      </c>
      <c r="AG85" s="372">
        <v>4228</v>
      </c>
      <c r="AH85" s="372">
        <v>0</v>
      </c>
    </row>
    <row r="86" spans="1:34">
      <c r="A86" s="372" t="s">
        <v>1337</v>
      </c>
      <c r="B86" s="373" t="s">
        <v>1338</v>
      </c>
      <c r="C86" s="372" t="s">
        <v>1339</v>
      </c>
      <c r="D86" s="374">
        <v>1348110197550</v>
      </c>
      <c r="E86" s="372" t="s">
        <v>1340</v>
      </c>
      <c r="F86" s="375" t="s">
        <v>1320</v>
      </c>
      <c r="G86" s="375" t="s">
        <v>16103</v>
      </c>
      <c r="H86" s="375" t="s">
        <v>781</v>
      </c>
      <c r="I86" s="375" t="s">
        <v>751</v>
      </c>
      <c r="J86" s="375">
        <v>1566245.2311799999</v>
      </c>
      <c r="K86" s="375">
        <v>255830.39563000001</v>
      </c>
      <c r="L86" s="375">
        <v>226052.54066999999</v>
      </c>
      <c r="M86" s="375">
        <v>1244988.3552699999</v>
      </c>
      <c r="N86" s="372">
        <v>0.65200000000000002</v>
      </c>
      <c r="O86" s="704">
        <v>12.418857445686792</v>
      </c>
      <c r="P86" s="375" t="s">
        <v>619</v>
      </c>
      <c r="Q86" s="375" t="s">
        <v>619</v>
      </c>
      <c r="R86" s="696">
        <v>20100730</v>
      </c>
      <c r="S86" s="375" t="s">
        <v>1341</v>
      </c>
      <c r="T86" s="697">
        <v>0.23100000000000001</v>
      </c>
      <c r="U86" s="375" t="s">
        <v>1342</v>
      </c>
      <c r="V86" s="722">
        <v>12.99</v>
      </c>
      <c r="W86" s="722">
        <v>3.67</v>
      </c>
      <c r="X86" s="722">
        <v>2.63</v>
      </c>
      <c r="Y86" s="722">
        <v>25.64</v>
      </c>
      <c r="Z86" s="382">
        <v>5.8847984354730487E-2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16065.05</v>
      </c>
      <c r="AF86" s="372">
        <v>17419.38</v>
      </c>
      <c r="AG86" s="372">
        <v>18740.419999999998</v>
      </c>
      <c r="AH86" s="372">
        <v>20520</v>
      </c>
    </row>
    <row r="87" spans="1:34">
      <c r="A87" s="372" t="s">
        <v>1343</v>
      </c>
      <c r="B87" s="373" t="s">
        <v>1344</v>
      </c>
      <c r="C87" s="372" t="s">
        <v>1345</v>
      </c>
      <c r="D87" s="374">
        <v>1101110626501</v>
      </c>
      <c r="E87" s="372" t="s">
        <v>1346</v>
      </c>
      <c r="F87" s="375" t="s">
        <v>1347</v>
      </c>
      <c r="G87" s="375" t="s">
        <v>1347</v>
      </c>
      <c r="H87" s="375" t="s">
        <v>814</v>
      </c>
      <c r="I87" s="375" t="s">
        <v>751</v>
      </c>
      <c r="J87" s="375">
        <v>4188814.0000800001</v>
      </c>
      <c r="K87" s="375">
        <v>778169.25370999996</v>
      </c>
      <c r="L87" s="375">
        <v>763168.84556000005</v>
      </c>
      <c r="M87" s="375">
        <v>3072626.4409099999</v>
      </c>
      <c r="N87" s="372">
        <v>0.90500000000000003</v>
      </c>
      <c r="O87" s="704">
        <v>30.738127096092366</v>
      </c>
      <c r="P87" s="375" t="s">
        <v>619</v>
      </c>
      <c r="Q87" s="375" t="s">
        <v>619</v>
      </c>
      <c r="R87" s="696">
        <v>19960826</v>
      </c>
      <c r="S87" s="375" t="s">
        <v>1348</v>
      </c>
      <c r="T87" s="697">
        <v>0.26400000000000001</v>
      </c>
      <c r="U87" s="375" t="s">
        <v>1349</v>
      </c>
      <c r="V87" s="722">
        <v>4.3</v>
      </c>
      <c r="W87" s="722">
        <v>1.56</v>
      </c>
      <c r="X87" s="722">
        <v>1.18</v>
      </c>
      <c r="Y87" s="722">
        <v>8.74</v>
      </c>
      <c r="Z87" s="382">
        <v>5.8420022409079175E-2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42943</v>
      </c>
      <c r="AF87" s="372">
        <v>46549.33</v>
      </c>
      <c r="AG87" s="372">
        <v>49778.5</v>
      </c>
      <c r="AH87" s="372">
        <v>0</v>
      </c>
    </row>
    <row r="88" spans="1:34">
      <c r="A88" s="372" t="s">
        <v>1350</v>
      </c>
      <c r="B88" s="373" t="s">
        <v>1351</v>
      </c>
      <c r="C88" s="372" t="s">
        <v>1352</v>
      </c>
      <c r="D88" s="374">
        <v>1201110018251</v>
      </c>
      <c r="E88" s="372" t="s">
        <v>1353</v>
      </c>
      <c r="F88" s="375" t="s">
        <v>1354</v>
      </c>
      <c r="G88" s="375" t="s">
        <v>1354</v>
      </c>
      <c r="H88" s="375" t="s">
        <v>823</v>
      </c>
      <c r="I88" s="375" t="s">
        <v>751</v>
      </c>
      <c r="J88" s="375">
        <v>515584.80177999998</v>
      </c>
      <c r="K88" s="375">
        <v>26678.26958</v>
      </c>
      <c r="L88" s="375">
        <v>26301.29435</v>
      </c>
      <c r="M88" s="375">
        <v>495266.52674</v>
      </c>
      <c r="N88" s="372">
        <v>1.032</v>
      </c>
      <c r="O88" s="704">
        <v>3.0366659353709422</v>
      </c>
      <c r="P88" s="375" t="s">
        <v>619</v>
      </c>
      <c r="Q88" s="375" t="s">
        <v>619</v>
      </c>
      <c r="R88" s="696">
        <v>19870928</v>
      </c>
      <c r="S88" s="375" t="s">
        <v>1355</v>
      </c>
      <c r="T88" s="697">
        <v>0.23100000000000001</v>
      </c>
      <c r="U88" s="375" t="s">
        <v>1356</v>
      </c>
      <c r="V88" s="722">
        <v>0</v>
      </c>
      <c r="W88" s="722">
        <v>0</v>
      </c>
      <c r="X88" s="722">
        <v>0</v>
      </c>
      <c r="Y88" s="722">
        <v>0</v>
      </c>
      <c r="Z88" s="382" t="s">
        <v>924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1357</v>
      </c>
      <c r="B89" s="373" t="s">
        <v>1358</v>
      </c>
      <c r="C89" s="372" t="s">
        <v>1359</v>
      </c>
      <c r="D89" s="374">
        <v>1101113045112</v>
      </c>
      <c r="E89" s="372" t="s">
        <v>1360</v>
      </c>
      <c r="F89" s="372" t="s">
        <v>890</v>
      </c>
      <c r="G89" s="375" t="s">
        <v>891</v>
      </c>
      <c r="H89" s="375" t="s">
        <v>852</v>
      </c>
      <c r="I89" s="375" t="s">
        <v>751</v>
      </c>
      <c r="J89" s="375">
        <v>25449432</v>
      </c>
      <c r="K89" s="375">
        <v>3141361</v>
      </c>
      <c r="L89" s="375">
        <v>2845677</v>
      </c>
      <c r="M89" s="375">
        <v>18177218</v>
      </c>
      <c r="N89" s="372">
        <v>0.85599999999999998</v>
      </c>
      <c r="O89" s="704">
        <v>296.37837679230279</v>
      </c>
      <c r="P89" s="375" t="s">
        <v>619</v>
      </c>
      <c r="Q89" s="375" t="s">
        <v>619</v>
      </c>
      <c r="R89" s="696">
        <v>20040805</v>
      </c>
      <c r="S89" s="375" t="s">
        <v>1361</v>
      </c>
      <c r="T89" s="697">
        <v>0.26400000000000001</v>
      </c>
      <c r="U89" s="372" t="s">
        <v>1362</v>
      </c>
      <c r="V89" s="722">
        <v>5.46</v>
      </c>
      <c r="W89" s="722">
        <v>0.28999999999999998</v>
      </c>
      <c r="X89" s="722">
        <v>0.16</v>
      </c>
      <c r="Y89" s="722">
        <v>6.02</v>
      </c>
      <c r="Z89" s="382">
        <v>5.7520183183148443E-3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254882.13</v>
      </c>
      <c r="AF89" s="372">
        <v>259994</v>
      </c>
      <c r="AG89" s="372">
        <v>265813.86</v>
      </c>
      <c r="AH89" s="372">
        <v>0</v>
      </c>
    </row>
    <row r="90" spans="1:34">
      <c r="A90" s="372" t="s">
        <v>1363</v>
      </c>
      <c r="B90" s="373" t="s">
        <v>1364</v>
      </c>
      <c r="C90" s="372" t="s">
        <v>1365</v>
      </c>
      <c r="D90" s="374">
        <v>1101111935638</v>
      </c>
      <c r="E90" s="372" t="s">
        <v>1366</v>
      </c>
      <c r="F90" s="372" t="s">
        <v>1367</v>
      </c>
      <c r="G90" s="375" t="s">
        <v>1367</v>
      </c>
      <c r="H90" s="375" t="s">
        <v>814</v>
      </c>
      <c r="I90" s="375" t="s">
        <v>751</v>
      </c>
      <c r="J90" s="375">
        <v>3453392.9210000001</v>
      </c>
      <c r="K90" s="375">
        <v>204646.54699999999</v>
      </c>
      <c r="L90" s="375">
        <v>206122.20199999999</v>
      </c>
      <c r="M90" s="375">
        <v>1680449.9839999999</v>
      </c>
      <c r="N90" s="372">
        <v>0.94099999999999995</v>
      </c>
      <c r="O90" s="704">
        <v>5.7401716778787435</v>
      </c>
      <c r="P90" s="375" t="s">
        <v>619</v>
      </c>
      <c r="Q90" s="375" t="s">
        <v>619</v>
      </c>
      <c r="R90" s="696">
        <v>20190328</v>
      </c>
      <c r="S90" s="375" t="s">
        <v>1368</v>
      </c>
      <c r="T90" s="697">
        <v>0.23100000000000001</v>
      </c>
      <c r="U90" s="375" t="s">
        <v>1369</v>
      </c>
      <c r="V90" s="722">
        <v>12.58</v>
      </c>
      <c r="W90" s="722">
        <v>2.57</v>
      </c>
      <c r="X90" s="722">
        <v>1.24</v>
      </c>
      <c r="Y90" s="722">
        <v>27.89</v>
      </c>
      <c r="Z90" s="382">
        <v>0.10307203809787069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35589.56</v>
      </c>
      <c r="AF90" s="372">
        <v>40360.559999999998</v>
      </c>
      <c r="AG90" s="372">
        <v>45378.29</v>
      </c>
      <c r="AH90" s="372">
        <v>0</v>
      </c>
    </row>
    <row r="91" spans="1:34">
      <c r="A91" s="372" t="s">
        <v>1370</v>
      </c>
      <c r="B91" s="373" t="s">
        <v>1371</v>
      </c>
      <c r="C91" s="372" t="s">
        <v>1372</v>
      </c>
      <c r="D91" s="374">
        <v>1348110401886</v>
      </c>
      <c r="E91" s="372" t="s">
        <v>1373</v>
      </c>
      <c r="F91" s="375" t="s">
        <v>1182</v>
      </c>
      <c r="G91" s="375" t="s">
        <v>1183</v>
      </c>
      <c r="H91" s="375" t="s">
        <v>858</v>
      </c>
      <c r="I91" s="375" t="s">
        <v>859</v>
      </c>
      <c r="J91" s="375">
        <v>145259.63029999999</v>
      </c>
      <c r="K91" s="375">
        <v>70302.022490000003</v>
      </c>
      <c r="L91" s="375">
        <v>78623.049790000005</v>
      </c>
      <c r="M91" s="375">
        <v>241763.61311999999</v>
      </c>
      <c r="N91" s="372">
        <v>1.2529999999999999</v>
      </c>
      <c r="O91" s="704">
        <v>6.1029736878369031E-2</v>
      </c>
      <c r="P91" s="375" t="s">
        <v>619</v>
      </c>
      <c r="Q91" s="375" t="s">
        <v>619</v>
      </c>
      <c r="R91" s="696">
        <v>20220715</v>
      </c>
      <c r="S91" s="375" t="s">
        <v>1375</v>
      </c>
      <c r="T91" s="697">
        <v>0.23100000000000001</v>
      </c>
      <c r="U91" s="375" t="s">
        <v>1376</v>
      </c>
      <c r="V91" s="722">
        <v>0</v>
      </c>
      <c r="W91" s="722">
        <v>0</v>
      </c>
      <c r="X91" s="722">
        <v>0</v>
      </c>
      <c r="Y91" s="722">
        <v>0</v>
      </c>
      <c r="Z91" s="382" t="s">
        <v>924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1377</v>
      </c>
      <c r="B92" s="373" t="s">
        <v>1378</v>
      </c>
      <c r="C92" s="372" t="s">
        <v>1379</v>
      </c>
      <c r="D92" s="374">
        <v>1101110007909</v>
      </c>
      <c r="E92" s="372" t="s">
        <v>1380</v>
      </c>
      <c r="F92" s="375" t="s">
        <v>1381</v>
      </c>
      <c r="G92" s="375" t="s">
        <v>1382</v>
      </c>
      <c r="H92" s="375" t="s">
        <v>1383</v>
      </c>
      <c r="I92" s="375" t="s">
        <v>751</v>
      </c>
      <c r="J92" s="375">
        <v>34021787</v>
      </c>
      <c r="K92" s="375">
        <v>657005</v>
      </c>
      <c r="L92" s="375">
        <v>831713</v>
      </c>
      <c r="M92" s="375">
        <v>10756374</v>
      </c>
      <c r="N92" s="372">
        <v>0.84299999999999997</v>
      </c>
      <c r="O92" s="704">
        <v>86.900204131123516</v>
      </c>
      <c r="P92" s="375" t="s">
        <v>619</v>
      </c>
      <c r="Q92" s="375" t="s">
        <v>619</v>
      </c>
      <c r="R92" s="696">
        <v>19841222</v>
      </c>
      <c r="S92" s="375" t="s">
        <v>1384</v>
      </c>
      <c r="T92" s="697">
        <v>0.26400000000000001</v>
      </c>
      <c r="U92" s="375" t="s">
        <v>1385</v>
      </c>
      <c r="V92" s="722">
        <v>6.72</v>
      </c>
      <c r="W92" s="722">
        <v>0.41</v>
      </c>
      <c r="X92" s="722">
        <v>0.1</v>
      </c>
      <c r="Y92" s="722">
        <v>7.95</v>
      </c>
      <c r="Z92" s="382">
        <v>1.1431414205725465E-2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336868.21</v>
      </c>
      <c r="AF92" s="372">
        <v>313219.53000000003</v>
      </c>
      <c r="AG92" s="372">
        <v>310306.11</v>
      </c>
      <c r="AH92" s="372">
        <v>0</v>
      </c>
    </row>
    <row r="93" spans="1:34">
      <c r="A93" s="372" t="s">
        <v>1386</v>
      </c>
      <c r="B93" s="373" t="s">
        <v>1387</v>
      </c>
      <c r="C93" s="372" t="s">
        <v>1388</v>
      </c>
      <c r="D93" s="374">
        <v>1101110346901</v>
      </c>
      <c r="E93" s="372" t="s">
        <v>1389</v>
      </c>
      <c r="F93" s="375" t="s">
        <v>1390</v>
      </c>
      <c r="G93" s="375" t="s">
        <v>1391</v>
      </c>
      <c r="H93" s="375" t="s">
        <v>852</v>
      </c>
      <c r="I93" s="375" t="s">
        <v>751</v>
      </c>
      <c r="J93" s="375">
        <v>0</v>
      </c>
      <c r="K93" s="375">
        <v>0</v>
      </c>
      <c r="L93" s="375">
        <v>0</v>
      </c>
      <c r="M93" s="375">
        <v>0</v>
      </c>
      <c r="N93" s="372">
        <v>0.52800000000000002</v>
      </c>
      <c r="O93" s="704" t="s">
        <v>16298</v>
      </c>
      <c r="P93" s="375" t="s">
        <v>619</v>
      </c>
      <c r="Q93" s="375" t="s">
        <v>619</v>
      </c>
      <c r="R93" s="696">
        <v>20070627</v>
      </c>
      <c r="S93" s="375" t="s">
        <v>1392</v>
      </c>
      <c r="T93" s="697" t="s">
        <v>768</v>
      </c>
      <c r="U93" s="375" t="s">
        <v>1393</v>
      </c>
      <c r="V93" s="722">
        <v>0</v>
      </c>
      <c r="W93" s="722">
        <v>0</v>
      </c>
      <c r="X93" s="722">
        <v>0</v>
      </c>
      <c r="Y93" s="722">
        <v>0</v>
      </c>
      <c r="Z93" s="382">
        <v>0.12566977829379367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41138.57</v>
      </c>
      <c r="AF93" s="372">
        <v>42206.67</v>
      </c>
      <c r="AG93" s="372">
        <v>43521.67</v>
      </c>
      <c r="AH93" s="372">
        <v>0</v>
      </c>
    </row>
    <row r="94" spans="1:34">
      <c r="A94" s="372" t="s">
        <v>1394</v>
      </c>
      <c r="B94" s="373" t="s">
        <v>1395</v>
      </c>
      <c r="C94" s="372" t="s">
        <v>1396</v>
      </c>
      <c r="D94" s="374">
        <v>1101110205975</v>
      </c>
      <c r="E94" s="372" t="s">
        <v>1397</v>
      </c>
      <c r="F94" s="375" t="s">
        <v>1300</v>
      </c>
      <c r="G94" s="375" t="s">
        <v>1300</v>
      </c>
      <c r="H94" s="375" t="s">
        <v>823</v>
      </c>
      <c r="I94" s="375" t="s">
        <v>751</v>
      </c>
      <c r="J94" s="375">
        <v>6863993.0290900003</v>
      </c>
      <c r="K94" s="375">
        <v>297976.0098</v>
      </c>
      <c r="L94" s="375">
        <v>392788.87404999998</v>
      </c>
      <c r="M94" s="375">
        <v>5974015.2291599996</v>
      </c>
      <c r="N94" s="372">
        <v>1.054</v>
      </c>
      <c r="O94" s="704">
        <v>29.129312173969012</v>
      </c>
      <c r="P94" s="375" t="s">
        <v>619</v>
      </c>
      <c r="Q94" s="372" t="s">
        <v>619</v>
      </c>
      <c r="R94" s="696">
        <v>19880122</v>
      </c>
      <c r="S94" s="375" t="s">
        <v>1398</v>
      </c>
      <c r="T94" s="697">
        <v>0.26400000000000001</v>
      </c>
      <c r="U94" s="375" t="s">
        <v>1399</v>
      </c>
      <c r="V94" s="722">
        <v>8.61</v>
      </c>
      <c r="W94" s="722">
        <v>0.8</v>
      </c>
      <c r="X94" s="722">
        <v>0.72</v>
      </c>
      <c r="Y94" s="722">
        <v>12.99</v>
      </c>
      <c r="Z94" s="382">
        <v>5.2886122029583094E-2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71695.679999999993</v>
      </c>
      <c r="AF94" s="372">
        <v>75701.259999999995</v>
      </c>
      <c r="AG94" s="372">
        <v>77699.17</v>
      </c>
      <c r="AH94" s="372">
        <v>75420</v>
      </c>
    </row>
    <row r="95" spans="1:34">
      <c r="A95" s="372" t="s">
        <v>1400</v>
      </c>
      <c r="B95" s="373" t="s">
        <v>1401</v>
      </c>
      <c r="C95" s="372" t="s">
        <v>1402</v>
      </c>
      <c r="D95" s="374">
        <v>1101116417805</v>
      </c>
      <c r="E95" s="372" t="s">
        <v>1403</v>
      </c>
      <c r="F95" s="375" t="s">
        <v>2219</v>
      </c>
      <c r="G95" s="375" t="s">
        <v>2219</v>
      </c>
      <c r="H95" s="375" t="s">
        <v>1313</v>
      </c>
      <c r="I95" s="375" t="s">
        <v>751</v>
      </c>
      <c r="J95" s="375">
        <v>3010891.7949600001</v>
      </c>
      <c r="K95" s="375">
        <v>524259.14935999998</v>
      </c>
      <c r="L95" s="375">
        <v>528698.00619999995</v>
      </c>
      <c r="M95" s="375">
        <v>3244120.2892900002</v>
      </c>
      <c r="N95" s="372">
        <v>0.42299999999999999</v>
      </c>
      <c r="O95" s="704">
        <v>0.514880453217061</v>
      </c>
      <c r="P95" s="375" t="s">
        <v>619</v>
      </c>
      <c r="Q95" s="375" t="s">
        <v>619</v>
      </c>
      <c r="R95" s="696">
        <v>20170707</v>
      </c>
      <c r="S95" s="375" t="s">
        <v>1405</v>
      </c>
      <c r="T95" s="697">
        <v>0.26400000000000001</v>
      </c>
      <c r="U95" s="375" t="s">
        <v>1406</v>
      </c>
      <c r="V95" s="722">
        <v>5.8</v>
      </c>
      <c r="W95" s="722">
        <v>1.23</v>
      </c>
      <c r="X95" s="722">
        <v>1.28</v>
      </c>
      <c r="Y95" s="722">
        <v>10.050000000000001</v>
      </c>
      <c r="Z95" s="382">
        <v>4.4597392391060087E-2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30979.15</v>
      </c>
      <c r="AF95" s="372">
        <v>32638.62</v>
      </c>
      <c r="AG95" s="372">
        <v>34676.92</v>
      </c>
      <c r="AH95" s="372">
        <v>0</v>
      </c>
    </row>
    <row r="96" spans="1:34">
      <c r="A96" s="372" t="s">
        <v>1407</v>
      </c>
      <c r="B96" s="373" t="s">
        <v>1408</v>
      </c>
      <c r="C96" s="372" t="s">
        <v>1409</v>
      </c>
      <c r="D96" s="374">
        <v>1101116363850</v>
      </c>
      <c r="E96" s="372" t="s">
        <v>1410</v>
      </c>
      <c r="F96" s="372" t="s">
        <v>1411</v>
      </c>
      <c r="G96" s="375" t="s">
        <v>1411</v>
      </c>
      <c r="H96" s="375" t="s">
        <v>750</v>
      </c>
      <c r="I96" s="375" t="s">
        <v>751</v>
      </c>
      <c r="J96" s="375">
        <v>3303943.2068599998</v>
      </c>
      <c r="K96" s="375">
        <v>627291.99876999995</v>
      </c>
      <c r="L96" s="375">
        <v>643536.27798000001</v>
      </c>
      <c r="M96" s="375">
        <v>1396852.10668</v>
      </c>
      <c r="N96" s="372">
        <v>0.65800000000000003</v>
      </c>
      <c r="O96" s="704">
        <v>3.6152039977981762</v>
      </c>
      <c r="P96" s="375" t="s">
        <v>619</v>
      </c>
      <c r="Q96" s="375" t="s">
        <v>619</v>
      </c>
      <c r="R96" s="696">
        <v>20170510</v>
      </c>
      <c r="S96" s="375" t="s">
        <v>1412</v>
      </c>
      <c r="T96" s="697">
        <v>0.26400000000000001</v>
      </c>
      <c r="U96" s="375" t="s">
        <v>15822</v>
      </c>
      <c r="V96" s="722">
        <v>17.329999999999998</v>
      </c>
      <c r="W96" s="722">
        <v>8.4600000000000009</v>
      </c>
      <c r="X96" s="722">
        <v>3.59</v>
      </c>
      <c r="Y96" s="722">
        <v>23.24</v>
      </c>
      <c r="Z96" s="382">
        <v>0.1478421948676647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35153.07</v>
      </c>
      <c r="AF96" s="372">
        <v>41170.33</v>
      </c>
      <c r="AG96" s="372">
        <v>46918.33</v>
      </c>
      <c r="AH96" s="372">
        <v>52810</v>
      </c>
    </row>
    <row r="97" spans="1:34">
      <c r="A97" s="372" t="s">
        <v>1413</v>
      </c>
      <c r="B97" s="373" t="s">
        <v>1414</v>
      </c>
      <c r="C97" s="372" t="s">
        <v>1415</v>
      </c>
      <c r="D97" s="374">
        <v>1101110098130</v>
      </c>
      <c r="E97" s="372" t="s">
        <v>1416</v>
      </c>
      <c r="F97" s="372" t="s">
        <v>1259</v>
      </c>
      <c r="G97" s="375" t="s">
        <v>1260</v>
      </c>
      <c r="H97" s="375" t="s">
        <v>1261</v>
      </c>
      <c r="I97" s="375" t="s">
        <v>751</v>
      </c>
      <c r="J97" s="375">
        <v>1936901</v>
      </c>
      <c r="K97" s="375">
        <v>869298</v>
      </c>
      <c r="L97" s="375">
        <v>893600</v>
      </c>
      <c r="M97" s="375">
        <v>7899045</v>
      </c>
      <c r="N97" s="372">
        <v>0.77900000000000003</v>
      </c>
      <c r="O97" s="704">
        <v>614.87735608648029</v>
      </c>
      <c r="P97" s="375" t="s">
        <v>619</v>
      </c>
      <c r="Q97" s="375" t="s">
        <v>619</v>
      </c>
      <c r="R97" s="696">
        <v>19750930</v>
      </c>
      <c r="S97" s="375" t="s">
        <v>1417</v>
      </c>
      <c r="T97" s="697">
        <v>0.26400000000000001</v>
      </c>
      <c r="U97" s="375" t="s">
        <v>1418</v>
      </c>
      <c r="V97" s="722">
        <v>0</v>
      </c>
      <c r="W97" s="722">
        <v>0.59</v>
      </c>
      <c r="X97" s="722">
        <v>0.47</v>
      </c>
      <c r="Y97" s="722">
        <v>7.03</v>
      </c>
      <c r="Z97" s="382">
        <v>7.1578185306586439E-2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20142.830000000002</v>
      </c>
      <c r="AF97" s="372">
        <v>20954.25</v>
      </c>
      <c r="AG97" s="372">
        <v>22131.5</v>
      </c>
      <c r="AH97" s="372">
        <v>0</v>
      </c>
    </row>
    <row r="98" spans="1:34">
      <c r="A98" s="372" t="s">
        <v>1419</v>
      </c>
      <c r="B98" s="373" t="s">
        <v>1420</v>
      </c>
      <c r="C98" s="372" t="s">
        <v>1421</v>
      </c>
      <c r="D98" s="374">
        <v>1101112691651</v>
      </c>
      <c r="E98" s="372" t="s">
        <v>1422</v>
      </c>
      <c r="F98" s="375" t="s">
        <v>850</v>
      </c>
      <c r="G98" s="375" t="s">
        <v>851</v>
      </c>
      <c r="H98" s="375" t="s">
        <v>852</v>
      </c>
      <c r="I98" s="375" t="s">
        <v>751</v>
      </c>
      <c r="J98" s="375">
        <v>0</v>
      </c>
      <c r="K98" s="375">
        <v>0</v>
      </c>
      <c r="L98" s="375">
        <v>0</v>
      </c>
      <c r="M98" s="375">
        <v>0</v>
      </c>
      <c r="N98" s="372">
        <v>1.2470000000000001</v>
      </c>
      <c r="O98" s="704" t="s">
        <v>16298</v>
      </c>
      <c r="P98" s="375" t="s">
        <v>619</v>
      </c>
      <c r="Q98" s="375" t="s">
        <v>619</v>
      </c>
      <c r="R98" s="696">
        <v>20030721</v>
      </c>
      <c r="S98" s="375" t="s">
        <v>866</v>
      </c>
      <c r="T98" s="697" t="s">
        <v>768</v>
      </c>
      <c r="U98" s="375" t="s">
        <v>1423</v>
      </c>
      <c r="V98" s="722">
        <v>0</v>
      </c>
      <c r="W98" s="722">
        <v>0</v>
      </c>
      <c r="X98" s="722">
        <v>0</v>
      </c>
      <c r="Y98" s="722">
        <v>0</v>
      </c>
      <c r="Z98" s="382">
        <v>9.7750416217621261E-3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35830</v>
      </c>
      <c r="AF98" s="372">
        <v>33556.67</v>
      </c>
      <c r="AG98" s="372">
        <v>34023.33</v>
      </c>
      <c r="AH98" s="372">
        <v>0</v>
      </c>
    </row>
    <row r="99" spans="1:34">
      <c r="A99" s="372" t="s">
        <v>1424</v>
      </c>
      <c r="B99" s="373" t="s">
        <v>1425</v>
      </c>
      <c r="C99" s="372" t="s">
        <v>1426</v>
      </c>
      <c r="D99" s="374">
        <v>1347110002206</v>
      </c>
      <c r="E99" s="372" t="s">
        <v>1427</v>
      </c>
      <c r="F99" s="375" t="s">
        <v>1428</v>
      </c>
      <c r="G99" s="375" t="s">
        <v>16104</v>
      </c>
      <c r="H99" s="375" t="s">
        <v>1040</v>
      </c>
      <c r="I99" s="375" t="s">
        <v>751</v>
      </c>
      <c r="J99" s="375">
        <v>9942910.6548200008</v>
      </c>
      <c r="K99" s="375">
        <v>285114.29498000001</v>
      </c>
      <c r="L99" s="375">
        <v>-49996.219080000003</v>
      </c>
      <c r="M99" s="375">
        <v>2537826.46551</v>
      </c>
      <c r="N99" s="372">
        <v>0.878</v>
      </c>
      <c r="O99" s="704">
        <v>209.85597497670892</v>
      </c>
      <c r="P99" s="375" t="s">
        <v>619</v>
      </c>
      <c r="Q99" s="375" t="s">
        <v>619</v>
      </c>
      <c r="R99" s="696">
        <v>19960731</v>
      </c>
      <c r="S99" s="375" t="s">
        <v>1429</v>
      </c>
      <c r="T99" s="697" t="s">
        <v>768</v>
      </c>
      <c r="U99" s="375" t="s">
        <v>1430</v>
      </c>
      <c r="V99" s="722">
        <v>6.58</v>
      </c>
      <c r="W99" s="722">
        <v>0.95</v>
      </c>
      <c r="X99" s="722">
        <v>0.23</v>
      </c>
      <c r="Y99" s="722" t="s">
        <v>770</v>
      </c>
      <c r="Z99" s="382">
        <v>3.9265097365975388E-2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99818.18</v>
      </c>
      <c r="AF99" s="372">
        <v>105313.55</v>
      </c>
      <c r="AG99" s="372">
        <v>111514.86</v>
      </c>
      <c r="AH99" s="372">
        <v>129950</v>
      </c>
    </row>
    <row r="100" spans="1:34">
      <c r="A100" s="372" t="s">
        <v>1431</v>
      </c>
      <c r="B100" s="373" t="s">
        <v>1432</v>
      </c>
      <c r="C100" s="372" t="s">
        <v>1433</v>
      </c>
      <c r="D100" s="374">
        <v>1101110335649</v>
      </c>
      <c r="E100" s="372" t="s">
        <v>1434</v>
      </c>
      <c r="F100" s="375" t="s">
        <v>1259</v>
      </c>
      <c r="G100" s="375" t="s">
        <v>1260</v>
      </c>
      <c r="H100" s="375" t="s">
        <v>1261</v>
      </c>
      <c r="I100" s="375" t="s">
        <v>751</v>
      </c>
      <c r="J100" s="375">
        <v>0</v>
      </c>
      <c r="K100" s="375">
        <v>0</v>
      </c>
      <c r="L100" s="375">
        <v>0</v>
      </c>
      <c r="M100" s="375">
        <v>0</v>
      </c>
      <c r="N100" s="372">
        <v>1.0309999999999999</v>
      </c>
      <c r="O100" s="704" t="s">
        <v>16298</v>
      </c>
      <c r="P100" s="375" t="s">
        <v>619</v>
      </c>
      <c r="Q100" s="372" t="s">
        <v>619</v>
      </c>
      <c r="R100" s="696">
        <v>19880328</v>
      </c>
      <c r="S100" s="372" t="s">
        <v>1435</v>
      </c>
      <c r="T100" s="697" t="s">
        <v>768</v>
      </c>
      <c r="U100" s="372" t="s">
        <v>1436</v>
      </c>
      <c r="V100" s="722">
        <v>0</v>
      </c>
      <c r="W100" s="722">
        <v>0</v>
      </c>
      <c r="X100" s="722">
        <v>0</v>
      </c>
      <c r="Y100" s="722">
        <v>0</v>
      </c>
      <c r="Z100" s="382">
        <v>8.379612962281624E-2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21931.83</v>
      </c>
      <c r="AF100" s="372">
        <v>21755.17</v>
      </c>
      <c r="AG100" s="372">
        <v>22724</v>
      </c>
      <c r="AH100" s="372">
        <v>0</v>
      </c>
    </row>
    <row r="101" spans="1:34">
      <c r="A101" s="372" t="s">
        <v>1437</v>
      </c>
      <c r="B101" s="373" t="s">
        <v>1438</v>
      </c>
      <c r="C101" s="372" t="s">
        <v>1439</v>
      </c>
      <c r="D101" s="374">
        <v>1449110001666</v>
      </c>
      <c r="E101" s="372" t="s">
        <v>1440</v>
      </c>
      <c r="F101" s="375" t="s">
        <v>1441</v>
      </c>
      <c r="G101" s="375" t="s">
        <v>1442</v>
      </c>
      <c r="H101" s="375" t="s">
        <v>814</v>
      </c>
      <c r="I101" s="375" t="s">
        <v>751</v>
      </c>
      <c r="J101" s="375">
        <v>1407603.6173099999</v>
      </c>
      <c r="K101" s="375">
        <v>281821.68858000002</v>
      </c>
      <c r="L101" s="375">
        <v>530140.27841000003</v>
      </c>
      <c r="M101" s="375">
        <v>3819295.8376799999</v>
      </c>
      <c r="N101" s="372">
        <v>0.70199999999999996</v>
      </c>
      <c r="O101" s="704">
        <v>1.6353790175756433</v>
      </c>
      <c r="P101" s="375" t="s">
        <v>619</v>
      </c>
      <c r="Q101" s="375" t="s">
        <v>619</v>
      </c>
      <c r="R101" s="696">
        <v>20011023</v>
      </c>
      <c r="S101" s="375" t="s">
        <v>1443</v>
      </c>
      <c r="T101" s="697">
        <v>0.26400000000000001</v>
      </c>
      <c r="U101" s="375" t="s">
        <v>1444</v>
      </c>
      <c r="V101" s="722">
        <v>10.1</v>
      </c>
      <c r="W101" s="722">
        <v>0.91</v>
      </c>
      <c r="X101" s="722">
        <v>2.58</v>
      </c>
      <c r="Y101" s="722">
        <v>8.68</v>
      </c>
      <c r="Z101" s="382">
        <v>1.9941226061231054E-2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14201.2</v>
      </c>
      <c r="AF101" s="372">
        <v>14639.8</v>
      </c>
      <c r="AG101" s="372">
        <v>15026.89</v>
      </c>
      <c r="AH101" s="372">
        <v>15210</v>
      </c>
    </row>
    <row r="102" spans="1:34">
      <c r="A102" s="372" t="s">
        <v>1445</v>
      </c>
      <c r="B102" s="373" t="s">
        <v>1446</v>
      </c>
      <c r="C102" s="372" t="s">
        <v>1447</v>
      </c>
      <c r="D102" s="374">
        <v>1801110220664</v>
      </c>
      <c r="E102" s="372" t="s">
        <v>1448</v>
      </c>
      <c r="F102" s="375" t="s">
        <v>1273</v>
      </c>
      <c r="G102" s="375" t="s">
        <v>1449</v>
      </c>
      <c r="H102" s="375" t="s">
        <v>858</v>
      </c>
      <c r="I102" s="375" t="s">
        <v>859</v>
      </c>
      <c r="J102" s="375">
        <v>252719.93760999999</v>
      </c>
      <c r="K102" s="375">
        <v>117410.90873</v>
      </c>
      <c r="L102" s="375">
        <v>131450.96535000001</v>
      </c>
      <c r="M102" s="375">
        <v>586661.40813</v>
      </c>
      <c r="N102" s="372">
        <v>0.78200000000000003</v>
      </c>
      <c r="O102" s="704">
        <v>6.2739672853307383E-3</v>
      </c>
      <c r="P102" s="375" t="s">
        <v>619</v>
      </c>
      <c r="Q102" s="375" t="s">
        <v>619</v>
      </c>
      <c r="R102" s="696">
        <v>20011214</v>
      </c>
      <c r="S102" s="375" t="s">
        <v>1450</v>
      </c>
      <c r="T102" s="697">
        <v>0.23100000000000001</v>
      </c>
      <c r="U102" s="375" t="s">
        <v>1451</v>
      </c>
      <c r="V102" s="722">
        <v>0</v>
      </c>
      <c r="W102" s="722">
        <v>0</v>
      </c>
      <c r="X102" s="722">
        <v>0</v>
      </c>
      <c r="Y102" s="722">
        <v>0</v>
      </c>
      <c r="Z102" s="382" t="s">
        <v>924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1452</v>
      </c>
      <c r="B103" s="373" t="s">
        <v>1453</v>
      </c>
      <c r="C103" s="372" t="s">
        <v>1454</v>
      </c>
      <c r="D103" s="374">
        <v>1101110006167</v>
      </c>
      <c r="E103" s="372" t="s">
        <v>1455</v>
      </c>
      <c r="F103" s="375" t="s">
        <v>1456</v>
      </c>
      <c r="G103" s="375" t="s">
        <v>1456</v>
      </c>
      <c r="H103" s="375" t="s">
        <v>906</v>
      </c>
      <c r="I103" s="375" t="s">
        <v>751</v>
      </c>
      <c r="J103" s="375">
        <v>12016991.945080001</v>
      </c>
      <c r="K103" s="375">
        <v>520349.88332999998</v>
      </c>
      <c r="L103" s="375">
        <v>343578.44099999999</v>
      </c>
      <c r="M103" s="375">
        <v>4009264.44312</v>
      </c>
      <c r="N103" s="372">
        <v>0.53700000000000003</v>
      </c>
      <c r="O103" s="704">
        <v>197.37204565101666</v>
      </c>
      <c r="P103" s="375" t="s">
        <v>619</v>
      </c>
      <c r="Q103" s="375" t="s">
        <v>619</v>
      </c>
      <c r="R103" s="696">
        <v>19560702</v>
      </c>
      <c r="S103" s="375" t="s">
        <v>1457</v>
      </c>
      <c r="T103" s="697">
        <v>0.26400000000000001</v>
      </c>
      <c r="U103" s="375" t="s">
        <v>1458</v>
      </c>
      <c r="V103" s="722">
        <v>5</v>
      </c>
      <c r="W103" s="722">
        <v>0.56000000000000005</v>
      </c>
      <c r="X103" s="722">
        <v>0.18</v>
      </c>
      <c r="Y103" s="722">
        <v>9.2100000000000009</v>
      </c>
      <c r="Z103" s="382">
        <v>2.9362193601186748E-2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121909.92</v>
      </c>
      <c r="AF103" s="372">
        <v>127471.67</v>
      </c>
      <c r="AG103" s="372">
        <v>132120.92000000001</v>
      </c>
      <c r="AH103" s="372">
        <v>143430</v>
      </c>
    </row>
    <row r="104" spans="1:34">
      <c r="A104" s="372" t="s">
        <v>1459</v>
      </c>
      <c r="B104" s="373" t="s">
        <v>1460</v>
      </c>
      <c r="C104" s="372" t="s">
        <v>1461</v>
      </c>
      <c r="D104" s="374">
        <v>1101110037823</v>
      </c>
      <c r="E104" s="372" t="s">
        <v>1462</v>
      </c>
      <c r="F104" s="375" t="s">
        <v>1463</v>
      </c>
      <c r="G104" s="375" t="s">
        <v>1464</v>
      </c>
      <c r="H104" s="375" t="s">
        <v>1465</v>
      </c>
      <c r="I104" s="375" t="s">
        <v>4410</v>
      </c>
      <c r="J104" s="375">
        <v>1696803.19937</v>
      </c>
      <c r="K104" s="375">
        <v>196268.39025999999</v>
      </c>
      <c r="L104" s="375">
        <v>121127.52626</v>
      </c>
      <c r="M104" s="375">
        <v>1247337.0187299999</v>
      </c>
      <c r="N104" s="372" t="s">
        <v>1023</v>
      </c>
      <c r="O104" s="704" t="e">
        <v>#DIV/0!</v>
      </c>
      <c r="P104" s="375" t="s">
        <v>619</v>
      </c>
      <c r="Q104" s="375" t="s">
        <v>619</v>
      </c>
      <c r="R104" s="696">
        <v>19750503</v>
      </c>
      <c r="S104" s="375" t="e">
        <v>#N/A</v>
      </c>
      <c r="T104" s="697">
        <v>0.23100000000000001</v>
      </c>
      <c r="U104" s="375" t="s">
        <v>1466</v>
      </c>
      <c r="V104" s="722">
        <v>9.2200000000000006</v>
      </c>
      <c r="W104" s="722">
        <v>2.4900000000000002</v>
      </c>
      <c r="X104" s="722">
        <v>0</v>
      </c>
      <c r="Y104" s="722">
        <v>0</v>
      </c>
      <c r="Z104" s="382" t="s">
        <v>924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18534</v>
      </c>
      <c r="AF104" s="372">
        <v>19345.669999999998</v>
      </c>
      <c r="AG104" s="372">
        <v>0</v>
      </c>
      <c r="AH104" s="372">
        <v>0</v>
      </c>
    </row>
    <row r="105" spans="1:34">
      <c r="A105" s="372" t="s">
        <v>1467</v>
      </c>
      <c r="B105" s="373" t="s">
        <v>1468</v>
      </c>
      <c r="C105" s="372" t="s">
        <v>1469</v>
      </c>
      <c r="D105" s="374">
        <v>1101110076300</v>
      </c>
      <c r="E105" s="372" t="s">
        <v>1470</v>
      </c>
      <c r="F105" s="375" t="s">
        <v>890</v>
      </c>
      <c r="G105" s="375" t="s">
        <v>891</v>
      </c>
      <c r="H105" s="375" t="s">
        <v>852</v>
      </c>
      <c r="I105" s="375" t="s">
        <v>751</v>
      </c>
      <c r="J105" s="375">
        <v>15826886.49619</v>
      </c>
      <c r="K105" s="375">
        <v>427941.92155000003</v>
      </c>
      <c r="L105" s="375">
        <v>-160818.44532</v>
      </c>
      <c r="M105" s="375">
        <v>9816253.1374699995</v>
      </c>
      <c r="N105" s="372">
        <v>0.90600000000000003</v>
      </c>
      <c r="O105" s="704">
        <v>535.20252867144529</v>
      </c>
      <c r="P105" s="375" t="s">
        <v>619</v>
      </c>
      <c r="Q105" s="375" t="s">
        <v>619</v>
      </c>
      <c r="R105" s="696">
        <v>19740216</v>
      </c>
      <c r="S105" s="375" t="s">
        <v>851</v>
      </c>
      <c r="T105" s="697" t="s">
        <v>768</v>
      </c>
      <c r="U105" s="375" t="s">
        <v>1471</v>
      </c>
      <c r="V105" s="722">
        <v>9.07</v>
      </c>
      <c r="W105" s="722">
        <v>0.3</v>
      </c>
      <c r="X105" s="722">
        <v>0.16</v>
      </c>
      <c r="Y105" s="722" t="s">
        <v>770</v>
      </c>
      <c r="Z105" s="382">
        <v>4.312139890600708E-2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163157.5</v>
      </c>
      <c r="AF105" s="372">
        <v>171650</v>
      </c>
      <c r="AG105" s="372">
        <v>179486.67</v>
      </c>
      <c r="AH105" s="372">
        <v>0</v>
      </c>
    </row>
    <row r="106" spans="1:34">
      <c r="A106" s="372" t="s">
        <v>1472</v>
      </c>
      <c r="B106" s="373" t="s">
        <v>1473</v>
      </c>
      <c r="C106" s="372" t="s">
        <v>1474</v>
      </c>
      <c r="D106" s="374">
        <v>1601110293889</v>
      </c>
      <c r="E106" s="372" t="s">
        <v>1475</v>
      </c>
      <c r="F106" s="375" t="s">
        <v>1287</v>
      </c>
      <c r="G106" s="375" t="s">
        <v>1287</v>
      </c>
      <c r="H106" s="375" t="s">
        <v>858</v>
      </c>
      <c r="I106" s="375" t="s">
        <v>859</v>
      </c>
      <c r="J106" s="375">
        <v>14429.033069999999</v>
      </c>
      <c r="K106" s="375">
        <v>-25864.956399999999</v>
      </c>
      <c r="L106" s="375">
        <v>-23015.39804</v>
      </c>
      <c r="M106" s="375">
        <v>129521.18239</v>
      </c>
      <c r="N106" s="372">
        <v>1.36</v>
      </c>
      <c r="O106" s="704">
        <v>8.6237765666288147E-3</v>
      </c>
      <c r="P106" s="375" t="s">
        <v>619</v>
      </c>
      <c r="Q106" s="375" t="s">
        <v>619</v>
      </c>
      <c r="R106" s="696">
        <v>20210203</v>
      </c>
      <c r="S106" s="375" t="s">
        <v>1476</v>
      </c>
      <c r="T106" s="697" t="s">
        <v>768</v>
      </c>
      <c r="U106" s="372" t="s">
        <v>1477</v>
      </c>
      <c r="V106" s="722" t="s">
        <v>770</v>
      </c>
      <c r="W106" s="722">
        <v>20.95</v>
      </c>
      <c r="X106" s="722">
        <v>188.1</v>
      </c>
      <c r="Y106" s="722" t="s">
        <v>770</v>
      </c>
      <c r="Z106" s="382">
        <v>0.47043983663189937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175.67</v>
      </c>
      <c r="AF106" s="372">
        <v>365.67</v>
      </c>
      <c r="AG106" s="372">
        <v>713.33</v>
      </c>
      <c r="AH106" s="372">
        <v>1025</v>
      </c>
    </row>
    <row r="107" spans="1:34">
      <c r="A107" s="372" t="s">
        <v>1478</v>
      </c>
      <c r="B107" s="373" t="s">
        <v>1479</v>
      </c>
      <c r="C107" s="372" t="s">
        <v>1480</v>
      </c>
      <c r="D107" s="374">
        <v>1942110036336</v>
      </c>
      <c r="E107" s="372" t="s">
        <v>1481</v>
      </c>
      <c r="F107" s="375" t="s">
        <v>1482</v>
      </c>
      <c r="G107" s="375" t="s">
        <v>1483</v>
      </c>
      <c r="H107" s="375" t="s">
        <v>789</v>
      </c>
      <c r="I107" s="375" t="s">
        <v>751</v>
      </c>
      <c r="J107" s="375">
        <v>3925005.798</v>
      </c>
      <c r="K107" s="375">
        <v>364660.83199999999</v>
      </c>
      <c r="L107" s="375">
        <v>383986.522</v>
      </c>
      <c r="M107" s="375">
        <v>1891930.169</v>
      </c>
      <c r="N107" s="372">
        <v>0.57099999999999995</v>
      </c>
      <c r="O107" s="704">
        <v>5.2574240611537482</v>
      </c>
      <c r="P107" s="375" t="s">
        <v>619</v>
      </c>
      <c r="Q107" s="375" t="s">
        <v>619</v>
      </c>
      <c r="R107" s="696">
        <v>20131030</v>
      </c>
      <c r="S107" s="375" t="s">
        <v>1484</v>
      </c>
      <c r="T107" s="697">
        <v>0.26400000000000001</v>
      </c>
      <c r="U107" s="375" t="s">
        <v>1485</v>
      </c>
      <c r="V107" s="722">
        <v>14.22</v>
      </c>
      <c r="W107" s="722">
        <v>3.04</v>
      </c>
      <c r="X107" s="722">
        <v>1.49</v>
      </c>
      <c r="Y107" s="722">
        <v>18.95</v>
      </c>
      <c r="Z107" s="382">
        <v>0.13696434615484443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42212.18</v>
      </c>
      <c r="AF107" s="372">
        <v>55164.41</v>
      </c>
      <c r="AG107" s="372">
        <v>59946.67</v>
      </c>
      <c r="AH107" s="372">
        <v>37270</v>
      </c>
    </row>
    <row r="108" spans="1:34">
      <c r="A108" s="372" t="s">
        <v>1486</v>
      </c>
      <c r="B108" s="373" t="s">
        <v>1487</v>
      </c>
      <c r="C108" s="372" t="s">
        <v>1488</v>
      </c>
      <c r="D108" s="374">
        <v>1301110001585</v>
      </c>
      <c r="E108" s="372" t="s">
        <v>1488</v>
      </c>
      <c r="F108" s="372" t="s">
        <v>1354</v>
      </c>
      <c r="G108" s="375" t="s">
        <v>1354</v>
      </c>
      <c r="H108" s="375" t="s">
        <v>823</v>
      </c>
      <c r="I108" s="375" t="s">
        <v>751</v>
      </c>
      <c r="J108" s="375">
        <v>1610024.0767399999</v>
      </c>
      <c r="K108" s="375">
        <v>-285931.91078999999</v>
      </c>
      <c r="L108" s="375">
        <v>-547186.15699000005</v>
      </c>
      <c r="M108" s="375">
        <v>2406357.8756200001</v>
      </c>
      <c r="N108" s="372">
        <v>1.357</v>
      </c>
      <c r="O108" s="704">
        <v>66.921008992257725</v>
      </c>
      <c r="P108" s="375" t="s">
        <v>619</v>
      </c>
      <c r="Q108" s="372" t="s">
        <v>619</v>
      </c>
      <c r="R108" s="696">
        <v>19970718</v>
      </c>
      <c r="S108" s="372" t="s">
        <v>16266</v>
      </c>
      <c r="T108" s="697" t="s">
        <v>768</v>
      </c>
      <c r="U108" s="375" t="s">
        <v>1489</v>
      </c>
      <c r="V108" s="722" t="s">
        <v>770</v>
      </c>
      <c r="W108" s="722">
        <v>3.5</v>
      </c>
      <c r="X108" s="722">
        <v>3.37</v>
      </c>
      <c r="Y108" s="722" t="s">
        <v>770</v>
      </c>
      <c r="Z108" s="382">
        <v>0.18381484961854033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18354.330000000002</v>
      </c>
      <c r="AF108" s="372">
        <v>24484</v>
      </c>
      <c r="AG108" s="372">
        <v>30849.11</v>
      </c>
      <c r="AH108" s="372">
        <v>0</v>
      </c>
    </row>
    <row r="109" spans="1:34">
      <c r="A109" s="372" t="s">
        <v>1490</v>
      </c>
      <c r="B109" s="373" t="s">
        <v>1491</v>
      </c>
      <c r="C109" s="372" t="s">
        <v>1492</v>
      </c>
      <c r="D109" s="374">
        <v>1101110035893</v>
      </c>
      <c r="E109" s="372" t="s">
        <v>1493</v>
      </c>
      <c r="F109" s="375" t="s">
        <v>955</v>
      </c>
      <c r="G109" s="375" t="s">
        <v>956</v>
      </c>
      <c r="H109" s="375" t="s">
        <v>930</v>
      </c>
      <c r="I109" s="375" t="s">
        <v>751</v>
      </c>
      <c r="J109" s="375">
        <v>13663694.509919999</v>
      </c>
      <c r="K109" s="375">
        <v>1201265.26501</v>
      </c>
      <c r="L109" s="375">
        <v>1173365.08152</v>
      </c>
      <c r="M109" s="375">
        <v>5308842.2472599996</v>
      </c>
      <c r="N109" s="372">
        <v>0.58299999999999996</v>
      </c>
      <c r="O109" s="704">
        <v>78.382909525388584</v>
      </c>
      <c r="P109" s="375" t="s">
        <v>619</v>
      </c>
      <c r="Q109" s="375" t="s">
        <v>619</v>
      </c>
      <c r="R109" s="696">
        <v>19890825</v>
      </c>
      <c r="S109" s="375" t="s">
        <v>1494</v>
      </c>
      <c r="T109" s="697">
        <v>0.26400000000000001</v>
      </c>
      <c r="U109" s="375" t="s">
        <v>1495</v>
      </c>
      <c r="V109" s="722">
        <v>0</v>
      </c>
      <c r="W109" s="722">
        <v>0.55000000000000004</v>
      </c>
      <c r="X109" s="722">
        <v>0.18</v>
      </c>
      <c r="Y109" s="722">
        <v>3.36</v>
      </c>
      <c r="Z109" s="382" t="s">
        <v>924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1496</v>
      </c>
      <c r="B110" s="373" t="s">
        <v>1497</v>
      </c>
      <c r="C110" s="372" t="s">
        <v>1498</v>
      </c>
      <c r="D110" s="374">
        <v>1760110020640</v>
      </c>
      <c r="E110" s="372" t="s">
        <v>1499</v>
      </c>
      <c r="F110" s="375" t="s">
        <v>1273</v>
      </c>
      <c r="G110" s="375" t="s">
        <v>1449</v>
      </c>
      <c r="H110" s="375" t="s">
        <v>750</v>
      </c>
      <c r="I110" s="375" t="s">
        <v>751</v>
      </c>
      <c r="J110" s="375">
        <v>2652954.6612</v>
      </c>
      <c r="K110" s="375">
        <v>187066.10581000001</v>
      </c>
      <c r="L110" s="375">
        <v>102316.29032</v>
      </c>
      <c r="M110" s="375">
        <v>2195843.2612999999</v>
      </c>
      <c r="N110" s="372">
        <v>1.012</v>
      </c>
      <c r="O110" s="704">
        <v>15.368194651228004</v>
      </c>
      <c r="P110" s="375" t="s">
        <v>619</v>
      </c>
      <c r="Q110" s="375" t="s">
        <v>619</v>
      </c>
      <c r="R110" s="696">
        <v>20191113</v>
      </c>
      <c r="S110" s="375" t="s">
        <v>1500</v>
      </c>
      <c r="T110" s="697">
        <v>0.23100000000000001</v>
      </c>
      <c r="U110" s="375" t="s">
        <v>1501</v>
      </c>
      <c r="V110" s="722">
        <v>11.5</v>
      </c>
      <c r="W110" s="722">
        <v>1.52</v>
      </c>
      <c r="X110" s="722">
        <v>1.27</v>
      </c>
      <c r="Y110" s="722">
        <v>25.36</v>
      </c>
      <c r="Z110" s="382">
        <v>8.7230485868157626E-2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27830.53</v>
      </c>
      <c r="AF110" s="372">
        <v>30875.82</v>
      </c>
      <c r="AG110" s="372">
        <v>34276.629999999997</v>
      </c>
      <c r="AH110" s="372">
        <v>32079</v>
      </c>
    </row>
    <row r="111" spans="1:34">
      <c r="A111" s="372" t="s">
        <v>1502</v>
      </c>
      <c r="B111" s="373" t="s">
        <v>1503</v>
      </c>
      <c r="C111" s="372" t="s">
        <v>1504</v>
      </c>
      <c r="D111" s="374">
        <v>1512110026289</v>
      </c>
      <c r="E111" s="372" t="s">
        <v>1505</v>
      </c>
      <c r="F111" s="375" t="s">
        <v>821</v>
      </c>
      <c r="G111" s="375" t="s">
        <v>16105</v>
      </c>
      <c r="H111" s="375" t="s">
        <v>858</v>
      </c>
      <c r="I111" s="375" t="s">
        <v>859</v>
      </c>
      <c r="J111" s="375">
        <v>339694.34006999998</v>
      </c>
      <c r="K111" s="375">
        <v>-36621.538200000003</v>
      </c>
      <c r="L111" s="375">
        <v>-461904.45328000002</v>
      </c>
      <c r="M111" s="375">
        <v>593047.93304999999</v>
      </c>
      <c r="N111" s="372">
        <v>1.3420000000000001</v>
      </c>
      <c r="O111" s="704">
        <v>8.5435955685478149</v>
      </c>
      <c r="P111" s="375" t="s">
        <v>619</v>
      </c>
      <c r="Q111" s="375" t="s">
        <v>619</v>
      </c>
      <c r="R111" s="696">
        <v>20211101</v>
      </c>
      <c r="S111" s="375" t="s">
        <v>1506</v>
      </c>
      <c r="T111" s="697" t="s">
        <v>768</v>
      </c>
      <c r="U111" s="375" t="s">
        <v>1507</v>
      </c>
      <c r="V111" s="722" t="s">
        <v>770</v>
      </c>
      <c r="W111" s="722">
        <v>6.5</v>
      </c>
      <c r="X111" s="722">
        <v>10.95</v>
      </c>
      <c r="Y111" s="722" t="s">
        <v>770</v>
      </c>
      <c r="Z111" s="382" t="s">
        <v>924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1508</v>
      </c>
      <c r="B112" s="373" t="s">
        <v>1509</v>
      </c>
      <c r="C112" s="372" t="s">
        <v>1510</v>
      </c>
      <c r="D112" s="374">
        <v>1348110003187</v>
      </c>
      <c r="E112" s="372" t="s">
        <v>1511</v>
      </c>
      <c r="F112" s="372" t="s">
        <v>890</v>
      </c>
      <c r="G112" s="375" t="s">
        <v>891</v>
      </c>
      <c r="H112" s="375" t="s">
        <v>852</v>
      </c>
      <c r="I112" s="375" t="s">
        <v>751</v>
      </c>
      <c r="J112" s="375">
        <v>1283652.1463899999</v>
      </c>
      <c r="K112" s="375">
        <v>44262.510580000002</v>
      </c>
      <c r="L112" s="375">
        <v>121676.81987000001</v>
      </c>
      <c r="M112" s="375">
        <v>839075.76434999995</v>
      </c>
      <c r="N112" s="372">
        <v>0.68200000000000005</v>
      </c>
      <c r="O112" s="704">
        <v>6.9880769414440937</v>
      </c>
      <c r="P112" s="375" t="s">
        <v>619</v>
      </c>
      <c r="Q112" s="375" t="s">
        <v>619</v>
      </c>
      <c r="R112" s="696">
        <v>19880620</v>
      </c>
      <c r="S112" s="375" t="s">
        <v>1512</v>
      </c>
      <c r="T112" s="697">
        <v>0.23100000000000001</v>
      </c>
      <c r="U112" s="375" t="s">
        <v>1513</v>
      </c>
      <c r="V112" s="722">
        <v>44.2</v>
      </c>
      <c r="W112" s="722">
        <v>2.5499999999999998</v>
      </c>
      <c r="X112" s="722">
        <v>1.72</v>
      </c>
      <c r="Y112" s="722">
        <v>21.03</v>
      </c>
      <c r="Z112" s="382" t="s">
        <v>924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1514</v>
      </c>
      <c r="B113" s="373" t="s">
        <v>1515</v>
      </c>
      <c r="C113" s="372" t="s">
        <v>1516</v>
      </c>
      <c r="D113" s="374">
        <v>1101110003965</v>
      </c>
      <c r="E113" s="372" t="s">
        <v>1516</v>
      </c>
      <c r="F113" s="372" t="s">
        <v>890</v>
      </c>
      <c r="G113" s="375" t="s">
        <v>891</v>
      </c>
      <c r="H113" s="375" t="s">
        <v>852</v>
      </c>
      <c r="I113" s="375" t="s">
        <v>751</v>
      </c>
      <c r="J113" s="375">
        <v>26303897</v>
      </c>
      <c r="K113" s="375">
        <v>973871</v>
      </c>
      <c r="L113" s="375">
        <v>749914</v>
      </c>
      <c r="M113" s="375">
        <v>6963491</v>
      </c>
      <c r="N113" s="372">
        <v>1.2330000000000001</v>
      </c>
      <c r="O113" s="704">
        <v>283.09611766748634</v>
      </c>
      <c r="P113" s="375" t="s">
        <v>619</v>
      </c>
      <c r="Q113" s="375" t="s">
        <v>619</v>
      </c>
      <c r="R113" s="696">
        <v>19770630</v>
      </c>
      <c r="S113" s="375" t="s">
        <v>1517</v>
      </c>
      <c r="T113" s="697">
        <v>0.26400000000000001</v>
      </c>
      <c r="U113" s="375" t="s">
        <v>1518</v>
      </c>
      <c r="V113" s="722">
        <v>8.59</v>
      </c>
      <c r="W113" s="722">
        <v>0.8</v>
      </c>
      <c r="X113" s="722">
        <v>0.15</v>
      </c>
      <c r="Y113" s="722">
        <v>7.98</v>
      </c>
      <c r="Z113" s="382">
        <v>4.5778382122246608E-2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267489.40000000002</v>
      </c>
      <c r="AF113" s="372">
        <v>276135.90000000002</v>
      </c>
      <c r="AG113" s="372">
        <v>292808.2</v>
      </c>
      <c r="AH113" s="372">
        <v>0</v>
      </c>
    </row>
    <row r="114" spans="1:34">
      <c r="A114" s="372" t="s">
        <v>1519</v>
      </c>
      <c r="B114" s="373" t="s">
        <v>1520</v>
      </c>
      <c r="C114" s="372" t="s">
        <v>15823</v>
      </c>
      <c r="D114" s="374">
        <v>1812110000526</v>
      </c>
      <c r="E114" s="372" t="s">
        <v>15824</v>
      </c>
      <c r="F114" s="372" t="s">
        <v>1133</v>
      </c>
      <c r="G114" s="375" t="s">
        <v>1134</v>
      </c>
      <c r="H114" s="375" t="s">
        <v>789</v>
      </c>
      <c r="I114" s="375" t="s">
        <v>751</v>
      </c>
      <c r="J114" s="375">
        <v>4309956.6449999996</v>
      </c>
      <c r="K114" s="375">
        <v>-23548.643</v>
      </c>
      <c r="L114" s="375">
        <v>-77608.422000000006</v>
      </c>
      <c r="M114" s="375">
        <v>2049688.9310000001</v>
      </c>
      <c r="N114" s="372">
        <v>0.67900000000000005</v>
      </c>
      <c r="O114" s="704">
        <v>4.3659749757795785</v>
      </c>
      <c r="P114" s="375" t="s">
        <v>619</v>
      </c>
      <c r="Q114" s="372" t="s">
        <v>619</v>
      </c>
      <c r="R114" s="696">
        <v>19831220</v>
      </c>
      <c r="S114" s="372" t="s">
        <v>1521</v>
      </c>
      <c r="T114" s="697" t="s">
        <v>768</v>
      </c>
      <c r="U114" s="375" t="s">
        <v>1522</v>
      </c>
      <c r="V114" s="722">
        <v>76.61</v>
      </c>
      <c r="W114" s="722">
        <v>1.98</v>
      </c>
      <c r="X114" s="722">
        <v>0.92</v>
      </c>
      <c r="Y114" s="722" t="s">
        <v>770</v>
      </c>
      <c r="Z114" s="382">
        <v>8.1004026521663386E-2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44139.22</v>
      </c>
      <c r="AF114" s="372">
        <v>49664.17</v>
      </c>
      <c r="AG114" s="372">
        <v>55155.67</v>
      </c>
      <c r="AH114" s="372">
        <v>59020</v>
      </c>
    </row>
    <row r="115" spans="1:34">
      <c r="A115" s="372" t="s">
        <v>1523</v>
      </c>
      <c r="B115" s="373" t="s">
        <v>1524</v>
      </c>
      <c r="C115" s="372" t="s">
        <v>1525</v>
      </c>
      <c r="D115" s="374">
        <v>1101111264764</v>
      </c>
      <c r="E115" s="372" t="s">
        <v>1526</v>
      </c>
      <c r="F115" s="375" t="s">
        <v>1072</v>
      </c>
      <c r="G115" s="375" t="s">
        <v>1527</v>
      </c>
      <c r="H115" s="375" t="s">
        <v>1528</v>
      </c>
      <c r="I115" s="375" t="s">
        <v>859</v>
      </c>
      <c r="J115" s="375">
        <v>559753.72213999997</v>
      </c>
      <c r="K115" s="375">
        <v>129248.55688</v>
      </c>
      <c r="L115" s="375">
        <v>113046.75526000001</v>
      </c>
      <c r="M115" s="375">
        <v>453852.42095</v>
      </c>
      <c r="N115" s="372">
        <v>0.73299999999999998</v>
      </c>
      <c r="O115" s="704">
        <v>0.64704818751488646</v>
      </c>
      <c r="P115" s="375" t="s">
        <v>619</v>
      </c>
      <c r="Q115" s="375" t="s">
        <v>619</v>
      </c>
      <c r="R115" s="696">
        <v>20010828</v>
      </c>
      <c r="S115" s="375" t="s">
        <v>1529</v>
      </c>
      <c r="T115" s="697">
        <v>0.23100000000000001</v>
      </c>
      <c r="U115" s="375" t="s">
        <v>1530</v>
      </c>
      <c r="V115" s="722">
        <v>12.54</v>
      </c>
      <c r="W115" s="722">
        <v>3.87</v>
      </c>
      <c r="X115" s="722">
        <v>3.2</v>
      </c>
      <c r="Y115" s="722">
        <v>23.63</v>
      </c>
      <c r="Z115" s="382">
        <v>5.8777407532561998E-2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5647.47</v>
      </c>
      <c r="AF115" s="372">
        <v>6460.94</v>
      </c>
      <c r="AG115" s="372">
        <v>7119</v>
      </c>
      <c r="AH115" s="372">
        <v>14810</v>
      </c>
    </row>
    <row r="116" spans="1:34">
      <c r="A116" s="372" t="s">
        <v>1531</v>
      </c>
      <c r="B116" s="373" t="s">
        <v>1532</v>
      </c>
      <c r="C116" s="372" t="s">
        <v>1533</v>
      </c>
      <c r="D116" s="374">
        <v>1101117875440</v>
      </c>
      <c r="E116" s="372" t="s">
        <v>1533</v>
      </c>
      <c r="F116" s="375" t="s">
        <v>1534</v>
      </c>
      <c r="G116" s="375" t="s">
        <v>1535</v>
      </c>
      <c r="H116" s="375" t="s">
        <v>1536</v>
      </c>
      <c r="I116" s="375" t="s">
        <v>751</v>
      </c>
      <c r="J116" s="375">
        <v>1932260.9938300001</v>
      </c>
      <c r="K116" s="375">
        <v>474374.65256999998</v>
      </c>
      <c r="L116" s="375">
        <v>471429.04022999998</v>
      </c>
      <c r="M116" s="375">
        <v>1484687.1627199999</v>
      </c>
      <c r="N116" s="372">
        <v>0.96099999999999997</v>
      </c>
      <c r="O116" s="704">
        <v>12.733645645606224</v>
      </c>
      <c r="P116" s="375" t="s">
        <v>619</v>
      </c>
      <c r="Q116" s="375" t="s">
        <v>619</v>
      </c>
      <c r="R116" s="696">
        <v>20210521</v>
      </c>
      <c r="S116" s="375" t="s">
        <v>1537</v>
      </c>
      <c r="T116" s="697">
        <v>0.26400000000000001</v>
      </c>
      <c r="U116" s="375" t="s">
        <v>1538</v>
      </c>
      <c r="V116" s="722">
        <v>4.8099999999999996</v>
      </c>
      <c r="W116" s="722">
        <v>1.75</v>
      </c>
      <c r="X116" s="722">
        <v>1.36</v>
      </c>
      <c r="Y116" s="722">
        <v>7.39</v>
      </c>
      <c r="Z116" s="382">
        <v>1.9137168716481412E-2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19331.669999999998</v>
      </c>
      <c r="AF116" s="372">
        <v>20336.580000000002</v>
      </c>
      <c r="AG116" s="372">
        <v>21343.5</v>
      </c>
      <c r="AH116" s="372">
        <v>0</v>
      </c>
    </row>
    <row r="117" spans="1:34">
      <c r="A117" s="372" t="s">
        <v>1539</v>
      </c>
      <c r="B117" s="373" t="s">
        <v>1540</v>
      </c>
      <c r="C117" s="372" t="s">
        <v>1541</v>
      </c>
      <c r="D117" s="374">
        <v>1101110015639</v>
      </c>
      <c r="E117" s="372" t="s">
        <v>1542</v>
      </c>
      <c r="F117" s="375" t="s">
        <v>890</v>
      </c>
      <c r="G117" s="375" t="s">
        <v>891</v>
      </c>
      <c r="H117" s="375" t="s">
        <v>852</v>
      </c>
      <c r="I117" s="375" t="s">
        <v>751</v>
      </c>
      <c r="J117" s="375">
        <v>42629816.527000003</v>
      </c>
      <c r="K117" s="375">
        <v>2490709.27</v>
      </c>
      <c r="L117" s="375">
        <v>977321.91</v>
      </c>
      <c r="M117" s="375">
        <v>17309688.903999999</v>
      </c>
      <c r="N117" s="372">
        <v>0.86499999999999999</v>
      </c>
      <c r="O117" s="704">
        <v>639.10167924259213</v>
      </c>
      <c r="P117" s="375" t="s">
        <v>619</v>
      </c>
      <c r="Q117" s="375" t="s">
        <v>619</v>
      </c>
      <c r="R117" s="696">
        <v>19730629</v>
      </c>
      <c r="S117" s="375" t="s">
        <v>851</v>
      </c>
      <c r="T117" s="697">
        <v>0.26400000000000001</v>
      </c>
      <c r="U117" s="375" t="s">
        <v>1543</v>
      </c>
      <c r="V117" s="722">
        <v>5.17</v>
      </c>
      <c r="W117" s="722">
        <v>0.79</v>
      </c>
      <c r="X117" s="722">
        <v>0.1</v>
      </c>
      <c r="Y117" s="722">
        <v>33.29</v>
      </c>
      <c r="Z117" s="382">
        <v>3.8188392945800231E-2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438097.17</v>
      </c>
      <c r="AF117" s="372">
        <v>458362.75</v>
      </c>
      <c r="AG117" s="372">
        <v>480406</v>
      </c>
      <c r="AH117" s="372">
        <v>0</v>
      </c>
    </row>
    <row r="118" spans="1:34">
      <c r="A118" s="372" t="s">
        <v>1544</v>
      </c>
      <c r="B118" s="373" t="s">
        <v>1545</v>
      </c>
      <c r="C118" s="372" t="s">
        <v>1546</v>
      </c>
      <c r="D118" s="374">
        <v>1101110003204</v>
      </c>
      <c r="E118" s="372" t="s">
        <v>1547</v>
      </c>
      <c r="F118" s="375" t="s">
        <v>929</v>
      </c>
      <c r="G118" s="375" t="s">
        <v>929</v>
      </c>
      <c r="H118" s="375" t="s">
        <v>930</v>
      </c>
      <c r="I118" s="375" t="s">
        <v>751</v>
      </c>
      <c r="J118" s="375">
        <v>10390872.61791</v>
      </c>
      <c r="K118" s="375">
        <v>885313.03251000005</v>
      </c>
      <c r="L118" s="375">
        <v>1043430.37583</v>
      </c>
      <c r="M118" s="375">
        <v>13642361.47986</v>
      </c>
      <c r="N118" s="372">
        <v>1.034</v>
      </c>
      <c r="O118" s="704">
        <v>507.29449375584028</v>
      </c>
      <c r="P118" s="375" t="s">
        <v>619</v>
      </c>
      <c r="Q118" s="375" t="s">
        <v>619</v>
      </c>
      <c r="R118" s="696">
        <v>20100317</v>
      </c>
      <c r="S118" s="375" t="s">
        <v>1548</v>
      </c>
      <c r="T118" s="697">
        <v>0.26400000000000001</v>
      </c>
      <c r="U118" s="375" t="s">
        <v>1549</v>
      </c>
      <c r="V118" s="722">
        <v>0</v>
      </c>
      <c r="W118" s="722">
        <v>0.2</v>
      </c>
      <c r="X118" s="722">
        <v>0.11</v>
      </c>
      <c r="Y118" s="722">
        <v>4.25</v>
      </c>
      <c r="Z118" s="382" t="s">
        <v>924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1550</v>
      </c>
      <c r="B119" s="373" t="s">
        <v>1551</v>
      </c>
      <c r="C119" s="372" t="s">
        <v>1552</v>
      </c>
      <c r="D119" s="374">
        <v>1101111867948</v>
      </c>
      <c r="E119" s="372" t="s">
        <v>1553</v>
      </c>
      <c r="F119" s="375" t="s">
        <v>1259</v>
      </c>
      <c r="G119" s="375" t="s">
        <v>1260</v>
      </c>
      <c r="H119" s="375" t="s">
        <v>1261</v>
      </c>
      <c r="I119" s="375" t="s">
        <v>751</v>
      </c>
      <c r="J119" s="375">
        <v>1309893.75939</v>
      </c>
      <c r="K119" s="375">
        <v>641019.37615000003</v>
      </c>
      <c r="L119" s="375">
        <v>669313.28238999995</v>
      </c>
      <c r="M119" s="375">
        <v>5484223.83531</v>
      </c>
      <c r="N119" s="372">
        <v>1.4350000000000001</v>
      </c>
      <c r="O119" s="704">
        <v>746.54786831807496</v>
      </c>
      <c r="P119" s="375" t="s">
        <v>619</v>
      </c>
      <c r="Q119" s="375" t="s">
        <v>619</v>
      </c>
      <c r="R119" s="696">
        <v>20040421</v>
      </c>
      <c r="S119" s="375" t="s">
        <v>1554</v>
      </c>
      <c r="T119" s="697">
        <v>0.26400000000000001</v>
      </c>
      <c r="U119" s="375" t="s">
        <v>1555</v>
      </c>
      <c r="V119" s="722">
        <v>0</v>
      </c>
      <c r="W119" s="722">
        <v>0.66</v>
      </c>
      <c r="X119" s="722">
        <v>0.38</v>
      </c>
      <c r="Y119" s="722">
        <v>7.49</v>
      </c>
      <c r="Z119" s="382">
        <v>0.13971487987073239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18226.689999999999</v>
      </c>
      <c r="AF119" s="372">
        <v>18343</v>
      </c>
      <c r="AG119" s="372">
        <v>19566.18</v>
      </c>
      <c r="AH119" s="372">
        <v>0</v>
      </c>
    </row>
    <row r="120" spans="1:34">
      <c r="A120" s="372" t="s">
        <v>1556</v>
      </c>
      <c r="B120" s="373" t="s">
        <v>1557</v>
      </c>
      <c r="C120" s="372" t="s">
        <v>1558</v>
      </c>
      <c r="D120" s="374">
        <v>1101110186307</v>
      </c>
      <c r="E120" s="372" t="s">
        <v>1559</v>
      </c>
      <c r="F120" s="375" t="s">
        <v>1078</v>
      </c>
      <c r="G120" s="375" t="s">
        <v>1079</v>
      </c>
      <c r="H120" s="375" t="s">
        <v>814</v>
      </c>
      <c r="I120" s="375" t="s">
        <v>751</v>
      </c>
      <c r="J120" s="375">
        <v>557941.49121000001</v>
      </c>
      <c r="K120" s="375">
        <v>30102.073789999999</v>
      </c>
      <c r="L120" s="375">
        <v>51495.584069999997</v>
      </c>
      <c r="M120" s="375">
        <v>550877.10707999999</v>
      </c>
      <c r="N120" s="372">
        <v>0.84599999999999997</v>
      </c>
      <c r="O120" s="704">
        <v>6.540320486145508E-2</v>
      </c>
      <c r="P120" s="375" t="s">
        <v>619</v>
      </c>
      <c r="Q120" s="375" t="s">
        <v>619</v>
      </c>
      <c r="R120" s="696">
        <v>20091214</v>
      </c>
      <c r="S120" s="375" t="s">
        <v>1560</v>
      </c>
      <c r="T120" s="697">
        <v>0.23100000000000001</v>
      </c>
      <c r="U120" s="375" t="s">
        <v>1561</v>
      </c>
      <c r="V120" s="722">
        <v>48.89</v>
      </c>
      <c r="W120" s="722">
        <v>4.5599999999999996</v>
      </c>
      <c r="X120" s="722">
        <v>4.58</v>
      </c>
      <c r="Y120" s="722">
        <v>64.849999999999994</v>
      </c>
      <c r="Z120" s="382">
        <v>6.433788955454478E-2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5733.43</v>
      </c>
      <c r="AF120" s="372">
        <v>6315.83</v>
      </c>
      <c r="AG120" s="372">
        <v>6995</v>
      </c>
      <c r="AH120" s="372">
        <v>7891</v>
      </c>
    </row>
    <row r="121" spans="1:34">
      <c r="A121" s="372" t="s">
        <v>1562</v>
      </c>
      <c r="B121" s="373" t="s">
        <v>1563</v>
      </c>
      <c r="C121" s="372" t="s">
        <v>1564</v>
      </c>
      <c r="D121" s="374">
        <v>1101110792667</v>
      </c>
      <c r="E121" s="372" t="s">
        <v>1565</v>
      </c>
      <c r="F121" s="375" t="s">
        <v>1566</v>
      </c>
      <c r="G121" s="375" t="s">
        <v>1566</v>
      </c>
      <c r="H121" s="375" t="s">
        <v>843</v>
      </c>
      <c r="I121" s="375" t="s">
        <v>751</v>
      </c>
      <c r="J121" s="375">
        <v>4168199.4434500001</v>
      </c>
      <c r="K121" s="375">
        <v>355384.78590999998</v>
      </c>
      <c r="L121" s="375">
        <v>318208.84688000003</v>
      </c>
      <c r="M121" s="375">
        <v>2742023.2548600002</v>
      </c>
      <c r="N121" s="372">
        <v>0.70199999999999996</v>
      </c>
      <c r="O121" s="704">
        <v>57.361146973644814</v>
      </c>
      <c r="P121" s="375" t="s">
        <v>619</v>
      </c>
      <c r="Q121" s="375" t="s">
        <v>619</v>
      </c>
      <c r="R121" s="696">
        <v>20100928</v>
      </c>
      <c r="S121" s="375" t="s">
        <v>1567</v>
      </c>
      <c r="T121" s="697">
        <v>0.26400000000000001</v>
      </c>
      <c r="U121" s="375" t="s">
        <v>1568</v>
      </c>
      <c r="V121" s="722">
        <v>7.36</v>
      </c>
      <c r="W121" s="722">
        <v>1.24</v>
      </c>
      <c r="X121" s="722">
        <v>0.61</v>
      </c>
      <c r="Y121" s="722">
        <v>24.74</v>
      </c>
      <c r="Z121" s="382">
        <v>3.0198856354181736E-2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42493.89</v>
      </c>
      <c r="AF121" s="372">
        <v>43441.78</v>
      </c>
      <c r="AG121" s="372">
        <v>45129.78</v>
      </c>
      <c r="AH121" s="372">
        <v>0</v>
      </c>
    </row>
    <row r="122" spans="1:34">
      <c r="A122" s="372" t="s">
        <v>1569</v>
      </c>
      <c r="B122" s="373" t="s">
        <v>1570</v>
      </c>
      <c r="C122" s="372" t="s">
        <v>1571</v>
      </c>
      <c r="D122" s="374">
        <v>1101113509887</v>
      </c>
      <c r="E122" s="372" t="s">
        <v>1572</v>
      </c>
      <c r="F122" s="375" t="s">
        <v>1573</v>
      </c>
      <c r="G122" s="375" t="s">
        <v>1574</v>
      </c>
      <c r="H122" s="375" t="s">
        <v>1040</v>
      </c>
      <c r="I122" s="375" t="s">
        <v>751</v>
      </c>
      <c r="J122" s="375">
        <v>2773670.5360400002</v>
      </c>
      <c r="K122" s="375">
        <v>226133.03161000001</v>
      </c>
      <c r="L122" s="375">
        <v>142536.04357000001</v>
      </c>
      <c r="M122" s="375">
        <v>1129161.78654</v>
      </c>
      <c r="N122" s="372">
        <v>0.95799999999999996</v>
      </c>
      <c r="O122" s="704">
        <v>51.356145747484327</v>
      </c>
      <c r="P122" s="375" t="s">
        <v>619</v>
      </c>
      <c r="Q122" s="375" t="s">
        <v>619</v>
      </c>
      <c r="R122" s="696">
        <v>20141127</v>
      </c>
      <c r="S122" s="375" t="s">
        <v>1575</v>
      </c>
      <c r="T122" s="697">
        <v>0.23100000000000001</v>
      </c>
      <c r="U122" s="375" t="s">
        <v>1576</v>
      </c>
      <c r="V122" s="722">
        <v>12</v>
      </c>
      <c r="W122" s="722">
        <v>2.59</v>
      </c>
      <c r="X122" s="722">
        <v>1.05</v>
      </c>
      <c r="Y122" s="722">
        <v>25.74</v>
      </c>
      <c r="Z122" s="382">
        <v>0.26903504699972469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30952.07</v>
      </c>
      <c r="AF122" s="372">
        <v>33676.07</v>
      </c>
      <c r="AG122" s="372">
        <v>39426.15</v>
      </c>
      <c r="AH122" s="372">
        <v>51630.5</v>
      </c>
    </row>
    <row r="123" spans="1:34">
      <c r="A123" s="372" t="s">
        <v>1577</v>
      </c>
      <c r="B123" s="373" t="s">
        <v>1578</v>
      </c>
      <c r="C123" s="372" t="s">
        <v>1579</v>
      </c>
      <c r="D123" s="374">
        <v>1101116555770</v>
      </c>
      <c r="E123" s="372" t="s">
        <v>1580</v>
      </c>
      <c r="F123" s="372" t="s">
        <v>1581</v>
      </c>
      <c r="G123" s="375" t="s">
        <v>1582</v>
      </c>
      <c r="H123" s="375" t="s">
        <v>843</v>
      </c>
      <c r="I123" s="375" t="s">
        <v>751</v>
      </c>
      <c r="J123" s="375">
        <v>8522441.5207800008</v>
      </c>
      <c r="K123" s="375">
        <v>251074.674</v>
      </c>
      <c r="L123" s="375">
        <v>241745.17634000001</v>
      </c>
      <c r="M123" s="375">
        <v>1154181.61393</v>
      </c>
      <c r="N123" s="372">
        <v>0.13400000000000001</v>
      </c>
      <c r="O123" s="704">
        <v>0.36023068533679503</v>
      </c>
      <c r="P123" s="375" t="s">
        <v>619</v>
      </c>
      <c r="Q123" s="375" t="s">
        <v>619</v>
      </c>
      <c r="R123" s="696">
        <v>20171208</v>
      </c>
      <c r="S123" s="375" t="s">
        <v>1582</v>
      </c>
      <c r="T123" s="697">
        <v>0.23100000000000001</v>
      </c>
      <c r="U123" s="375" t="s">
        <v>1583</v>
      </c>
      <c r="V123" s="722">
        <v>2.61</v>
      </c>
      <c r="W123" s="722">
        <v>1.72</v>
      </c>
      <c r="X123" s="722">
        <v>0.23</v>
      </c>
      <c r="Y123" s="722">
        <v>10.41</v>
      </c>
      <c r="Z123" s="382">
        <v>4.1284151245271739E-2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86483.25</v>
      </c>
      <c r="AF123" s="372">
        <v>91407.63</v>
      </c>
      <c r="AG123" s="372">
        <v>96341.4</v>
      </c>
      <c r="AH123" s="372">
        <v>0</v>
      </c>
    </row>
    <row r="124" spans="1:34">
      <c r="A124" s="372" t="s">
        <v>1584</v>
      </c>
      <c r="B124" s="373" t="s">
        <v>1585</v>
      </c>
      <c r="C124" s="372" t="s">
        <v>1586</v>
      </c>
      <c r="D124" s="374">
        <v>1146710006125</v>
      </c>
      <c r="E124" s="372" t="s">
        <v>1587</v>
      </c>
      <c r="F124" s="375" t="s">
        <v>1588</v>
      </c>
      <c r="G124" s="375" t="s">
        <v>1588</v>
      </c>
      <c r="H124" s="375" t="s">
        <v>943</v>
      </c>
      <c r="I124" s="375" t="s">
        <v>751</v>
      </c>
      <c r="J124" s="375">
        <v>39062956.83585</v>
      </c>
      <c r="K124" s="375">
        <v>2356662.3821999999</v>
      </c>
      <c r="L124" s="375">
        <v>245203.42014999999</v>
      </c>
      <c r="M124" s="375">
        <v>10551043.95432</v>
      </c>
      <c r="N124" s="372">
        <v>1.1850000000000001</v>
      </c>
      <c r="O124" s="704">
        <v>1079.7408878177189</v>
      </c>
      <c r="P124" s="375" t="s">
        <v>619</v>
      </c>
      <c r="Q124" s="375" t="s">
        <v>619</v>
      </c>
      <c r="R124" s="696">
        <v>19991215</v>
      </c>
      <c r="S124" s="375" t="s">
        <v>1589</v>
      </c>
      <c r="T124" s="697">
        <v>0.23100000000000001</v>
      </c>
      <c r="U124" s="372" t="s">
        <v>1590</v>
      </c>
      <c r="V124" s="722">
        <v>9.3699999999999992</v>
      </c>
      <c r="W124" s="722">
        <v>0.41</v>
      </c>
      <c r="X124" s="722">
        <v>0.11</v>
      </c>
      <c r="Y124" s="722">
        <v>27.86</v>
      </c>
      <c r="Z124" s="382">
        <v>-3.5941110201580195E-2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391791.35999999999</v>
      </c>
      <c r="AF124" s="372">
        <v>380500.69</v>
      </c>
      <c r="AG124" s="372">
        <v>384875.62</v>
      </c>
      <c r="AH124" s="372">
        <v>420760</v>
      </c>
    </row>
    <row r="125" spans="1:34">
      <c r="A125" s="372" t="s">
        <v>1591</v>
      </c>
      <c r="B125" s="373" t="s">
        <v>1592</v>
      </c>
      <c r="C125" s="372" t="s">
        <v>1593</v>
      </c>
      <c r="D125" s="374">
        <v>1101110270895</v>
      </c>
      <c r="E125" s="372" t="s">
        <v>1594</v>
      </c>
      <c r="F125" s="372" t="s">
        <v>1595</v>
      </c>
      <c r="G125" s="375" t="s">
        <v>1596</v>
      </c>
      <c r="H125" s="375" t="s">
        <v>823</v>
      </c>
      <c r="I125" s="375" t="s">
        <v>751</v>
      </c>
      <c r="J125" s="375">
        <v>779031.75361999997</v>
      </c>
      <c r="K125" s="375">
        <v>127335.16906</v>
      </c>
      <c r="L125" s="375">
        <v>140166.69516</v>
      </c>
      <c r="M125" s="375">
        <v>1077307.1431</v>
      </c>
      <c r="N125" s="372">
        <v>1.2609999999999999</v>
      </c>
      <c r="O125" s="704">
        <v>18.685438038817853</v>
      </c>
      <c r="P125" s="375" t="s">
        <v>619</v>
      </c>
      <c r="Q125" s="375" t="s">
        <v>619</v>
      </c>
      <c r="R125" s="696">
        <v>19890520</v>
      </c>
      <c r="S125" s="375" t="s">
        <v>1597</v>
      </c>
      <c r="T125" s="697">
        <v>0.23100000000000001</v>
      </c>
      <c r="U125" s="375" t="s">
        <v>1598</v>
      </c>
      <c r="V125" s="722">
        <v>9.85</v>
      </c>
      <c r="W125" s="722">
        <v>1.55</v>
      </c>
      <c r="X125" s="722">
        <v>1.96</v>
      </c>
      <c r="Y125" s="722">
        <v>12.9</v>
      </c>
      <c r="Z125" s="382">
        <v>5.4513576452948964E-2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8034.5</v>
      </c>
      <c r="AF125" s="372">
        <v>8725.5</v>
      </c>
      <c r="AG125" s="372">
        <v>9541.83</v>
      </c>
      <c r="AH125" s="372">
        <v>10357</v>
      </c>
    </row>
    <row r="126" spans="1:34">
      <c r="A126" s="372" t="s">
        <v>1599</v>
      </c>
      <c r="B126" s="373" t="s">
        <v>1600</v>
      </c>
      <c r="C126" s="372" t="s">
        <v>1601</v>
      </c>
      <c r="D126" s="374">
        <v>1801110750893</v>
      </c>
      <c r="E126" s="372" t="s">
        <v>1602</v>
      </c>
      <c r="F126" s="372" t="s">
        <v>850</v>
      </c>
      <c r="G126" s="375" t="s">
        <v>851</v>
      </c>
      <c r="H126" s="375" t="s">
        <v>852</v>
      </c>
      <c r="I126" s="375" t="s">
        <v>751</v>
      </c>
      <c r="J126" s="375">
        <v>0</v>
      </c>
      <c r="K126" s="375">
        <v>0</v>
      </c>
      <c r="L126" s="375">
        <v>0</v>
      </c>
      <c r="M126" s="375">
        <v>0</v>
      </c>
      <c r="N126" s="372">
        <v>0.69599999999999995</v>
      </c>
      <c r="O126" s="704" t="s">
        <v>16298</v>
      </c>
      <c r="P126" s="375" t="s">
        <v>619</v>
      </c>
      <c r="Q126" s="375" t="s">
        <v>619</v>
      </c>
      <c r="R126" s="696">
        <v>20110330</v>
      </c>
      <c r="S126" s="375" t="s">
        <v>866</v>
      </c>
      <c r="T126" s="697" t="s">
        <v>768</v>
      </c>
      <c r="U126" s="375" t="s">
        <v>1603</v>
      </c>
      <c r="V126" s="722">
        <v>0</v>
      </c>
      <c r="W126" s="722">
        <v>0</v>
      </c>
      <c r="X126" s="722">
        <v>0</v>
      </c>
      <c r="Y126" s="722">
        <v>0</v>
      </c>
      <c r="Z126" s="382">
        <v>1.9897151492173748E-2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69720.56</v>
      </c>
      <c r="AF126" s="372">
        <v>70284.5</v>
      </c>
      <c r="AG126" s="372">
        <v>72404.13</v>
      </c>
      <c r="AH126" s="372">
        <v>0</v>
      </c>
    </row>
    <row r="127" spans="1:34">
      <c r="A127" s="372" t="s">
        <v>1604</v>
      </c>
      <c r="B127" s="373" t="s">
        <v>1605</v>
      </c>
      <c r="C127" s="372" t="s">
        <v>1606</v>
      </c>
      <c r="D127" s="374">
        <v>1101110090037</v>
      </c>
      <c r="E127" s="372" t="s">
        <v>1607</v>
      </c>
      <c r="F127" s="375" t="s">
        <v>1581</v>
      </c>
      <c r="G127" s="375" t="s">
        <v>1582</v>
      </c>
      <c r="H127" s="375" t="s">
        <v>843</v>
      </c>
      <c r="I127" s="375" t="s">
        <v>751</v>
      </c>
      <c r="J127" s="375">
        <v>11981349.511539999</v>
      </c>
      <c r="K127" s="375">
        <v>370476.13496</v>
      </c>
      <c r="L127" s="375">
        <v>15319.463229999999</v>
      </c>
      <c r="M127" s="375">
        <v>4423530.2339899996</v>
      </c>
      <c r="N127" s="372">
        <v>0.60499999999999998</v>
      </c>
      <c r="O127" s="704">
        <v>132.85073476810632</v>
      </c>
      <c r="P127" s="375" t="s">
        <v>619</v>
      </c>
      <c r="Q127" s="375" t="s">
        <v>619</v>
      </c>
      <c r="R127" s="696">
        <v>20111223</v>
      </c>
      <c r="S127" s="375" t="s">
        <v>1608</v>
      </c>
      <c r="T127" s="697">
        <v>0.20900000000000002</v>
      </c>
      <c r="U127" s="375" t="s">
        <v>1609</v>
      </c>
      <c r="V127" s="722">
        <v>4.7</v>
      </c>
      <c r="W127" s="722">
        <v>0.54</v>
      </c>
      <c r="X127" s="722">
        <v>0.19</v>
      </c>
      <c r="Y127" s="722" t="s">
        <v>770</v>
      </c>
      <c r="Z127" s="382">
        <v>2.4895667745193251E-2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117696.53</v>
      </c>
      <c r="AF127" s="372">
        <v>122666.06</v>
      </c>
      <c r="AG127" s="372">
        <v>128128.62</v>
      </c>
      <c r="AH127" s="372">
        <v>0</v>
      </c>
    </row>
    <row r="128" spans="1:34">
      <c r="A128" s="372" t="s">
        <v>1610</v>
      </c>
      <c r="B128" s="373" t="s">
        <v>1611</v>
      </c>
      <c r="C128" s="372" t="s">
        <v>1612</v>
      </c>
      <c r="D128" s="374">
        <v>1101111516933</v>
      </c>
      <c r="E128" s="372" t="s">
        <v>1613</v>
      </c>
      <c r="F128" s="375" t="s">
        <v>1614</v>
      </c>
      <c r="G128" s="375" t="s">
        <v>1614</v>
      </c>
      <c r="H128" s="375" t="s">
        <v>1040</v>
      </c>
      <c r="I128" s="375" t="s">
        <v>751</v>
      </c>
      <c r="J128" s="375">
        <v>2788558.5250200001</v>
      </c>
      <c r="K128" s="375">
        <v>204984.20457</v>
      </c>
      <c r="L128" s="375">
        <v>183794.45387</v>
      </c>
      <c r="M128" s="375">
        <v>1172039.0614</v>
      </c>
      <c r="N128" s="372">
        <v>0.74199999999999999</v>
      </c>
      <c r="O128" s="704">
        <v>7.6671899141529885</v>
      </c>
      <c r="P128" s="375" t="s">
        <v>619</v>
      </c>
      <c r="Q128" s="372" t="s">
        <v>619</v>
      </c>
      <c r="R128" s="696">
        <v>20151002</v>
      </c>
      <c r="S128" s="372" t="s">
        <v>1615</v>
      </c>
      <c r="T128" s="697">
        <v>0.23100000000000001</v>
      </c>
      <c r="U128" s="375" t="s">
        <v>1616</v>
      </c>
      <c r="V128" s="722">
        <v>17.260000000000002</v>
      </c>
      <c r="W128" s="722">
        <v>4.03</v>
      </c>
      <c r="X128" s="722">
        <v>1.66</v>
      </c>
      <c r="Y128" s="722">
        <v>23.33</v>
      </c>
      <c r="Z128" s="382">
        <v>0.16906174699396792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30109.35</v>
      </c>
      <c r="AF128" s="372">
        <v>36086.300000000003</v>
      </c>
      <c r="AG128" s="372">
        <v>43121.42</v>
      </c>
      <c r="AH128" s="372">
        <v>45595</v>
      </c>
    </row>
    <row r="129" spans="1:34">
      <c r="A129" s="372" t="s">
        <v>1617</v>
      </c>
      <c r="B129" s="373" t="s">
        <v>1618</v>
      </c>
      <c r="C129" s="372" t="s">
        <v>1619</v>
      </c>
      <c r="D129" s="374">
        <v>1101110026644</v>
      </c>
      <c r="E129" s="372" t="s">
        <v>1620</v>
      </c>
      <c r="F129" s="375" t="s">
        <v>1093</v>
      </c>
      <c r="G129" s="375" t="s">
        <v>1094</v>
      </c>
      <c r="H129" s="375" t="s">
        <v>823</v>
      </c>
      <c r="I129" s="375" t="s">
        <v>751</v>
      </c>
      <c r="J129" s="375">
        <v>4098530.59295</v>
      </c>
      <c r="K129" s="375">
        <v>200100.18473000001</v>
      </c>
      <c r="L129" s="375">
        <v>863996.58317999996</v>
      </c>
      <c r="M129" s="375">
        <v>7036114.2480600001</v>
      </c>
      <c r="N129" s="372">
        <v>0.84599999999999997</v>
      </c>
      <c r="O129" s="704">
        <v>25.201085214555857</v>
      </c>
      <c r="P129" s="375" t="s">
        <v>619</v>
      </c>
      <c r="Q129" s="375" t="s">
        <v>619</v>
      </c>
      <c r="R129" s="696">
        <v>19730430</v>
      </c>
      <c r="S129" s="375" t="s">
        <v>851</v>
      </c>
      <c r="T129" s="697">
        <v>0.26400000000000001</v>
      </c>
      <c r="U129" s="375" t="s">
        <v>1096</v>
      </c>
      <c r="V129" s="722">
        <v>13.38</v>
      </c>
      <c r="W129" s="722">
        <v>0.75</v>
      </c>
      <c r="X129" s="722">
        <v>0.65</v>
      </c>
      <c r="Y129" s="722">
        <v>9.66</v>
      </c>
      <c r="Z129" s="382">
        <v>5.8086847974215594E-2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43511.67</v>
      </c>
      <c r="AF129" s="372">
        <v>47436.33</v>
      </c>
      <c r="AG129" s="372">
        <v>50403</v>
      </c>
      <c r="AH129" s="372">
        <v>0</v>
      </c>
    </row>
    <row r="130" spans="1:34">
      <c r="A130" s="372" t="s">
        <v>1621</v>
      </c>
      <c r="B130" s="373" t="s">
        <v>1622</v>
      </c>
      <c r="C130" s="372" t="s">
        <v>1623</v>
      </c>
      <c r="D130" s="374">
        <v>1101110145519</v>
      </c>
      <c r="E130" s="372" t="s">
        <v>1624</v>
      </c>
      <c r="F130" s="372" t="s">
        <v>1625</v>
      </c>
      <c r="G130" s="375" t="s">
        <v>1626</v>
      </c>
      <c r="H130" s="375" t="s">
        <v>843</v>
      </c>
      <c r="I130" s="375" t="s">
        <v>751</v>
      </c>
      <c r="J130" s="375">
        <v>3937362.1533900001</v>
      </c>
      <c r="K130" s="375">
        <v>4503.3265199999996</v>
      </c>
      <c r="L130" s="375">
        <v>-22067.218680000002</v>
      </c>
      <c r="M130" s="375">
        <v>617722.40203</v>
      </c>
      <c r="N130" s="372">
        <v>0.71299999999999997</v>
      </c>
      <c r="O130" s="704">
        <v>100.40275594296808</v>
      </c>
      <c r="P130" s="375" t="s">
        <v>619</v>
      </c>
      <c r="Q130" s="375" t="s">
        <v>619</v>
      </c>
      <c r="R130" s="696">
        <v>19910312</v>
      </c>
      <c r="S130" s="375" t="s">
        <v>1627</v>
      </c>
      <c r="T130" s="697" t="s">
        <v>768</v>
      </c>
      <c r="U130" s="372" t="s">
        <v>1628</v>
      </c>
      <c r="V130" s="722">
        <v>23.29</v>
      </c>
      <c r="W130" s="722">
        <v>2.65</v>
      </c>
      <c r="X130" s="722">
        <v>0.49</v>
      </c>
      <c r="Y130" s="722" t="s">
        <v>770</v>
      </c>
      <c r="Z130" s="382">
        <v>7.5687884211792511E-2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40583.07</v>
      </c>
      <c r="AF130" s="372">
        <v>44805.47</v>
      </c>
      <c r="AG130" s="372">
        <v>47777.86</v>
      </c>
      <c r="AH130" s="372">
        <v>0</v>
      </c>
    </row>
    <row r="131" spans="1:34">
      <c r="A131" s="372" t="s">
        <v>1629</v>
      </c>
      <c r="B131" s="373" t="s">
        <v>1630</v>
      </c>
      <c r="C131" s="372" t="s">
        <v>1631</v>
      </c>
      <c r="D131" s="374">
        <v>1101110057574</v>
      </c>
      <c r="E131" s="372" t="s">
        <v>1632</v>
      </c>
      <c r="F131" s="372" t="s">
        <v>2219</v>
      </c>
      <c r="G131" s="375" t="s">
        <v>2219</v>
      </c>
      <c r="H131" s="375" t="s">
        <v>1313</v>
      </c>
      <c r="I131" s="375" t="s">
        <v>751</v>
      </c>
      <c r="J131" s="375">
        <v>3440363.0725400001</v>
      </c>
      <c r="K131" s="375">
        <v>181600.81776000001</v>
      </c>
      <c r="L131" s="375">
        <v>215640.60287</v>
      </c>
      <c r="M131" s="375">
        <v>2582211.6982100001</v>
      </c>
      <c r="N131" s="372">
        <v>0.35499999999999998</v>
      </c>
      <c r="O131" s="704">
        <v>8.9766374551735311</v>
      </c>
      <c r="P131" s="375" t="s">
        <v>619</v>
      </c>
      <c r="Q131" s="375" t="s">
        <v>619</v>
      </c>
      <c r="R131" s="696">
        <v>19760630</v>
      </c>
      <c r="S131" s="375" t="s">
        <v>1633</v>
      </c>
      <c r="T131" s="697">
        <v>0.23100000000000001</v>
      </c>
      <c r="U131" s="375" t="s">
        <v>1634</v>
      </c>
      <c r="V131" s="722">
        <v>7.79</v>
      </c>
      <c r="W131" s="722">
        <v>0.88</v>
      </c>
      <c r="X131" s="722">
        <v>0.68</v>
      </c>
      <c r="Y131" s="722">
        <v>15.1</v>
      </c>
      <c r="Z131" s="382">
        <v>3.0422379358936658E-2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34766.57</v>
      </c>
      <c r="AF131" s="372">
        <v>36658.14</v>
      </c>
      <c r="AG131" s="372">
        <v>38449.15</v>
      </c>
      <c r="AH131" s="372">
        <v>0</v>
      </c>
    </row>
    <row r="132" spans="1:34">
      <c r="A132" s="372" t="s">
        <v>1635</v>
      </c>
      <c r="B132" s="373" t="s">
        <v>1636</v>
      </c>
      <c r="C132" s="372" t="s">
        <v>1637</v>
      </c>
      <c r="D132" s="374">
        <v>1101110998629</v>
      </c>
      <c r="E132" s="372" t="s">
        <v>1638</v>
      </c>
      <c r="F132" s="375" t="s">
        <v>1182</v>
      </c>
      <c r="G132" s="375" t="s">
        <v>1183</v>
      </c>
      <c r="H132" s="375" t="s">
        <v>858</v>
      </c>
      <c r="I132" s="375" t="s">
        <v>859</v>
      </c>
      <c r="J132" s="375">
        <v>301919.17044999998</v>
      </c>
      <c r="K132" s="375">
        <v>27397.851139999999</v>
      </c>
      <c r="L132" s="375">
        <v>39029.638200000001</v>
      </c>
      <c r="M132" s="375">
        <v>583430.72872999997</v>
      </c>
      <c r="N132" s="372">
        <v>1.1459999999999999</v>
      </c>
      <c r="O132" s="704">
        <v>0.43820394780233657</v>
      </c>
      <c r="P132" s="375" t="s">
        <v>619</v>
      </c>
      <c r="Q132" s="375" t="s">
        <v>619</v>
      </c>
      <c r="R132" s="696">
        <v>20000822</v>
      </c>
      <c r="S132" s="375" t="s">
        <v>1639</v>
      </c>
      <c r="T132" s="697">
        <v>0.23100000000000001</v>
      </c>
      <c r="U132" s="375" t="s">
        <v>1640</v>
      </c>
      <c r="V132" s="722">
        <v>56</v>
      </c>
      <c r="W132" s="722">
        <v>3.18</v>
      </c>
      <c r="X132" s="722">
        <v>6.25</v>
      </c>
      <c r="Y132" s="722">
        <v>65.33</v>
      </c>
      <c r="Z132" s="382">
        <v>0.1482906856345696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3307.75</v>
      </c>
      <c r="AF132" s="372">
        <v>4745</v>
      </c>
      <c r="AG132" s="372">
        <v>5500.75</v>
      </c>
      <c r="AH132" s="372">
        <v>7370</v>
      </c>
    </row>
    <row r="133" spans="1:34">
      <c r="A133" s="372" t="s">
        <v>1641</v>
      </c>
      <c r="B133" s="373" t="s">
        <v>1642</v>
      </c>
      <c r="C133" s="372" t="s">
        <v>1643</v>
      </c>
      <c r="D133" s="374">
        <v>1101110000086</v>
      </c>
      <c r="E133" s="372" t="s">
        <v>1644</v>
      </c>
      <c r="F133" s="375" t="s">
        <v>1645</v>
      </c>
      <c r="G133" s="375" t="s">
        <v>1646</v>
      </c>
      <c r="H133" s="375" t="s">
        <v>843</v>
      </c>
      <c r="I133" s="375" t="s">
        <v>751</v>
      </c>
      <c r="J133" s="375">
        <v>14142372.26206</v>
      </c>
      <c r="K133" s="375">
        <v>528279.12433999998</v>
      </c>
      <c r="L133" s="375">
        <v>-51836.909180000002</v>
      </c>
      <c r="M133" s="375">
        <v>10648660.918059999</v>
      </c>
      <c r="N133" s="372">
        <v>0.80200000000000005</v>
      </c>
      <c r="O133" s="704">
        <v>812.38571110426676</v>
      </c>
      <c r="P133" s="375" t="s">
        <v>619</v>
      </c>
      <c r="Q133" s="375" t="s">
        <v>619</v>
      </c>
      <c r="R133" s="696">
        <v>20060209</v>
      </c>
      <c r="S133" s="375" t="s">
        <v>1647</v>
      </c>
      <c r="T133" s="697" t="s">
        <v>768</v>
      </c>
      <c r="U133" s="375" t="s">
        <v>1648</v>
      </c>
      <c r="V133" s="722">
        <v>8.89</v>
      </c>
      <c r="W133" s="722">
        <v>0.19</v>
      </c>
      <c r="X133" s="722">
        <v>0.12</v>
      </c>
      <c r="Y133" s="722" t="s">
        <v>770</v>
      </c>
      <c r="Z133" s="382">
        <v>2.89206870251979E-3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141659.64000000001</v>
      </c>
      <c r="AF133" s="372">
        <v>144367.45000000001</v>
      </c>
      <c r="AG133" s="372">
        <v>147249.82</v>
      </c>
      <c r="AH133" s="372">
        <v>0</v>
      </c>
    </row>
    <row r="134" spans="1:34">
      <c r="A134" s="372" t="s">
        <v>1649</v>
      </c>
      <c r="B134" s="373" t="s">
        <v>1650</v>
      </c>
      <c r="C134" s="372" t="s">
        <v>1651</v>
      </c>
      <c r="D134" s="374">
        <v>1101110026206</v>
      </c>
      <c r="E134" s="372" t="s">
        <v>1652</v>
      </c>
      <c r="F134" s="372" t="s">
        <v>1653</v>
      </c>
      <c r="G134" s="375" t="s">
        <v>1653</v>
      </c>
      <c r="H134" s="375" t="s">
        <v>750</v>
      </c>
      <c r="I134" s="375" t="s">
        <v>751</v>
      </c>
      <c r="J134" s="375">
        <v>1135151.2146699999</v>
      </c>
      <c r="K134" s="375">
        <v>200452.15867</v>
      </c>
      <c r="L134" s="375">
        <v>266311.61611</v>
      </c>
      <c r="M134" s="375">
        <v>1956910.84345</v>
      </c>
      <c r="N134" s="372">
        <v>1.3149999999999999</v>
      </c>
      <c r="O134" s="704">
        <v>10.532341192541983</v>
      </c>
      <c r="P134" s="375" t="s">
        <v>619</v>
      </c>
      <c r="Q134" s="375" t="s">
        <v>619</v>
      </c>
      <c r="R134" s="696">
        <v>19751212</v>
      </c>
      <c r="S134" s="375" t="s">
        <v>1654</v>
      </c>
      <c r="T134" s="697">
        <v>0.23100000000000001</v>
      </c>
      <c r="U134" s="375" t="s">
        <v>1655</v>
      </c>
      <c r="V134" s="722">
        <v>5.23</v>
      </c>
      <c r="W134" s="722">
        <v>0.88</v>
      </c>
      <c r="X134" s="722">
        <v>1.58</v>
      </c>
      <c r="Y134" s="722">
        <v>7.6</v>
      </c>
      <c r="Z134" s="382">
        <v>4.6873964546785052E-2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11262.5</v>
      </c>
      <c r="AF134" s="372">
        <v>12442.5</v>
      </c>
      <c r="AG134" s="372">
        <v>13863.33</v>
      </c>
      <c r="AH134" s="372">
        <v>0</v>
      </c>
    </row>
    <row r="135" spans="1:34">
      <c r="A135" s="372" t="s">
        <v>1656</v>
      </c>
      <c r="B135" s="373" t="s">
        <v>1657</v>
      </c>
      <c r="C135" s="372" t="s">
        <v>1658</v>
      </c>
      <c r="D135" s="374">
        <v>2101110091498</v>
      </c>
      <c r="E135" s="372" t="s">
        <v>1659</v>
      </c>
      <c r="F135" s="375" t="s">
        <v>850</v>
      </c>
      <c r="G135" s="375" t="s">
        <v>851</v>
      </c>
      <c r="H135" s="375" t="s">
        <v>852</v>
      </c>
      <c r="I135" s="375" t="s">
        <v>751</v>
      </c>
      <c r="J135" s="375">
        <v>0</v>
      </c>
      <c r="K135" s="375">
        <v>0</v>
      </c>
      <c r="L135" s="375">
        <v>0</v>
      </c>
      <c r="M135" s="375">
        <v>0</v>
      </c>
      <c r="N135" s="372">
        <v>0.879</v>
      </c>
      <c r="O135" s="704" t="s">
        <v>16298</v>
      </c>
      <c r="P135" s="375" t="s">
        <v>619</v>
      </c>
      <c r="Q135" s="375" t="s">
        <v>619</v>
      </c>
      <c r="R135" s="696">
        <v>20130718</v>
      </c>
      <c r="S135" s="375" t="s">
        <v>1660</v>
      </c>
      <c r="T135" s="697" t="s">
        <v>768</v>
      </c>
      <c r="U135" s="375" t="s">
        <v>1661</v>
      </c>
      <c r="V135" s="722">
        <v>0</v>
      </c>
      <c r="W135" s="722">
        <v>0</v>
      </c>
      <c r="X135" s="722">
        <v>0</v>
      </c>
      <c r="Y135" s="722">
        <v>0</v>
      </c>
      <c r="Z135" s="382">
        <v>2.7339280507923114E-2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36150.22</v>
      </c>
      <c r="AF135" s="372">
        <v>36584.5</v>
      </c>
      <c r="AG135" s="372">
        <v>37827.879999999997</v>
      </c>
      <c r="AH135" s="372">
        <v>0</v>
      </c>
    </row>
    <row r="136" spans="1:34">
      <c r="A136" s="372" t="s">
        <v>1662</v>
      </c>
      <c r="B136" s="373" t="s">
        <v>1663</v>
      </c>
      <c r="C136" s="372" t="s">
        <v>1664</v>
      </c>
      <c r="D136" s="374">
        <v>1101114594952</v>
      </c>
      <c r="E136" s="372" t="s">
        <v>1665</v>
      </c>
      <c r="F136" s="375" t="s">
        <v>1645</v>
      </c>
      <c r="G136" s="375" t="s">
        <v>1666</v>
      </c>
      <c r="H136" s="375" t="s">
        <v>843</v>
      </c>
      <c r="I136" s="375" t="s">
        <v>751</v>
      </c>
      <c r="J136" s="375">
        <v>29127295.206179999</v>
      </c>
      <c r="K136" s="375">
        <v>38680.704550000002</v>
      </c>
      <c r="L136" s="375">
        <v>-105108.34991</v>
      </c>
      <c r="M136" s="375">
        <v>13368927.93505</v>
      </c>
      <c r="N136" s="372">
        <v>0.84599999999999997</v>
      </c>
      <c r="O136" s="704">
        <v>692.77041828651602</v>
      </c>
      <c r="P136" s="375" t="s">
        <v>619</v>
      </c>
      <c r="Q136" s="375" t="s">
        <v>619</v>
      </c>
      <c r="R136" s="696">
        <v>20110610</v>
      </c>
      <c r="S136" s="375" t="s">
        <v>1667</v>
      </c>
      <c r="T136" s="697" t="s">
        <v>768</v>
      </c>
      <c r="U136" s="375" t="s">
        <v>1668</v>
      </c>
      <c r="V136" s="722">
        <v>8.1</v>
      </c>
      <c r="W136" s="722">
        <v>0.15</v>
      </c>
      <c r="X136" s="722">
        <v>0.06</v>
      </c>
      <c r="Y136" s="722" t="s">
        <v>770</v>
      </c>
      <c r="Z136" s="382">
        <v>1.4468629983755088E-2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293165.08</v>
      </c>
      <c r="AF136" s="372">
        <v>304507.67</v>
      </c>
      <c r="AG136" s="372">
        <v>312153.17</v>
      </c>
      <c r="AH136" s="372">
        <v>0</v>
      </c>
    </row>
    <row r="137" spans="1:34">
      <c r="A137" s="372" t="s">
        <v>1669</v>
      </c>
      <c r="B137" s="373" t="s">
        <v>1670</v>
      </c>
      <c r="C137" s="372" t="s">
        <v>1671</v>
      </c>
      <c r="D137" s="374">
        <v>1341110195582</v>
      </c>
      <c r="E137" s="372" t="s">
        <v>1672</v>
      </c>
      <c r="F137" s="375" t="s">
        <v>1003</v>
      </c>
      <c r="G137" s="375" t="s">
        <v>1212</v>
      </c>
      <c r="H137" s="375" t="s">
        <v>858</v>
      </c>
      <c r="I137" s="375" t="s">
        <v>859</v>
      </c>
      <c r="J137" s="375">
        <v>331099.81939999998</v>
      </c>
      <c r="K137" s="375">
        <v>-19956.48055</v>
      </c>
      <c r="L137" s="375">
        <v>11564.16769</v>
      </c>
      <c r="M137" s="375">
        <v>745711.38618000003</v>
      </c>
      <c r="N137" s="372">
        <v>0.754</v>
      </c>
      <c r="O137" s="704">
        <v>4.1378121973188806</v>
      </c>
      <c r="P137" s="375" t="s">
        <v>619</v>
      </c>
      <c r="Q137" s="375" t="s">
        <v>619</v>
      </c>
      <c r="R137" s="696">
        <v>20170914</v>
      </c>
      <c r="S137" s="375" t="s">
        <v>1673</v>
      </c>
      <c r="T137" s="697">
        <v>0.20900000000000002</v>
      </c>
      <c r="U137" s="375" t="s">
        <v>1674</v>
      </c>
      <c r="V137" s="722">
        <v>431.99</v>
      </c>
      <c r="W137" s="722">
        <v>3.18</v>
      </c>
      <c r="X137" s="722">
        <v>7.49</v>
      </c>
      <c r="Y137" s="722">
        <v>260.33</v>
      </c>
      <c r="Z137" s="382">
        <v>0.12548527387874997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3313.2</v>
      </c>
      <c r="AF137" s="372">
        <v>6195.6</v>
      </c>
      <c r="AG137" s="372">
        <v>5351</v>
      </c>
      <c r="AH137" s="372">
        <v>0</v>
      </c>
    </row>
    <row r="138" spans="1:34">
      <c r="A138" s="372" t="s">
        <v>1675</v>
      </c>
      <c r="B138" s="373" t="s">
        <v>1676</v>
      </c>
      <c r="C138" s="372" t="s">
        <v>1677</v>
      </c>
      <c r="D138" s="374">
        <v>1101110221814</v>
      </c>
      <c r="E138" s="372" t="s">
        <v>1678</v>
      </c>
      <c r="F138" s="375" t="s">
        <v>1679</v>
      </c>
      <c r="G138" s="375" t="s">
        <v>1680</v>
      </c>
      <c r="H138" s="375" t="s">
        <v>823</v>
      </c>
      <c r="I138" s="375" t="s">
        <v>751</v>
      </c>
      <c r="J138" s="375">
        <v>6583737.5968599999</v>
      </c>
      <c r="K138" s="375">
        <v>430685.70387000003</v>
      </c>
      <c r="L138" s="375">
        <v>660306.79515999998</v>
      </c>
      <c r="M138" s="375">
        <v>5111353.47114</v>
      </c>
      <c r="N138" s="372">
        <v>1.1759999999999999</v>
      </c>
      <c r="O138" s="704">
        <v>293.23708560307705</v>
      </c>
      <c r="P138" s="375" t="s">
        <v>619</v>
      </c>
      <c r="Q138" s="375" t="s">
        <v>619</v>
      </c>
      <c r="R138" s="696">
        <v>19730625</v>
      </c>
      <c r="S138" s="375" t="s">
        <v>1681</v>
      </c>
      <c r="T138" s="697">
        <v>0.26400000000000001</v>
      </c>
      <c r="U138" s="375" t="s">
        <v>1682</v>
      </c>
      <c r="V138" s="722">
        <v>7.71</v>
      </c>
      <c r="W138" s="722">
        <v>0.49</v>
      </c>
      <c r="X138" s="722">
        <v>0.41</v>
      </c>
      <c r="Y138" s="722">
        <v>5.78</v>
      </c>
      <c r="Z138" s="382">
        <v>4.5728743829098306E-2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68284.5</v>
      </c>
      <c r="AF138" s="372">
        <v>71733.25</v>
      </c>
      <c r="AG138" s="372">
        <v>75200.25</v>
      </c>
      <c r="AH138" s="372">
        <v>0</v>
      </c>
    </row>
    <row r="139" spans="1:34">
      <c r="A139" s="372" t="s">
        <v>1683</v>
      </c>
      <c r="B139" s="373" t="s">
        <v>1684</v>
      </c>
      <c r="C139" s="372" t="s">
        <v>1685</v>
      </c>
      <c r="D139" s="374">
        <v>1311110597525</v>
      </c>
      <c r="E139" s="372" t="s">
        <v>1686</v>
      </c>
      <c r="F139" s="375" t="s">
        <v>1354</v>
      </c>
      <c r="G139" s="375" t="s">
        <v>1354</v>
      </c>
      <c r="H139" s="375" t="s">
        <v>858</v>
      </c>
      <c r="I139" s="375" t="s">
        <v>859</v>
      </c>
      <c r="J139" s="375">
        <v>841875.63130000001</v>
      </c>
      <c r="K139" s="375">
        <v>154347.86257</v>
      </c>
      <c r="L139" s="375">
        <v>177124.57300999999</v>
      </c>
      <c r="M139" s="375">
        <v>1027796.51303</v>
      </c>
      <c r="N139" s="372">
        <v>0.876</v>
      </c>
      <c r="O139" s="704">
        <v>0.13389379931045975</v>
      </c>
      <c r="P139" s="375" t="s">
        <v>619</v>
      </c>
      <c r="Q139" s="372" t="s">
        <v>619</v>
      </c>
      <c r="R139" s="696">
        <v>20200806</v>
      </c>
      <c r="S139" s="372" t="s">
        <v>1687</v>
      </c>
      <c r="T139" s="697">
        <v>0.23100000000000001</v>
      </c>
      <c r="U139" s="372" t="s">
        <v>1688</v>
      </c>
      <c r="V139" s="722">
        <v>8.1999999999999993</v>
      </c>
      <c r="W139" s="722">
        <v>1.71</v>
      </c>
      <c r="X139" s="722">
        <v>2.0499999999999998</v>
      </c>
      <c r="Y139" s="722">
        <v>12.06</v>
      </c>
      <c r="Z139" s="382">
        <v>5.6085485238002386E-2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8773.86</v>
      </c>
      <c r="AF139" s="372">
        <v>9448.14</v>
      </c>
      <c r="AG139" s="372">
        <v>10499.14</v>
      </c>
      <c r="AH139" s="372">
        <v>11100</v>
      </c>
    </row>
    <row r="140" spans="1:34">
      <c r="A140" s="372" t="s">
        <v>1689</v>
      </c>
      <c r="B140" s="373" t="s">
        <v>1690</v>
      </c>
      <c r="C140" s="372" t="s">
        <v>1691</v>
      </c>
      <c r="D140" s="374">
        <v>1101110139017</v>
      </c>
      <c r="E140" s="372" t="s">
        <v>1692</v>
      </c>
      <c r="F140" s="375" t="s">
        <v>1693</v>
      </c>
      <c r="G140" s="375" t="s">
        <v>1693</v>
      </c>
      <c r="H140" s="375" t="s">
        <v>814</v>
      </c>
      <c r="I140" s="375" t="s">
        <v>751</v>
      </c>
      <c r="J140" s="375">
        <v>4326958.7493099999</v>
      </c>
      <c r="K140" s="375">
        <v>314310.28980999999</v>
      </c>
      <c r="L140" s="375">
        <v>281039.28333000001</v>
      </c>
      <c r="M140" s="375">
        <v>1378334.1364200001</v>
      </c>
      <c r="N140" s="372">
        <v>0.48299999999999998</v>
      </c>
      <c r="O140" s="704">
        <v>8.1361009736275829</v>
      </c>
      <c r="P140" s="375" t="s">
        <v>619</v>
      </c>
      <c r="Q140" s="372" t="s">
        <v>619</v>
      </c>
      <c r="R140" s="696">
        <v>19980303</v>
      </c>
      <c r="S140" s="372" t="s">
        <v>1694</v>
      </c>
      <c r="T140" s="697">
        <v>0.23100000000000001</v>
      </c>
      <c r="U140" s="372" t="s">
        <v>1695</v>
      </c>
      <c r="V140" s="722">
        <v>5.46</v>
      </c>
      <c r="W140" s="722">
        <v>1.28</v>
      </c>
      <c r="X140" s="722">
        <v>0.49</v>
      </c>
      <c r="Y140" s="722">
        <v>11.33</v>
      </c>
      <c r="Z140" s="382">
        <v>3.8856643806758351E-2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44085.29</v>
      </c>
      <c r="AF140" s="372">
        <v>46387.21</v>
      </c>
      <c r="AG140" s="372">
        <v>48199.42</v>
      </c>
      <c r="AH140" s="372">
        <v>0</v>
      </c>
    </row>
    <row r="141" spans="1:34">
      <c r="A141" s="372" t="s">
        <v>1696</v>
      </c>
      <c r="B141" s="373" t="s">
        <v>1697</v>
      </c>
      <c r="C141" s="372" t="s">
        <v>1698</v>
      </c>
      <c r="D141" s="374">
        <v>1101110221939</v>
      </c>
      <c r="E141" s="372" t="s">
        <v>1699</v>
      </c>
      <c r="F141" s="375" t="s">
        <v>1700</v>
      </c>
      <c r="G141" s="375" t="s">
        <v>1700</v>
      </c>
      <c r="H141" s="375" t="s">
        <v>814</v>
      </c>
      <c r="I141" s="375" t="s">
        <v>751</v>
      </c>
      <c r="J141" s="375">
        <v>2735308.5358500001</v>
      </c>
      <c r="K141" s="375">
        <v>203425.67311999999</v>
      </c>
      <c r="L141" s="375">
        <v>213097.84283000001</v>
      </c>
      <c r="M141" s="375">
        <v>1644599.73908</v>
      </c>
      <c r="N141" s="372">
        <v>0.72799999999999998</v>
      </c>
      <c r="O141" s="704">
        <v>1.3304948812281576</v>
      </c>
      <c r="P141" s="375" t="s">
        <v>619</v>
      </c>
      <c r="Q141" s="375" t="s">
        <v>619</v>
      </c>
      <c r="R141" s="696">
        <v>19960130</v>
      </c>
      <c r="S141" s="375" t="s">
        <v>1701</v>
      </c>
      <c r="T141" s="697">
        <v>0.23100000000000001</v>
      </c>
      <c r="U141" s="375" t="s">
        <v>1702</v>
      </c>
      <c r="V141" s="722">
        <v>5.96</v>
      </c>
      <c r="W141" s="722">
        <v>1.25</v>
      </c>
      <c r="X141" s="722">
        <v>0.82</v>
      </c>
      <c r="Y141" s="722">
        <v>11.44</v>
      </c>
      <c r="Z141" s="382">
        <v>4.1551984612542947E-2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27695.599999999999</v>
      </c>
      <c r="AF141" s="372">
        <v>29289.200000000001</v>
      </c>
      <c r="AG141" s="372">
        <v>30843.200000000001</v>
      </c>
      <c r="AH141" s="372">
        <v>0</v>
      </c>
    </row>
    <row r="142" spans="1:34">
      <c r="A142" s="372" t="s">
        <v>1703</v>
      </c>
      <c r="B142" s="373" t="s">
        <v>1704</v>
      </c>
      <c r="C142" s="372" t="s">
        <v>1705</v>
      </c>
      <c r="D142" s="374">
        <v>1942110003096</v>
      </c>
      <c r="E142" s="372" t="s">
        <v>1706</v>
      </c>
      <c r="F142" s="375" t="s">
        <v>1707</v>
      </c>
      <c r="G142" s="375" t="s">
        <v>1708</v>
      </c>
      <c r="H142" s="375" t="s">
        <v>858</v>
      </c>
      <c r="I142" s="375" t="s">
        <v>859</v>
      </c>
      <c r="J142" s="375">
        <v>851751.97929000005</v>
      </c>
      <c r="K142" s="375">
        <v>21149.61375</v>
      </c>
      <c r="L142" s="375">
        <v>7874.6741700000002</v>
      </c>
      <c r="M142" s="375">
        <v>310081.74651999999</v>
      </c>
      <c r="N142" s="372">
        <v>0.35</v>
      </c>
      <c r="O142" s="704">
        <v>21.445542474687162</v>
      </c>
      <c r="P142" s="375" t="s">
        <v>619</v>
      </c>
      <c r="Q142" s="375" t="s">
        <v>619</v>
      </c>
      <c r="R142" s="696">
        <v>20040804</v>
      </c>
      <c r="S142" s="375" t="s">
        <v>1709</v>
      </c>
      <c r="T142" s="697">
        <v>0.20900000000000002</v>
      </c>
      <c r="U142" s="375" t="s">
        <v>1710</v>
      </c>
      <c r="V142" s="722">
        <v>35.67</v>
      </c>
      <c r="W142" s="722">
        <v>6.31</v>
      </c>
      <c r="X142" s="722">
        <v>1.52</v>
      </c>
      <c r="Y142" s="722" t="s">
        <v>770</v>
      </c>
      <c r="Z142" s="382" t="s">
        <v>924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1711</v>
      </c>
      <c r="B143" s="373" t="s">
        <v>1712</v>
      </c>
      <c r="C143" s="372" t="s">
        <v>1713</v>
      </c>
      <c r="D143" s="374">
        <v>1341110570437</v>
      </c>
      <c r="E143" s="372" t="s">
        <v>1714</v>
      </c>
      <c r="F143" s="375" t="s">
        <v>1273</v>
      </c>
      <c r="G143" s="375" t="s">
        <v>1715</v>
      </c>
      <c r="H143" s="375" t="s">
        <v>858</v>
      </c>
      <c r="I143" s="375" t="s">
        <v>859</v>
      </c>
      <c r="J143" s="375">
        <v>141150.28145000001</v>
      </c>
      <c r="K143" s="375">
        <v>7128.7653300000002</v>
      </c>
      <c r="L143" s="375">
        <v>8745.0038299999997</v>
      </c>
      <c r="M143" s="375">
        <v>205772.17477000001</v>
      </c>
      <c r="N143" s="372" t="s">
        <v>1023</v>
      </c>
      <c r="O143" s="704">
        <v>2.0554117602677793</v>
      </c>
      <c r="P143" s="375" t="s">
        <v>619</v>
      </c>
      <c r="Q143" s="375" t="s">
        <v>619</v>
      </c>
      <c r="R143" s="696">
        <v>20231212</v>
      </c>
      <c r="S143" s="375" t="s">
        <v>1716</v>
      </c>
      <c r="T143" s="697">
        <v>0.20900000000000002</v>
      </c>
      <c r="U143" s="375" t="s">
        <v>1717</v>
      </c>
      <c r="V143" s="722">
        <v>95.65</v>
      </c>
      <c r="W143" s="722">
        <v>6.81</v>
      </c>
      <c r="X143" s="722">
        <v>8.6300000000000008</v>
      </c>
      <c r="Y143" s="722">
        <v>174.21</v>
      </c>
      <c r="Z143" s="382">
        <v>0.11582896478158733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1450</v>
      </c>
      <c r="AF143" s="372">
        <v>1827</v>
      </c>
      <c r="AG143" s="372">
        <v>2122</v>
      </c>
      <c r="AH143" s="372">
        <v>0</v>
      </c>
    </row>
    <row r="144" spans="1:34">
      <c r="A144" s="372" t="s">
        <v>1718</v>
      </c>
      <c r="B144" s="373" t="s">
        <v>1719</v>
      </c>
      <c r="C144" s="372" t="s">
        <v>1720</v>
      </c>
      <c r="D144" s="374">
        <v>1311110351682</v>
      </c>
      <c r="E144" s="372" t="s">
        <v>1721</v>
      </c>
      <c r="F144" s="375" t="s">
        <v>1003</v>
      </c>
      <c r="G144" s="375" t="s">
        <v>1003</v>
      </c>
      <c r="H144" s="375" t="s">
        <v>858</v>
      </c>
      <c r="I144" s="375" t="s">
        <v>859</v>
      </c>
      <c r="J144" s="375">
        <v>954392.60548999999</v>
      </c>
      <c r="K144" s="375">
        <v>28795.856299999999</v>
      </c>
      <c r="L144" s="375">
        <v>-409754.90847000002</v>
      </c>
      <c r="M144" s="375">
        <v>1635687.1153200001</v>
      </c>
      <c r="N144" s="372">
        <v>1.0389999999999999</v>
      </c>
      <c r="O144" s="704">
        <v>75.601153081794692</v>
      </c>
      <c r="P144" s="375" t="s">
        <v>619</v>
      </c>
      <c r="Q144" s="375" t="s">
        <v>619</v>
      </c>
      <c r="R144" s="696">
        <v>20200910</v>
      </c>
      <c r="S144" s="375" t="s">
        <v>1722</v>
      </c>
      <c r="T144" s="697" t="s">
        <v>768</v>
      </c>
      <c r="U144" s="375" t="s">
        <v>1723</v>
      </c>
      <c r="V144" s="722">
        <v>17.89</v>
      </c>
      <c r="W144" s="722">
        <v>0.94</v>
      </c>
      <c r="X144" s="722">
        <v>1.51</v>
      </c>
      <c r="Y144" s="722" t="s">
        <v>770</v>
      </c>
      <c r="Z144" s="382">
        <v>1.4582525023247861E-2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8298</v>
      </c>
      <c r="AF144" s="372">
        <v>9720.59</v>
      </c>
      <c r="AG144" s="372">
        <v>10862</v>
      </c>
      <c r="AH144" s="372">
        <v>0</v>
      </c>
    </row>
    <row r="145" spans="1:34">
      <c r="A145" s="372" t="s">
        <v>1724</v>
      </c>
      <c r="B145" s="373" t="s">
        <v>1725</v>
      </c>
      <c r="C145" s="372" t="s">
        <v>1726</v>
      </c>
      <c r="D145" s="374">
        <v>1746110000981</v>
      </c>
      <c r="E145" s="372" t="s">
        <v>1727</v>
      </c>
      <c r="F145" s="372" t="s">
        <v>890</v>
      </c>
      <c r="G145" s="375" t="s">
        <v>891</v>
      </c>
      <c r="H145" s="375" t="s">
        <v>852</v>
      </c>
      <c r="I145" s="375" t="s">
        <v>751</v>
      </c>
      <c r="J145" s="375">
        <v>3369068.8369999998</v>
      </c>
      <c r="K145" s="375">
        <v>274458.88799999998</v>
      </c>
      <c r="L145" s="375">
        <v>293567.29700000002</v>
      </c>
      <c r="M145" s="375">
        <v>4856069.4550000001</v>
      </c>
      <c r="N145" s="372">
        <v>0.86399999999999999</v>
      </c>
      <c r="O145" s="704">
        <v>151.48585661482244</v>
      </c>
      <c r="P145" s="375" t="s">
        <v>619</v>
      </c>
      <c r="Q145" s="375" t="s">
        <v>619</v>
      </c>
      <c r="R145" s="696">
        <v>19850709</v>
      </c>
      <c r="S145" s="375" t="s">
        <v>1728</v>
      </c>
      <c r="T145" s="697">
        <v>0.23100000000000001</v>
      </c>
      <c r="U145" s="375" t="s">
        <v>15825</v>
      </c>
      <c r="V145" s="722">
        <v>5.76</v>
      </c>
      <c r="W145" s="722">
        <v>0.34</v>
      </c>
      <c r="X145" s="722">
        <v>0.41</v>
      </c>
      <c r="Y145" s="722">
        <v>8.3699999999999992</v>
      </c>
      <c r="Z145" s="382">
        <v>0.13446788091927031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38245</v>
      </c>
      <c r="AF145" s="372">
        <v>41300</v>
      </c>
      <c r="AG145" s="372">
        <v>43889.86</v>
      </c>
      <c r="AH145" s="372">
        <v>0</v>
      </c>
    </row>
    <row r="146" spans="1:34">
      <c r="A146" s="372" t="s">
        <v>1730</v>
      </c>
      <c r="B146" s="373" t="s">
        <v>1731</v>
      </c>
      <c r="C146" s="372" t="s">
        <v>1732</v>
      </c>
      <c r="D146" s="374">
        <v>1201110003848</v>
      </c>
      <c r="E146" s="372" t="s">
        <v>1733</v>
      </c>
      <c r="F146" s="375" t="s">
        <v>1595</v>
      </c>
      <c r="G146" s="375" t="s">
        <v>1596</v>
      </c>
      <c r="H146" s="375" t="s">
        <v>858</v>
      </c>
      <c r="I146" s="375" t="s">
        <v>859</v>
      </c>
      <c r="J146" s="375">
        <v>1370340.4830100001</v>
      </c>
      <c r="K146" s="375">
        <v>195464.73162000001</v>
      </c>
      <c r="L146" s="375">
        <v>180109.07209999999</v>
      </c>
      <c r="M146" s="375">
        <v>955195.63430999999</v>
      </c>
      <c r="N146" s="372">
        <v>1.1459999999999999</v>
      </c>
      <c r="O146" s="704">
        <v>46.98077637173386</v>
      </c>
      <c r="P146" s="375" t="s">
        <v>619</v>
      </c>
      <c r="Q146" s="375" t="s">
        <v>619</v>
      </c>
      <c r="R146" s="696">
        <v>19991218</v>
      </c>
      <c r="S146" s="375" t="s">
        <v>1734</v>
      </c>
      <c r="T146" s="697">
        <v>0.23100000000000001</v>
      </c>
      <c r="U146" s="372" t="s">
        <v>1735</v>
      </c>
      <c r="V146" s="722">
        <v>6.77</v>
      </c>
      <c r="W146" s="722">
        <v>1.61</v>
      </c>
      <c r="X146" s="722">
        <v>1.0900000000000001</v>
      </c>
      <c r="Y146" s="722">
        <v>10.51</v>
      </c>
      <c r="Z146" s="382" t="s">
        <v>924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1736</v>
      </c>
      <c r="B147" s="373" t="s">
        <v>1737</v>
      </c>
      <c r="C147" s="372" t="s">
        <v>1738</v>
      </c>
      <c r="D147" s="374">
        <v>1101114129585</v>
      </c>
      <c r="E147" s="372" t="s">
        <v>1739</v>
      </c>
      <c r="F147" s="375" t="s">
        <v>1740</v>
      </c>
      <c r="G147" s="375" t="s">
        <v>1740</v>
      </c>
      <c r="H147" s="375" t="s">
        <v>843</v>
      </c>
      <c r="I147" s="375" t="s">
        <v>751</v>
      </c>
      <c r="J147" s="375">
        <v>3428165.3629299998</v>
      </c>
      <c r="K147" s="375">
        <v>421493.46058999997</v>
      </c>
      <c r="L147" s="375">
        <v>449756.89834999997</v>
      </c>
      <c r="M147" s="375">
        <v>3651063.4845799999</v>
      </c>
      <c r="N147" s="372">
        <v>0.69599999999999995</v>
      </c>
      <c r="O147" s="704">
        <v>25.028958105098038</v>
      </c>
      <c r="P147" s="375" t="s">
        <v>619</v>
      </c>
      <c r="Q147" s="375" t="s">
        <v>619</v>
      </c>
      <c r="R147" s="696">
        <v>20090730</v>
      </c>
      <c r="S147" s="375" t="s">
        <v>1741</v>
      </c>
      <c r="T147" s="697">
        <v>0.26400000000000001</v>
      </c>
      <c r="U147" s="375" t="s">
        <v>1742</v>
      </c>
      <c r="V147" s="722">
        <v>3.95</v>
      </c>
      <c r="W147" s="722">
        <v>0.52</v>
      </c>
      <c r="X147" s="722">
        <v>0.52</v>
      </c>
      <c r="Y147" s="722">
        <v>4.25</v>
      </c>
      <c r="Z147" s="382">
        <v>3.014396860403501E-4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33573.56</v>
      </c>
      <c r="AF147" s="372">
        <v>34498.11</v>
      </c>
      <c r="AG147" s="372">
        <v>36087.25</v>
      </c>
      <c r="AH147" s="372">
        <v>0</v>
      </c>
    </row>
    <row r="148" spans="1:34">
      <c r="A148" s="372" t="s">
        <v>1743</v>
      </c>
      <c r="B148" s="373" t="s">
        <v>1744</v>
      </c>
      <c r="C148" s="372" t="s">
        <v>1745</v>
      </c>
      <c r="D148" s="374">
        <v>1101115618355</v>
      </c>
      <c r="E148" s="372" t="s">
        <v>1746</v>
      </c>
      <c r="F148" s="375" t="s">
        <v>1747</v>
      </c>
      <c r="G148" s="375" t="s">
        <v>1747</v>
      </c>
      <c r="H148" s="375" t="s">
        <v>858</v>
      </c>
      <c r="I148" s="375" t="s">
        <v>859</v>
      </c>
      <c r="J148" s="375">
        <v>215539.93707000001</v>
      </c>
      <c r="K148" s="375">
        <v>108568.89868</v>
      </c>
      <c r="L148" s="375">
        <v>107326.42809</v>
      </c>
      <c r="M148" s="375">
        <v>341975.06912</v>
      </c>
      <c r="N148" s="372">
        <v>0.65200000000000002</v>
      </c>
      <c r="O148" s="704">
        <v>1.9104883946251903</v>
      </c>
      <c r="P148" s="375" t="s">
        <v>619</v>
      </c>
      <c r="Q148" s="375" t="s">
        <v>619</v>
      </c>
      <c r="R148" s="696">
        <v>20150403</v>
      </c>
      <c r="S148" s="375" t="s">
        <v>1748</v>
      </c>
      <c r="T148" s="697">
        <v>0.23100000000000001</v>
      </c>
      <c r="U148" s="375" t="s">
        <v>1749</v>
      </c>
      <c r="V148" s="722">
        <v>30.57</v>
      </c>
      <c r="W148" s="722">
        <v>10.119999999999999</v>
      </c>
      <c r="X148" s="722">
        <v>16.149999999999999</v>
      </c>
      <c r="Y148" s="722">
        <v>41.01</v>
      </c>
      <c r="Z148" s="382">
        <v>0.20097099553128195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2350.11</v>
      </c>
      <c r="AF148" s="372">
        <v>3012.89</v>
      </c>
      <c r="AG148" s="372">
        <v>3747.13</v>
      </c>
      <c r="AH148" s="372">
        <v>5334</v>
      </c>
    </row>
    <row r="149" spans="1:34">
      <c r="A149" s="372" t="s">
        <v>1750</v>
      </c>
      <c r="B149" s="373" t="s">
        <v>1751</v>
      </c>
      <c r="C149" s="372" t="s">
        <v>1752</v>
      </c>
      <c r="D149" s="374">
        <v>1101110520076</v>
      </c>
      <c r="E149" s="372" t="s">
        <v>1752</v>
      </c>
      <c r="F149" s="375" t="s">
        <v>1753</v>
      </c>
      <c r="G149" s="375" t="s">
        <v>1754</v>
      </c>
      <c r="H149" s="375" t="s">
        <v>750</v>
      </c>
      <c r="I149" s="375" t="s">
        <v>751</v>
      </c>
      <c r="J149" s="375">
        <v>4222668.7756099999</v>
      </c>
      <c r="K149" s="375">
        <v>337908.88527999999</v>
      </c>
      <c r="L149" s="375">
        <v>299849.86489999999</v>
      </c>
      <c r="M149" s="375">
        <v>1844870.6492399999</v>
      </c>
      <c r="N149" s="372">
        <v>0.77700000000000002</v>
      </c>
      <c r="O149" s="704">
        <v>23.869394952114177</v>
      </c>
      <c r="P149" s="375" t="s">
        <v>619</v>
      </c>
      <c r="Q149" s="375" t="s">
        <v>619</v>
      </c>
      <c r="R149" s="696">
        <v>19940711</v>
      </c>
      <c r="S149" s="375" t="s">
        <v>1755</v>
      </c>
      <c r="T149" s="697">
        <v>0.23100000000000001</v>
      </c>
      <c r="U149" s="375" t="s">
        <v>1756</v>
      </c>
      <c r="V149" s="722">
        <v>12.06</v>
      </c>
      <c r="W149" s="722">
        <v>2.67</v>
      </c>
      <c r="X149" s="722">
        <v>1.1599999999999999</v>
      </c>
      <c r="Y149" s="722">
        <v>22.46</v>
      </c>
      <c r="Z149" s="382">
        <v>5.5562187281799957E-2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43194.67</v>
      </c>
      <c r="AF149" s="372">
        <v>47315.28</v>
      </c>
      <c r="AG149" s="372">
        <v>52520.06</v>
      </c>
      <c r="AH149" s="372">
        <v>0</v>
      </c>
    </row>
    <row r="150" spans="1:34">
      <c r="A150" s="372" t="s">
        <v>1757</v>
      </c>
      <c r="B150" s="373" t="s">
        <v>1758</v>
      </c>
      <c r="C150" s="372" t="s">
        <v>1759</v>
      </c>
      <c r="D150" s="374">
        <v>1101110002959</v>
      </c>
      <c r="E150" s="372" t="s">
        <v>1760</v>
      </c>
      <c r="F150" s="375" t="s">
        <v>1761</v>
      </c>
      <c r="G150" s="375" t="s">
        <v>1762</v>
      </c>
      <c r="H150" s="375" t="s">
        <v>823</v>
      </c>
      <c r="I150" s="375" t="s">
        <v>751</v>
      </c>
      <c r="J150" s="375">
        <v>52122392</v>
      </c>
      <c r="K150" s="375">
        <v>1521473</v>
      </c>
      <c r="L150" s="375">
        <v>163835</v>
      </c>
      <c r="M150" s="375">
        <v>31257804</v>
      </c>
      <c r="N150" s="372">
        <v>1.2030000000000001</v>
      </c>
      <c r="O150" s="704">
        <v>1452.9536384405001</v>
      </c>
      <c r="P150" s="375" t="s">
        <v>619</v>
      </c>
      <c r="Q150" s="375" t="s">
        <v>619</v>
      </c>
      <c r="R150" s="696">
        <v>19760624</v>
      </c>
      <c r="S150" s="375" t="s">
        <v>1763</v>
      </c>
      <c r="T150" s="697">
        <v>0.23100000000000001</v>
      </c>
      <c r="U150" s="375" t="s">
        <v>1764</v>
      </c>
      <c r="V150" s="722">
        <v>14.77</v>
      </c>
      <c r="W150" s="722">
        <v>0.3</v>
      </c>
      <c r="X150" s="722">
        <v>0.05</v>
      </c>
      <c r="Y150" s="722" t="s">
        <v>770</v>
      </c>
      <c r="Z150" s="382">
        <v>2.5249856580816132E-2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528973</v>
      </c>
      <c r="AF150" s="372">
        <v>565460</v>
      </c>
      <c r="AG150" s="372">
        <v>587081</v>
      </c>
      <c r="AH150" s="372">
        <v>0</v>
      </c>
    </row>
    <row r="151" spans="1:34">
      <c r="A151" s="372" t="s">
        <v>1765</v>
      </c>
      <c r="B151" s="373" t="s">
        <v>1766</v>
      </c>
      <c r="C151" s="372" t="s">
        <v>1767</v>
      </c>
      <c r="D151" s="374">
        <v>1101110004286</v>
      </c>
      <c r="E151" s="372" t="s">
        <v>1768</v>
      </c>
      <c r="F151" s="375" t="s">
        <v>904</v>
      </c>
      <c r="G151" s="375" t="s">
        <v>905</v>
      </c>
      <c r="H151" s="375" t="s">
        <v>906</v>
      </c>
      <c r="I151" s="375" t="s">
        <v>751</v>
      </c>
      <c r="J151" s="375">
        <v>4513929</v>
      </c>
      <c r="K151" s="375">
        <v>430104</v>
      </c>
      <c r="L151" s="375">
        <v>320689</v>
      </c>
      <c r="M151" s="375">
        <v>5069087</v>
      </c>
      <c r="N151" s="372">
        <v>0.98899999999999999</v>
      </c>
      <c r="O151" s="704">
        <v>159.53986481616801</v>
      </c>
      <c r="P151" s="375" t="s">
        <v>619</v>
      </c>
      <c r="Q151" s="375" t="s">
        <v>619</v>
      </c>
      <c r="R151" s="696">
        <v>20070921</v>
      </c>
      <c r="S151" s="375" t="s">
        <v>1769</v>
      </c>
      <c r="T151" s="697">
        <v>0.26400000000000001</v>
      </c>
      <c r="U151" s="375" t="s">
        <v>1770</v>
      </c>
      <c r="V151" s="722">
        <v>4.57</v>
      </c>
      <c r="W151" s="722">
        <v>0.42</v>
      </c>
      <c r="X151" s="722">
        <v>0.47</v>
      </c>
      <c r="Y151" s="722">
        <v>6.75</v>
      </c>
      <c r="Z151" s="382">
        <v>3.3140942437895227E-2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46315.69</v>
      </c>
      <c r="AF151" s="372">
        <v>47559</v>
      </c>
      <c r="AG151" s="372">
        <v>49684.69</v>
      </c>
      <c r="AH151" s="372">
        <v>0</v>
      </c>
    </row>
    <row r="152" spans="1:34">
      <c r="A152" s="372" t="s">
        <v>1771</v>
      </c>
      <c r="B152" s="373" t="s">
        <v>1772</v>
      </c>
      <c r="C152" s="372" t="s">
        <v>1773</v>
      </c>
      <c r="D152" s="374">
        <v>1101110186638</v>
      </c>
      <c r="E152" s="372" t="s">
        <v>1774</v>
      </c>
      <c r="F152" s="372" t="s">
        <v>995</v>
      </c>
      <c r="G152" s="375" t="s">
        <v>996</v>
      </c>
      <c r="H152" s="375" t="s">
        <v>750</v>
      </c>
      <c r="I152" s="375" t="s">
        <v>751</v>
      </c>
      <c r="J152" s="375">
        <v>784074.19298000005</v>
      </c>
      <c r="K152" s="375">
        <v>86971.95405</v>
      </c>
      <c r="L152" s="375">
        <v>75300.340859999997</v>
      </c>
      <c r="M152" s="375">
        <v>310610.19938000001</v>
      </c>
      <c r="N152" s="372">
        <v>1.512</v>
      </c>
      <c r="O152" s="704">
        <v>8.7794981512126196</v>
      </c>
      <c r="P152" s="375" t="s">
        <v>619</v>
      </c>
      <c r="Q152" s="375" t="s">
        <v>619</v>
      </c>
      <c r="R152" s="696">
        <v>20000818</v>
      </c>
      <c r="S152" s="375" t="s">
        <v>1775</v>
      </c>
      <c r="T152" s="697">
        <v>0.23100000000000001</v>
      </c>
      <c r="U152" s="375" t="s">
        <v>1776</v>
      </c>
      <c r="V152" s="722">
        <v>22.39</v>
      </c>
      <c r="W152" s="722">
        <v>7.44</v>
      </c>
      <c r="X152" s="722">
        <v>2.95</v>
      </c>
      <c r="Y152" s="722">
        <v>37.08</v>
      </c>
      <c r="Z152" s="382">
        <v>0.14400862041597962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8544.89</v>
      </c>
      <c r="AF152" s="372">
        <v>10320.11</v>
      </c>
      <c r="AG152" s="372">
        <v>11567.38</v>
      </c>
      <c r="AH152" s="372">
        <v>0</v>
      </c>
    </row>
    <row r="153" spans="1:34">
      <c r="A153" s="372" t="s">
        <v>1777</v>
      </c>
      <c r="B153" s="373" t="s">
        <v>1778</v>
      </c>
      <c r="C153" s="372" t="s">
        <v>1779</v>
      </c>
      <c r="D153" s="374">
        <v>1101112380890</v>
      </c>
      <c r="E153" s="372" t="s">
        <v>1780</v>
      </c>
      <c r="F153" s="375" t="s">
        <v>16098</v>
      </c>
      <c r="G153" s="375" t="s">
        <v>16098</v>
      </c>
      <c r="H153" s="375" t="s">
        <v>858</v>
      </c>
      <c r="I153" s="375" t="s">
        <v>859</v>
      </c>
      <c r="J153" s="375">
        <v>363785.13084</v>
      </c>
      <c r="K153" s="375">
        <v>156510.92946000001</v>
      </c>
      <c r="L153" s="375">
        <v>154354.05770999999</v>
      </c>
      <c r="M153" s="375">
        <v>852595.02012999996</v>
      </c>
      <c r="N153" s="372">
        <v>0.53600000000000003</v>
      </c>
      <c r="O153" s="704">
        <v>0.89941308308546453</v>
      </c>
      <c r="P153" s="375" t="s">
        <v>619</v>
      </c>
      <c r="Q153" s="375" t="s">
        <v>619</v>
      </c>
      <c r="R153" s="696">
        <v>20151224</v>
      </c>
      <c r="S153" s="375" t="s">
        <v>1781</v>
      </c>
      <c r="T153" s="697">
        <v>0.23100000000000001</v>
      </c>
      <c r="U153" s="375" t="s">
        <v>1782</v>
      </c>
      <c r="V153" s="722">
        <v>17.7</v>
      </c>
      <c r="W153" s="722">
        <v>2.8</v>
      </c>
      <c r="X153" s="722">
        <v>8.36</v>
      </c>
      <c r="Y153" s="722">
        <v>27.13</v>
      </c>
      <c r="Z153" s="382">
        <v>0.13429358148463577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3811.36</v>
      </c>
      <c r="AF153" s="372">
        <v>4539.91</v>
      </c>
      <c r="AG153" s="372">
        <v>5292.3</v>
      </c>
      <c r="AH153" s="372">
        <v>5450</v>
      </c>
    </row>
    <row r="154" spans="1:34">
      <c r="A154" s="372" t="s">
        <v>1783</v>
      </c>
      <c r="B154" s="373" t="s">
        <v>1784</v>
      </c>
      <c r="C154" s="372" t="s">
        <v>1785</v>
      </c>
      <c r="D154" s="374">
        <v>1101111128340</v>
      </c>
      <c r="E154" s="372" t="s">
        <v>1786</v>
      </c>
      <c r="F154" s="375" t="s">
        <v>1072</v>
      </c>
      <c r="G154" s="375" t="s">
        <v>1527</v>
      </c>
      <c r="H154" s="375" t="s">
        <v>1528</v>
      </c>
      <c r="I154" s="375" t="s">
        <v>859</v>
      </c>
      <c r="J154" s="375">
        <v>967229.80949000001</v>
      </c>
      <c r="K154" s="375">
        <v>62656.44887</v>
      </c>
      <c r="L154" s="375">
        <v>5216.2968099999998</v>
      </c>
      <c r="M154" s="375">
        <v>848263.94791999995</v>
      </c>
      <c r="N154" s="372">
        <v>0.56200000000000006</v>
      </c>
      <c r="O154" s="704">
        <v>6.4051638802991429</v>
      </c>
      <c r="P154" s="375" t="s">
        <v>619</v>
      </c>
      <c r="Q154" s="375" t="s">
        <v>619</v>
      </c>
      <c r="R154" s="696">
        <v>20000425</v>
      </c>
      <c r="S154" s="375" t="s">
        <v>1787</v>
      </c>
      <c r="T154" s="697">
        <v>0.20900000000000002</v>
      </c>
      <c r="U154" s="375" t="s">
        <v>1788</v>
      </c>
      <c r="V154" s="722">
        <v>13.79</v>
      </c>
      <c r="W154" s="722">
        <v>2.2000000000000002</v>
      </c>
      <c r="X154" s="722">
        <v>1.64</v>
      </c>
      <c r="Y154" s="722" t="s">
        <v>770</v>
      </c>
      <c r="Z154" s="382">
        <v>6.3519676739181685E-2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9799.2199999999993</v>
      </c>
      <c r="AF154" s="372">
        <v>11238.11</v>
      </c>
      <c r="AG154" s="372">
        <v>12295.24</v>
      </c>
      <c r="AH154" s="372">
        <v>15610</v>
      </c>
    </row>
    <row r="155" spans="1:34">
      <c r="A155" s="372" t="s">
        <v>1789</v>
      </c>
      <c r="B155" s="373" t="s">
        <v>1790</v>
      </c>
      <c r="C155" s="372" t="s">
        <v>1791</v>
      </c>
      <c r="D155" s="374">
        <v>1601110354045</v>
      </c>
      <c r="E155" s="372" t="s">
        <v>1792</v>
      </c>
      <c r="F155" s="372" t="s">
        <v>1793</v>
      </c>
      <c r="G155" s="375" t="s">
        <v>1794</v>
      </c>
      <c r="H155" s="375" t="s">
        <v>858</v>
      </c>
      <c r="I155" s="375" t="s">
        <v>859</v>
      </c>
      <c r="J155" s="375">
        <v>39537.128120000001</v>
      </c>
      <c r="K155" s="375">
        <v>-66936.429829999994</v>
      </c>
      <c r="L155" s="375">
        <v>-22258.403010000002</v>
      </c>
      <c r="M155" s="375">
        <v>233013.95804999999</v>
      </c>
      <c r="N155" s="372">
        <v>1.0069999999999999</v>
      </c>
      <c r="O155" s="704">
        <v>5.9525298578786687</v>
      </c>
      <c r="P155" s="375" t="s">
        <v>619</v>
      </c>
      <c r="Q155" s="372" t="s">
        <v>619</v>
      </c>
      <c r="R155" s="696">
        <v>20220721</v>
      </c>
      <c r="S155" s="375" t="s">
        <v>1795</v>
      </c>
      <c r="T155" s="697" t="s">
        <v>768</v>
      </c>
      <c r="U155" s="372" t="s">
        <v>1796</v>
      </c>
      <c r="V155" s="722" t="s">
        <v>770</v>
      </c>
      <c r="W155" s="722">
        <v>5.33</v>
      </c>
      <c r="X155" s="722">
        <v>30.81</v>
      </c>
      <c r="Y155" s="722" t="s">
        <v>770</v>
      </c>
      <c r="Z155" s="382">
        <v>0.53654002088551311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548.33000000000004</v>
      </c>
      <c r="AF155" s="372">
        <v>860.5</v>
      </c>
      <c r="AG155" s="372">
        <v>1398</v>
      </c>
      <c r="AH155" s="372">
        <v>2087</v>
      </c>
    </row>
    <row r="156" spans="1:34">
      <c r="A156" s="372" t="s">
        <v>1797</v>
      </c>
      <c r="B156" s="373" t="s">
        <v>1798</v>
      </c>
      <c r="C156" s="372" t="s">
        <v>1799</v>
      </c>
      <c r="D156" s="374">
        <v>1101111873755</v>
      </c>
      <c r="E156" s="372" t="s">
        <v>1800</v>
      </c>
      <c r="F156" s="375" t="s">
        <v>1003</v>
      </c>
      <c r="G156" s="375" t="s">
        <v>1212</v>
      </c>
      <c r="H156" s="375" t="s">
        <v>858</v>
      </c>
      <c r="I156" s="375" t="s">
        <v>859</v>
      </c>
      <c r="J156" s="375">
        <v>663577.07056000002</v>
      </c>
      <c r="K156" s="375">
        <v>-78675.163159999996</v>
      </c>
      <c r="L156" s="375">
        <v>-163930.40098999999</v>
      </c>
      <c r="M156" s="375">
        <v>380876.33672000002</v>
      </c>
      <c r="N156" s="372">
        <v>1.117</v>
      </c>
      <c r="O156" s="704">
        <v>15.688915085479469</v>
      </c>
      <c r="P156" s="375" t="s">
        <v>619</v>
      </c>
      <c r="Q156" s="375" t="s">
        <v>619</v>
      </c>
      <c r="R156" s="696">
        <v>20091218</v>
      </c>
      <c r="S156" s="375" t="s">
        <v>1801</v>
      </c>
      <c r="T156" s="697" t="s">
        <v>768</v>
      </c>
      <c r="U156" s="375" t="s">
        <v>1802</v>
      </c>
      <c r="V156" s="722" t="s">
        <v>770</v>
      </c>
      <c r="W156" s="722">
        <v>4.6399999999999997</v>
      </c>
      <c r="X156" s="722">
        <v>1.74</v>
      </c>
      <c r="Y156" s="722" t="s">
        <v>770</v>
      </c>
      <c r="Z156" s="382">
        <v>9.1431437554256423E-2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7077.4</v>
      </c>
      <c r="AF156" s="372">
        <v>8004.8</v>
      </c>
      <c r="AG156" s="372">
        <v>8588.6</v>
      </c>
      <c r="AH156" s="372">
        <v>0</v>
      </c>
    </row>
    <row r="157" spans="1:34">
      <c r="A157" s="372" t="s">
        <v>1803</v>
      </c>
      <c r="B157" s="373" t="s">
        <v>1804</v>
      </c>
      <c r="C157" s="372" t="s">
        <v>1805</v>
      </c>
      <c r="D157" s="374">
        <v>1101112810590</v>
      </c>
      <c r="E157" s="372" t="s">
        <v>1806</v>
      </c>
      <c r="F157" s="375" t="s">
        <v>16102</v>
      </c>
      <c r="G157" s="375" t="s">
        <v>16102</v>
      </c>
      <c r="H157" s="375" t="s">
        <v>823</v>
      </c>
      <c r="I157" s="375" t="s">
        <v>751</v>
      </c>
      <c r="J157" s="375">
        <v>4352312.7564300001</v>
      </c>
      <c r="K157" s="375">
        <v>609497.20591999998</v>
      </c>
      <c r="L157" s="375">
        <v>451719.09509999998</v>
      </c>
      <c r="M157" s="375">
        <v>1675953.92341</v>
      </c>
      <c r="N157" s="372">
        <v>1.0980000000000001</v>
      </c>
      <c r="O157" s="704">
        <v>164.68870056149296</v>
      </c>
      <c r="P157" s="375" t="s">
        <v>619</v>
      </c>
      <c r="Q157" s="375" t="s">
        <v>619</v>
      </c>
      <c r="R157" s="696">
        <v>20050217</v>
      </c>
      <c r="S157" s="375" t="s">
        <v>1807</v>
      </c>
      <c r="T157" s="697">
        <v>0.26400000000000001</v>
      </c>
      <c r="U157" s="375" t="s">
        <v>1808</v>
      </c>
      <c r="V157" s="722">
        <v>3.75</v>
      </c>
      <c r="W157" s="722">
        <v>0.85</v>
      </c>
      <c r="X157" s="722">
        <v>0.3</v>
      </c>
      <c r="Y157" s="722">
        <v>3.88</v>
      </c>
      <c r="Z157" s="382">
        <v>5.7088155994891032E-2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44559.38</v>
      </c>
      <c r="AF157" s="372">
        <v>47730.13</v>
      </c>
      <c r="AG157" s="372">
        <v>50463.57</v>
      </c>
      <c r="AH157" s="372">
        <v>57840</v>
      </c>
    </row>
    <row r="158" spans="1:34">
      <c r="A158" s="372" t="s">
        <v>1809</v>
      </c>
      <c r="B158" s="373" t="s">
        <v>1810</v>
      </c>
      <c r="C158" s="372" t="s">
        <v>1811</v>
      </c>
      <c r="D158" s="374">
        <v>1101110003098</v>
      </c>
      <c r="E158" s="372" t="s">
        <v>1812</v>
      </c>
      <c r="F158" s="375" t="s">
        <v>890</v>
      </c>
      <c r="G158" s="375" t="s">
        <v>891</v>
      </c>
      <c r="H158" s="375" t="s">
        <v>852</v>
      </c>
      <c r="I158" s="375" t="s">
        <v>751</v>
      </c>
      <c r="J158" s="375">
        <v>8826153.5509500001</v>
      </c>
      <c r="K158" s="375">
        <v>459947.97021</v>
      </c>
      <c r="L158" s="375">
        <v>155155.39744</v>
      </c>
      <c r="M158" s="375">
        <v>3133700.2302999999</v>
      </c>
      <c r="N158" s="372">
        <v>0.622</v>
      </c>
      <c r="O158" s="704">
        <v>207.12614851194951</v>
      </c>
      <c r="P158" s="375" t="s">
        <v>619</v>
      </c>
      <c r="Q158" s="375" t="s">
        <v>619</v>
      </c>
      <c r="R158" s="696">
        <v>19890307</v>
      </c>
      <c r="S158" s="375" t="s">
        <v>851</v>
      </c>
      <c r="T158" s="697">
        <v>0.23100000000000001</v>
      </c>
      <c r="U158" s="372" t="s">
        <v>15826</v>
      </c>
      <c r="V158" s="722">
        <v>4.55</v>
      </c>
      <c r="W158" s="722">
        <v>0.35</v>
      </c>
      <c r="X158" s="722">
        <v>0.15</v>
      </c>
      <c r="Y158" s="722">
        <v>23.12</v>
      </c>
      <c r="Z158" s="382">
        <v>3.734323216341795E-2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92310</v>
      </c>
      <c r="AF158" s="372">
        <v>99100</v>
      </c>
      <c r="AG158" s="372">
        <v>103620</v>
      </c>
      <c r="AH158" s="372">
        <v>0</v>
      </c>
    </row>
    <row r="159" spans="1:34">
      <c r="A159" s="372" t="s">
        <v>1813</v>
      </c>
      <c r="B159" s="373" t="s">
        <v>1814</v>
      </c>
      <c r="C159" s="372" t="s">
        <v>1815</v>
      </c>
      <c r="D159" s="374">
        <v>1101110035835</v>
      </c>
      <c r="E159" s="372" t="s">
        <v>1816</v>
      </c>
      <c r="F159" s="375" t="s">
        <v>1817</v>
      </c>
      <c r="G159" s="375" t="s">
        <v>1818</v>
      </c>
      <c r="H159" s="375" t="s">
        <v>750</v>
      </c>
      <c r="I159" s="375" t="s">
        <v>751</v>
      </c>
      <c r="J159" s="375">
        <v>3212945.3879999998</v>
      </c>
      <c r="K159" s="375">
        <v>114114.664</v>
      </c>
      <c r="L159" s="375">
        <v>97457.641000000003</v>
      </c>
      <c r="M159" s="375">
        <v>1503432.3859999999</v>
      </c>
      <c r="N159" s="372">
        <v>0.877</v>
      </c>
      <c r="O159" s="704">
        <v>15.306424984894159</v>
      </c>
      <c r="P159" s="375" t="s">
        <v>619</v>
      </c>
      <c r="Q159" s="375" t="s">
        <v>619</v>
      </c>
      <c r="R159" s="696">
        <v>19681227</v>
      </c>
      <c r="S159" s="375" t="s">
        <v>1819</v>
      </c>
      <c r="T159" s="697">
        <v>0.23100000000000001</v>
      </c>
      <c r="U159" s="375" t="s">
        <v>1820</v>
      </c>
      <c r="V159" s="722">
        <v>16.11</v>
      </c>
      <c r="W159" s="722">
        <v>1.51</v>
      </c>
      <c r="X159" s="722">
        <v>0.61</v>
      </c>
      <c r="Y159" s="722">
        <v>18.45</v>
      </c>
      <c r="Z159" s="382">
        <v>8.5525796446777047E-2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33380</v>
      </c>
      <c r="AF159" s="372">
        <v>37310</v>
      </c>
      <c r="AG159" s="372">
        <v>39490</v>
      </c>
      <c r="AH159" s="372">
        <v>0</v>
      </c>
    </row>
    <row r="160" spans="1:34">
      <c r="A160" s="372" t="s">
        <v>1821</v>
      </c>
      <c r="B160" s="373" t="s">
        <v>1822</v>
      </c>
      <c r="C160" s="372" t="s">
        <v>1823</v>
      </c>
      <c r="D160" s="374">
        <v>1101110180888</v>
      </c>
      <c r="E160" s="372" t="s">
        <v>1824</v>
      </c>
      <c r="F160" s="375" t="s">
        <v>1825</v>
      </c>
      <c r="G160" s="375" t="s">
        <v>1826</v>
      </c>
      <c r="H160" s="375" t="s">
        <v>843</v>
      </c>
      <c r="I160" s="375" t="s">
        <v>751</v>
      </c>
      <c r="J160" s="375">
        <v>479362.64192999998</v>
      </c>
      <c r="K160" s="375">
        <v>42604.61148</v>
      </c>
      <c r="L160" s="375">
        <v>180614.23405999999</v>
      </c>
      <c r="M160" s="375">
        <v>1674558.46214</v>
      </c>
      <c r="N160" s="372">
        <v>0.74</v>
      </c>
      <c r="O160" s="704">
        <v>0.15534569050709482</v>
      </c>
      <c r="P160" s="375" t="s">
        <v>619</v>
      </c>
      <c r="Q160" s="375" t="s">
        <v>619</v>
      </c>
      <c r="R160" s="696">
        <v>19951227</v>
      </c>
      <c r="S160" s="375" t="s">
        <v>1827</v>
      </c>
      <c r="T160" s="697">
        <v>0.23100000000000001</v>
      </c>
      <c r="U160" s="375" t="s">
        <v>1828</v>
      </c>
      <c r="V160" s="722">
        <v>41.05</v>
      </c>
      <c r="W160" s="722">
        <v>1.1399999999999999</v>
      </c>
      <c r="X160" s="722">
        <v>3.98</v>
      </c>
      <c r="Y160" s="722">
        <v>11.73</v>
      </c>
      <c r="Z160" s="382" t="s">
        <v>924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1829</v>
      </c>
      <c r="B161" s="373" t="s">
        <v>1830</v>
      </c>
      <c r="C161" s="372" t="s">
        <v>1831</v>
      </c>
      <c r="D161" s="374">
        <v>1311110057876</v>
      </c>
      <c r="E161" s="372" t="s">
        <v>1832</v>
      </c>
      <c r="F161" s="375" t="s">
        <v>1833</v>
      </c>
      <c r="G161" s="375" t="s">
        <v>1833</v>
      </c>
      <c r="H161" s="375" t="s">
        <v>3096</v>
      </c>
      <c r="I161" s="375" t="s">
        <v>859</v>
      </c>
      <c r="J161" s="375">
        <v>160169.22829999999</v>
      </c>
      <c r="K161" s="375">
        <v>39748.991800000003</v>
      </c>
      <c r="L161" s="375">
        <v>56151.345780000003</v>
      </c>
      <c r="M161" s="375">
        <v>511371.07293999998</v>
      </c>
      <c r="N161" s="372">
        <v>1.2729999999999999</v>
      </c>
      <c r="O161" s="704">
        <v>1.5388562332717775</v>
      </c>
      <c r="P161" s="375" t="s">
        <v>619</v>
      </c>
      <c r="Q161" s="375" t="s">
        <v>619</v>
      </c>
      <c r="R161" s="696">
        <v>20071001</v>
      </c>
      <c r="S161" s="375" t="s">
        <v>1834</v>
      </c>
      <c r="T161" s="697">
        <v>0.23100000000000001</v>
      </c>
      <c r="U161" s="375" t="s">
        <v>1835</v>
      </c>
      <c r="V161" s="722">
        <v>26.12</v>
      </c>
      <c r="W161" s="722">
        <v>2.3199999999999998</v>
      </c>
      <c r="X161" s="722">
        <v>7.65</v>
      </c>
      <c r="Y161" s="722">
        <v>27.24</v>
      </c>
      <c r="Z161" s="382">
        <v>0.1710937261650638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1808.33</v>
      </c>
      <c r="AF161" s="372">
        <v>2251.67</v>
      </c>
      <c r="AG161" s="372">
        <v>2637.44</v>
      </c>
      <c r="AH161" s="372">
        <v>4120</v>
      </c>
    </row>
    <row r="162" spans="1:34">
      <c r="A162" s="372" t="s">
        <v>1836</v>
      </c>
      <c r="B162" s="373" t="s">
        <v>1837</v>
      </c>
      <c r="C162" s="372" t="s">
        <v>1838</v>
      </c>
      <c r="D162" s="374">
        <v>1641110000397</v>
      </c>
      <c r="E162" s="372" t="s">
        <v>1839</v>
      </c>
      <c r="F162" s="375" t="s">
        <v>1320</v>
      </c>
      <c r="G162" s="375" t="s">
        <v>16103</v>
      </c>
      <c r="H162" s="375" t="s">
        <v>781</v>
      </c>
      <c r="I162" s="375" t="s">
        <v>751</v>
      </c>
      <c r="J162" s="375">
        <v>134244.51861999999</v>
      </c>
      <c r="K162" s="375">
        <v>-6771.8385200000002</v>
      </c>
      <c r="L162" s="375">
        <v>-7221.8963299999996</v>
      </c>
      <c r="M162" s="375">
        <v>171355.09841000001</v>
      </c>
      <c r="N162" s="372">
        <v>0.77700000000000002</v>
      </c>
      <c r="O162" s="704">
        <v>6.5343197641040421E-2</v>
      </c>
      <c r="P162" s="375" t="s">
        <v>619</v>
      </c>
      <c r="Q162" s="375" t="s">
        <v>619</v>
      </c>
      <c r="R162" s="696">
        <v>19891218</v>
      </c>
      <c r="S162" s="375" t="s">
        <v>1840</v>
      </c>
      <c r="T162" s="697" t="s">
        <v>768</v>
      </c>
      <c r="U162" s="375" t="s">
        <v>1841</v>
      </c>
      <c r="V162" s="722" t="s">
        <v>770</v>
      </c>
      <c r="W162" s="722">
        <v>10.98</v>
      </c>
      <c r="X162" s="722">
        <v>15.08</v>
      </c>
      <c r="Y162" s="722" t="s">
        <v>770</v>
      </c>
      <c r="Z162" s="382">
        <v>9.4801493773313705E-2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1408.96</v>
      </c>
      <c r="AF162" s="372">
        <v>1650.84</v>
      </c>
      <c r="AG162" s="372">
        <v>1938.14</v>
      </c>
      <c r="AH162" s="372">
        <v>2493.5</v>
      </c>
    </row>
    <row r="163" spans="1:34">
      <c r="A163" s="372" t="s">
        <v>1842</v>
      </c>
      <c r="B163" s="373" t="s">
        <v>1843</v>
      </c>
      <c r="C163" s="372" t="s">
        <v>1844</v>
      </c>
      <c r="D163" s="374">
        <v>1101112137895</v>
      </c>
      <c r="E163" s="372" t="s">
        <v>1845</v>
      </c>
      <c r="F163" s="375" t="s">
        <v>1846</v>
      </c>
      <c r="G163" s="375" t="s">
        <v>1847</v>
      </c>
      <c r="H163" s="375" t="s">
        <v>1383</v>
      </c>
      <c r="I163" s="375" t="s">
        <v>751</v>
      </c>
      <c r="J163" s="375">
        <v>10634795.348549999</v>
      </c>
      <c r="K163" s="375">
        <v>359809.48751000001</v>
      </c>
      <c r="L163" s="375">
        <v>489871.58421</v>
      </c>
      <c r="M163" s="375">
        <v>4163801.6274100002</v>
      </c>
      <c r="N163" s="372">
        <v>0.78900000000000003</v>
      </c>
      <c r="O163" s="704">
        <v>267.80313637863537</v>
      </c>
      <c r="P163" s="375" t="s">
        <v>619</v>
      </c>
      <c r="Q163" s="375" t="s">
        <v>619</v>
      </c>
      <c r="R163" s="696">
        <v>20010323</v>
      </c>
      <c r="S163" s="375" t="s">
        <v>1848</v>
      </c>
      <c r="T163" s="697">
        <v>0.26400000000000001</v>
      </c>
      <c r="U163" s="375" t="s">
        <v>1849</v>
      </c>
      <c r="V163" s="722">
        <v>7.6</v>
      </c>
      <c r="W163" s="722">
        <v>0.37</v>
      </c>
      <c r="X163" s="722">
        <v>0.15</v>
      </c>
      <c r="Y163" s="722">
        <v>4.8600000000000003</v>
      </c>
      <c r="Z163" s="382">
        <v>-1.1773675669276451E-2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104178.16</v>
      </c>
      <c r="AF163" s="372">
        <v>105066.42</v>
      </c>
      <c r="AG163" s="372">
        <v>111088.63</v>
      </c>
      <c r="AH163" s="372">
        <v>105000</v>
      </c>
    </row>
    <row r="164" spans="1:34">
      <c r="A164" s="372" t="s">
        <v>1850</v>
      </c>
      <c r="B164" s="373" t="s">
        <v>1851</v>
      </c>
      <c r="C164" s="372" t="s">
        <v>1852</v>
      </c>
      <c r="D164" s="374">
        <v>1101110028848</v>
      </c>
      <c r="E164" s="372" t="s">
        <v>1853</v>
      </c>
      <c r="F164" s="372" t="s">
        <v>1645</v>
      </c>
      <c r="G164" s="375" t="s">
        <v>1646</v>
      </c>
      <c r="H164" s="375" t="s">
        <v>843</v>
      </c>
      <c r="I164" s="375" t="s">
        <v>751</v>
      </c>
      <c r="J164" s="375">
        <v>6469501.6327200001</v>
      </c>
      <c r="K164" s="375">
        <v>579388.92764999997</v>
      </c>
      <c r="L164" s="375">
        <v>379258.23968</v>
      </c>
      <c r="M164" s="375">
        <v>6418808.3838299997</v>
      </c>
      <c r="N164" s="372">
        <v>0.76300000000000001</v>
      </c>
      <c r="O164" s="704">
        <v>377.70772407992376</v>
      </c>
      <c r="P164" s="375" t="s">
        <v>619</v>
      </c>
      <c r="Q164" s="375" t="s">
        <v>619</v>
      </c>
      <c r="R164" s="696">
        <v>19850819</v>
      </c>
      <c r="S164" s="375" t="s">
        <v>1854</v>
      </c>
      <c r="T164" s="697">
        <v>0.26400000000000001</v>
      </c>
      <c r="U164" s="375" t="s">
        <v>1855</v>
      </c>
      <c r="V164" s="722">
        <v>7.75</v>
      </c>
      <c r="W164" s="722">
        <v>0.35</v>
      </c>
      <c r="X164" s="722">
        <v>0.24</v>
      </c>
      <c r="Y164" s="722">
        <v>8.73</v>
      </c>
      <c r="Z164" s="382">
        <v>3.0216903540527085E-2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65179.12</v>
      </c>
      <c r="AF164" s="372">
        <v>68643.820000000007</v>
      </c>
      <c r="AG164" s="372">
        <v>71609.88</v>
      </c>
      <c r="AH164" s="372">
        <v>0</v>
      </c>
    </row>
    <row r="165" spans="1:34">
      <c r="A165" s="372" t="s">
        <v>1856</v>
      </c>
      <c r="B165" s="373" t="s">
        <v>1857</v>
      </c>
      <c r="C165" s="372" t="s">
        <v>1858</v>
      </c>
      <c r="D165" s="374">
        <v>1313110140776</v>
      </c>
      <c r="E165" s="372" t="s">
        <v>1859</v>
      </c>
      <c r="F165" s="375" t="s">
        <v>1860</v>
      </c>
      <c r="G165" s="375" t="s">
        <v>1861</v>
      </c>
      <c r="H165" s="375" t="s">
        <v>789</v>
      </c>
      <c r="I165" s="375" t="s">
        <v>751</v>
      </c>
      <c r="J165" s="375">
        <v>8616860.6082499996</v>
      </c>
      <c r="K165" s="375">
        <v>298330.17709999997</v>
      </c>
      <c r="L165" s="375">
        <v>255481.92296</v>
      </c>
      <c r="M165" s="375">
        <v>2490245.6275900002</v>
      </c>
      <c r="N165" s="372">
        <v>0.752</v>
      </c>
      <c r="O165" s="704">
        <v>133.86729132581115</v>
      </c>
      <c r="P165" s="375" t="s">
        <v>619</v>
      </c>
      <c r="Q165" s="375" t="s">
        <v>619</v>
      </c>
      <c r="R165" s="696">
        <v>20141006</v>
      </c>
      <c r="S165" s="375" t="s">
        <v>1862</v>
      </c>
      <c r="T165" s="697">
        <v>0.23100000000000001</v>
      </c>
      <c r="U165" s="375" t="s">
        <v>1863</v>
      </c>
      <c r="V165" s="722">
        <v>5.7</v>
      </c>
      <c r="W165" s="722">
        <v>0.74</v>
      </c>
      <c r="X165" s="722">
        <v>0.2</v>
      </c>
      <c r="Y165" s="722">
        <v>14.06</v>
      </c>
      <c r="Z165" s="382">
        <v>4.8424510104593033E-2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87104.5</v>
      </c>
      <c r="AF165" s="372">
        <v>94667.55</v>
      </c>
      <c r="AG165" s="372">
        <v>101407.57</v>
      </c>
      <c r="AH165" s="372">
        <v>107440</v>
      </c>
    </row>
    <row r="166" spans="1:34">
      <c r="A166" s="372" t="s">
        <v>1864</v>
      </c>
      <c r="B166" s="373" t="s">
        <v>1865</v>
      </c>
      <c r="C166" s="372" t="s">
        <v>1866</v>
      </c>
      <c r="D166" s="374">
        <v>1301110033281</v>
      </c>
      <c r="E166" s="372" t="s">
        <v>1867</v>
      </c>
      <c r="F166" s="375" t="s">
        <v>1868</v>
      </c>
      <c r="G166" s="375" t="s">
        <v>1869</v>
      </c>
      <c r="H166" s="375" t="s">
        <v>858</v>
      </c>
      <c r="I166" s="375" t="s">
        <v>859</v>
      </c>
      <c r="J166" s="375">
        <v>399413.08997999999</v>
      </c>
      <c r="K166" s="375">
        <v>115163.42412</v>
      </c>
      <c r="L166" s="375">
        <v>130805.27043</v>
      </c>
      <c r="M166" s="375">
        <v>596957.94614999997</v>
      </c>
      <c r="N166" s="372">
        <v>1.4279999999999999</v>
      </c>
      <c r="O166" s="704">
        <v>3.5010121500166407</v>
      </c>
      <c r="P166" s="375" t="s">
        <v>619</v>
      </c>
      <c r="Q166" s="375" t="s">
        <v>619</v>
      </c>
      <c r="R166" s="696">
        <v>19991222</v>
      </c>
      <c r="S166" s="375" t="s">
        <v>1870</v>
      </c>
      <c r="T166" s="697">
        <v>0.23100000000000001</v>
      </c>
      <c r="U166" s="375" t="s">
        <v>1871</v>
      </c>
      <c r="V166" s="722">
        <v>9.4600000000000009</v>
      </c>
      <c r="W166" s="722">
        <v>2.12</v>
      </c>
      <c r="X166" s="722">
        <v>3.22</v>
      </c>
      <c r="Y166" s="722">
        <v>11.52</v>
      </c>
      <c r="Z166" s="382">
        <v>0.20567072740935677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4101.13</v>
      </c>
      <c r="AF166" s="372">
        <v>5209</v>
      </c>
      <c r="AG166" s="372">
        <v>6016.88</v>
      </c>
      <c r="AH166" s="372">
        <v>8110</v>
      </c>
    </row>
    <row r="167" spans="1:34">
      <c r="A167" s="372" t="s">
        <v>1872</v>
      </c>
      <c r="B167" s="373" t="s">
        <v>1873</v>
      </c>
      <c r="C167" s="372" t="s">
        <v>1874</v>
      </c>
      <c r="D167" s="374">
        <v>1101117736808</v>
      </c>
      <c r="E167" s="372" t="s">
        <v>1875</v>
      </c>
      <c r="F167" s="372" t="s">
        <v>1876</v>
      </c>
      <c r="G167" s="375" t="s">
        <v>1876</v>
      </c>
      <c r="H167" s="375" t="s">
        <v>1383</v>
      </c>
      <c r="I167" s="375" t="s">
        <v>751</v>
      </c>
      <c r="J167" s="375">
        <v>8212622.4649299998</v>
      </c>
      <c r="K167" s="375">
        <v>265032.76166000002</v>
      </c>
      <c r="L167" s="375">
        <v>167721.21874000001</v>
      </c>
      <c r="M167" s="375">
        <v>4818910.9574499996</v>
      </c>
      <c r="N167" s="372">
        <v>0.78300000000000003</v>
      </c>
      <c r="O167" s="704">
        <v>109.76865747701335</v>
      </c>
      <c r="P167" s="375" t="s">
        <v>619</v>
      </c>
      <c r="Q167" s="375" t="s">
        <v>619</v>
      </c>
      <c r="R167" s="696">
        <v>20210125</v>
      </c>
      <c r="S167" s="375" t="s">
        <v>1877</v>
      </c>
      <c r="T167" s="697">
        <v>0.23100000000000001</v>
      </c>
      <c r="U167" s="375" t="s">
        <v>1878</v>
      </c>
      <c r="V167" s="722">
        <v>3.49</v>
      </c>
      <c r="W167" s="722">
        <v>0.26</v>
      </c>
      <c r="X167" s="722">
        <v>0.16</v>
      </c>
      <c r="Y167" s="722">
        <v>11.05</v>
      </c>
      <c r="Z167" s="382">
        <v>2.5917191418114438E-2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81199.53</v>
      </c>
      <c r="AF167" s="372">
        <v>83525.53</v>
      </c>
      <c r="AG167" s="372">
        <v>88522.53</v>
      </c>
      <c r="AH167" s="372">
        <v>91470</v>
      </c>
    </row>
    <row r="168" spans="1:34">
      <c r="A168" s="372" t="s">
        <v>1879</v>
      </c>
      <c r="B168" s="373" t="s">
        <v>1880</v>
      </c>
      <c r="C168" s="372" t="s">
        <v>1881</v>
      </c>
      <c r="D168" s="374">
        <v>1301110005199</v>
      </c>
      <c r="E168" s="372" t="s">
        <v>1882</v>
      </c>
      <c r="F168" s="375" t="s">
        <v>842</v>
      </c>
      <c r="G168" s="375" t="s">
        <v>842</v>
      </c>
      <c r="H168" s="375" t="s">
        <v>843</v>
      </c>
      <c r="I168" s="375" t="s">
        <v>751</v>
      </c>
      <c r="J168" s="375">
        <v>9480303</v>
      </c>
      <c r="K168" s="375">
        <v>254226</v>
      </c>
      <c r="L168" s="375">
        <v>100116</v>
      </c>
      <c r="M168" s="375">
        <v>2147416</v>
      </c>
      <c r="N168" s="372">
        <v>0.86199999999999999</v>
      </c>
      <c r="O168" s="704">
        <v>216.82045110907549</v>
      </c>
      <c r="P168" s="375" t="s">
        <v>619</v>
      </c>
      <c r="Q168" s="375" t="s">
        <v>619</v>
      </c>
      <c r="R168" s="696">
        <v>19770630</v>
      </c>
      <c r="S168" s="375" t="s">
        <v>1883</v>
      </c>
      <c r="T168" s="697">
        <v>0.23100000000000001</v>
      </c>
      <c r="U168" s="375" t="s">
        <v>1884</v>
      </c>
      <c r="V168" s="722">
        <v>2.13</v>
      </c>
      <c r="W168" s="722">
        <v>0.47</v>
      </c>
      <c r="X168" s="722">
        <v>0.12</v>
      </c>
      <c r="Y168" s="722">
        <v>15.11</v>
      </c>
      <c r="Z168" s="382">
        <v>-1.8705216256769575E-2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82211.600000000006</v>
      </c>
      <c r="AF168" s="372">
        <v>82581.399999999994</v>
      </c>
      <c r="AG168" s="372">
        <v>84694</v>
      </c>
      <c r="AH168" s="372">
        <v>0</v>
      </c>
    </row>
    <row r="169" spans="1:34">
      <c r="A169" s="372" t="s">
        <v>1885</v>
      </c>
      <c r="B169" s="373" t="s">
        <v>1886</v>
      </c>
      <c r="C169" s="372" t="s">
        <v>1887</v>
      </c>
      <c r="D169" s="374">
        <v>1101116770154</v>
      </c>
      <c r="E169" s="372" t="s">
        <v>1888</v>
      </c>
      <c r="F169" s="375" t="s">
        <v>1411</v>
      </c>
      <c r="G169" s="375" t="s">
        <v>1411</v>
      </c>
      <c r="H169" s="375" t="s">
        <v>750</v>
      </c>
      <c r="I169" s="375" t="s">
        <v>751</v>
      </c>
      <c r="J169" s="375">
        <v>4615479.8406699998</v>
      </c>
      <c r="K169" s="375">
        <v>293692.13159</v>
      </c>
      <c r="L169" s="375">
        <v>206385.08720000001</v>
      </c>
      <c r="M169" s="375">
        <v>1325839.06115</v>
      </c>
      <c r="N169" s="372">
        <v>0.71199999999999997</v>
      </c>
      <c r="O169" s="704">
        <v>35.376113310943097</v>
      </c>
      <c r="P169" s="375" t="s">
        <v>619</v>
      </c>
      <c r="Q169" s="375" t="s">
        <v>619</v>
      </c>
      <c r="R169" s="696">
        <v>20180713</v>
      </c>
      <c r="S169" s="375" t="s">
        <v>768</v>
      </c>
      <c r="T169" s="697">
        <v>0.23100000000000001</v>
      </c>
      <c r="U169" s="375" t="s">
        <v>1889</v>
      </c>
      <c r="V169" s="722">
        <v>12</v>
      </c>
      <c r="W169" s="722">
        <v>2.74</v>
      </c>
      <c r="X169" s="722">
        <v>0.7</v>
      </c>
      <c r="Y169" s="722">
        <v>20.72</v>
      </c>
      <c r="Z169" s="382">
        <v>7.7022165771320594E-2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47740.5</v>
      </c>
      <c r="AF169" s="372">
        <v>52747.08</v>
      </c>
      <c r="AG169" s="372">
        <v>57866.17</v>
      </c>
      <c r="AH169" s="372">
        <v>72940</v>
      </c>
    </row>
    <row r="170" spans="1:34">
      <c r="A170" s="372" t="s">
        <v>1890</v>
      </c>
      <c r="B170" s="373" t="s">
        <v>1891</v>
      </c>
      <c r="C170" s="372" t="s">
        <v>1892</v>
      </c>
      <c r="D170" s="374">
        <v>1341110002258</v>
      </c>
      <c r="E170" s="372" t="s">
        <v>1893</v>
      </c>
      <c r="F170" s="375" t="s">
        <v>2219</v>
      </c>
      <c r="G170" s="375" t="s">
        <v>2219</v>
      </c>
      <c r="H170" s="375" t="s">
        <v>1313</v>
      </c>
      <c r="I170" s="375" t="s">
        <v>751</v>
      </c>
      <c r="J170" s="375">
        <v>3481769.8809699998</v>
      </c>
      <c r="K170" s="375">
        <v>240352.78393000001</v>
      </c>
      <c r="L170" s="375">
        <v>221017.30875</v>
      </c>
      <c r="M170" s="375">
        <v>2166866.3119299999</v>
      </c>
      <c r="N170" s="372">
        <v>0.63700000000000001</v>
      </c>
      <c r="O170" s="704">
        <v>58.79697199760551</v>
      </c>
      <c r="P170" s="375" t="s">
        <v>619</v>
      </c>
      <c r="Q170" s="375" t="s">
        <v>619</v>
      </c>
      <c r="R170" s="696">
        <v>19940812</v>
      </c>
      <c r="S170" s="375" t="s">
        <v>1894</v>
      </c>
      <c r="T170" s="697">
        <v>0.23100000000000001</v>
      </c>
      <c r="U170" s="375" t="s">
        <v>1895</v>
      </c>
      <c r="V170" s="722">
        <v>4.58</v>
      </c>
      <c r="W170" s="722">
        <v>0.72</v>
      </c>
      <c r="X170" s="722">
        <v>0.49</v>
      </c>
      <c r="Y170" s="722">
        <v>10.92</v>
      </c>
      <c r="Z170" s="382">
        <v>2.1339805996808625E-2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35355</v>
      </c>
      <c r="AF170" s="372">
        <v>36453</v>
      </c>
      <c r="AG170" s="372">
        <v>37590</v>
      </c>
      <c r="AH170" s="372">
        <v>0</v>
      </c>
    </row>
    <row r="171" spans="1:34">
      <c r="A171" s="372" t="s">
        <v>1896</v>
      </c>
      <c r="B171" s="373" t="s">
        <v>1897</v>
      </c>
      <c r="C171" s="372" t="s">
        <v>1898</v>
      </c>
      <c r="D171" s="374">
        <v>1344110001519</v>
      </c>
      <c r="E171" s="372" t="s">
        <v>1899</v>
      </c>
      <c r="F171" s="372" t="s">
        <v>1900</v>
      </c>
      <c r="G171" s="375" t="s">
        <v>1901</v>
      </c>
      <c r="H171" s="375" t="s">
        <v>1040</v>
      </c>
      <c r="I171" s="375" t="s">
        <v>751</v>
      </c>
      <c r="J171" s="375">
        <v>2801671.2228799998</v>
      </c>
      <c r="K171" s="375">
        <v>163507.73353</v>
      </c>
      <c r="L171" s="375">
        <v>102514.72894</v>
      </c>
      <c r="M171" s="375">
        <v>1260442.56</v>
      </c>
      <c r="N171" s="372">
        <v>0.78600000000000003</v>
      </c>
      <c r="O171" s="704">
        <v>55.793100099547942</v>
      </c>
      <c r="P171" s="375" t="s">
        <v>619</v>
      </c>
      <c r="Q171" s="375" t="s">
        <v>619</v>
      </c>
      <c r="R171" s="696">
        <v>19960703</v>
      </c>
      <c r="S171" s="375" t="s">
        <v>1902</v>
      </c>
      <c r="T171" s="697">
        <v>0.23100000000000001</v>
      </c>
      <c r="U171" s="375" t="s">
        <v>1903</v>
      </c>
      <c r="V171" s="722">
        <v>10.85</v>
      </c>
      <c r="W171" s="722">
        <v>1.37</v>
      </c>
      <c r="X171" s="722">
        <v>0.63</v>
      </c>
      <c r="Y171" s="722">
        <v>26.71</v>
      </c>
      <c r="Z171" s="382" t="s">
        <v>924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1904</v>
      </c>
      <c r="B172" s="373" t="s">
        <v>1905</v>
      </c>
      <c r="C172" s="372" t="s">
        <v>1906</v>
      </c>
      <c r="D172" s="374">
        <v>1348110003327</v>
      </c>
      <c r="E172" s="372" t="s">
        <v>1907</v>
      </c>
      <c r="F172" s="375" t="s">
        <v>1320</v>
      </c>
      <c r="G172" s="375" t="s">
        <v>16103</v>
      </c>
      <c r="H172" s="375" t="s">
        <v>858</v>
      </c>
      <c r="I172" s="375" t="s">
        <v>859</v>
      </c>
      <c r="J172" s="375">
        <v>208221.05704000001</v>
      </c>
      <c r="K172" s="375">
        <v>5271.6289999999999</v>
      </c>
      <c r="L172" s="375">
        <v>11891.415290000001</v>
      </c>
      <c r="M172" s="375">
        <v>356380.74069000001</v>
      </c>
      <c r="N172" s="372">
        <v>1.5780000000000001</v>
      </c>
      <c r="O172" s="704">
        <v>1.9381107953748373</v>
      </c>
      <c r="P172" s="375" t="s">
        <v>619</v>
      </c>
      <c r="Q172" s="372" t="s">
        <v>619</v>
      </c>
      <c r="R172" s="696">
        <v>20000929</v>
      </c>
      <c r="S172" s="375" t="s">
        <v>1908</v>
      </c>
      <c r="T172" s="697">
        <v>0.20900000000000002</v>
      </c>
      <c r="U172" s="375" t="s">
        <v>1909</v>
      </c>
      <c r="V172" s="722">
        <v>239.1</v>
      </c>
      <c r="W172" s="722">
        <v>11.86</v>
      </c>
      <c r="X172" s="722">
        <v>15.73</v>
      </c>
      <c r="Y172" s="722">
        <v>640.80999999999995</v>
      </c>
      <c r="Z172" s="382" t="s">
        <v>924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1910</v>
      </c>
      <c r="B173" s="373" t="s">
        <v>1911</v>
      </c>
      <c r="C173" s="372" t="s">
        <v>1912</v>
      </c>
      <c r="D173" s="374">
        <v>1101111568885</v>
      </c>
      <c r="E173" s="372" t="s">
        <v>1913</v>
      </c>
      <c r="F173" s="375" t="s">
        <v>1052</v>
      </c>
      <c r="G173" s="375" t="s">
        <v>16101</v>
      </c>
      <c r="H173" s="375" t="s">
        <v>858</v>
      </c>
      <c r="I173" s="375" t="s">
        <v>859</v>
      </c>
      <c r="J173" s="375">
        <v>97109.259340000004</v>
      </c>
      <c r="K173" s="375">
        <v>-26635.05488</v>
      </c>
      <c r="L173" s="375">
        <v>74382.644709999993</v>
      </c>
      <c r="M173" s="375">
        <v>433604.01676000003</v>
      </c>
      <c r="N173" s="372">
        <v>1.1419999999999999</v>
      </c>
      <c r="O173" s="704">
        <v>15.629744644510204</v>
      </c>
      <c r="P173" s="375" t="s">
        <v>619</v>
      </c>
      <c r="Q173" s="375" t="s">
        <v>619</v>
      </c>
      <c r="R173" s="696">
        <v>20081125</v>
      </c>
      <c r="S173" s="375" t="s">
        <v>1914</v>
      </c>
      <c r="T173" s="697">
        <v>0.23100000000000001</v>
      </c>
      <c r="U173" s="372" t="s">
        <v>1915</v>
      </c>
      <c r="V173" s="722" t="s">
        <v>770</v>
      </c>
      <c r="W173" s="722">
        <v>2.98</v>
      </c>
      <c r="X173" s="722">
        <v>12.42</v>
      </c>
      <c r="Y173" s="722">
        <v>16.98</v>
      </c>
      <c r="Z173" s="382" t="s">
        <v>924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1916</v>
      </c>
      <c r="B174" s="373" t="s">
        <v>1917</v>
      </c>
      <c r="C174" s="372" t="s">
        <v>1918</v>
      </c>
      <c r="D174" s="374">
        <v>1942110000125</v>
      </c>
      <c r="E174" s="372" t="s">
        <v>1919</v>
      </c>
      <c r="F174" s="375" t="s">
        <v>1860</v>
      </c>
      <c r="G174" s="375" t="s">
        <v>1861</v>
      </c>
      <c r="H174" s="375" t="s">
        <v>789</v>
      </c>
      <c r="I174" s="375" t="s">
        <v>751</v>
      </c>
      <c r="J174" s="375">
        <v>8587069</v>
      </c>
      <c r="K174" s="375">
        <v>226671</v>
      </c>
      <c r="L174" s="375">
        <v>169602</v>
      </c>
      <c r="M174" s="375">
        <v>3865114</v>
      </c>
      <c r="N174" s="372">
        <v>1.0569999999999999</v>
      </c>
      <c r="O174" s="704">
        <v>113.32453512537701</v>
      </c>
      <c r="P174" s="375" t="s">
        <v>619</v>
      </c>
      <c r="Q174" s="375" t="s">
        <v>619</v>
      </c>
      <c r="R174" s="696">
        <v>20110221</v>
      </c>
      <c r="S174" s="375" t="s">
        <v>1920</v>
      </c>
      <c r="T174" s="697">
        <v>0.23100000000000001</v>
      </c>
      <c r="U174" s="375" t="s">
        <v>1921</v>
      </c>
      <c r="V174" s="722">
        <v>3.61</v>
      </c>
      <c r="W174" s="722">
        <v>0.39</v>
      </c>
      <c r="X174" s="722">
        <v>0.16</v>
      </c>
      <c r="Y174" s="722">
        <v>12.22</v>
      </c>
      <c r="Z174" s="382">
        <v>2.8997048373819778E-2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87349.19</v>
      </c>
      <c r="AF174" s="372">
        <v>91226.5</v>
      </c>
      <c r="AG174" s="372">
        <v>96308.73</v>
      </c>
      <c r="AH174" s="372">
        <v>104490</v>
      </c>
    </row>
    <row r="175" spans="1:34">
      <c r="A175" s="372" t="s">
        <v>1922</v>
      </c>
      <c r="B175" s="373" t="s">
        <v>1923</v>
      </c>
      <c r="C175" s="372" t="s">
        <v>1924</v>
      </c>
      <c r="D175" s="374">
        <v>1101111109134</v>
      </c>
      <c r="E175" s="372" t="s">
        <v>1925</v>
      </c>
      <c r="F175" s="375" t="s">
        <v>1926</v>
      </c>
      <c r="G175" s="375" t="s">
        <v>1926</v>
      </c>
      <c r="H175" s="375" t="s">
        <v>1334</v>
      </c>
      <c r="I175" s="375" t="s">
        <v>859</v>
      </c>
      <c r="J175" s="375">
        <v>4703052.7754699998</v>
      </c>
      <c r="K175" s="375">
        <v>122194.51033</v>
      </c>
      <c r="L175" s="375">
        <v>-487707.46087000001</v>
      </c>
      <c r="M175" s="375">
        <v>3539364.9693700001</v>
      </c>
      <c r="N175" s="372">
        <v>0.64700000000000002</v>
      </c>
      <c r="O175" s="704">
        <v>206.28746581299998</v>
      </c>
      <c r="P175" s="375" t="s">
        <v>619</v>
      </c>
      <c r="Q175" s="375" t="s">
        <v>619</v>
      </c>
      <c r="R175" s="696">
        <v>19991120</v>
      </c>
      <c r="S175" s="375" t="s">
        <v>1927</v>
      </c>
      <c r="T175" s="697" t="s">
        <v>768</v>
      </c>
      <c r="U175" s="375" t="s">
        <v>1928</v>
      </c>
      <c r="V175" s="722">
        <v>3.18</v>
      </c>
      <c r="W175" s="722">
        <v>0.52</v>
      </c>
      <c r="X175" s="722">
        <v>0.33</v>
      </c>
      <c r="Y175" s="722" t="s">
        <v>770</v>
      </c>
      <c r="Z175" s="382">
        <v>5.9691199688342689E-2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48530.720000000001</v>
      </c>
      <c r="AF175" s="372">
        <v>51752.89</v>
      </c>
      <c r="AG175" s="372">
        <v>55085.31</v>
      </c>
      <c r="AH175" s="372">
        <v>0</v>
      </c>
    </row>
    <row r="176" spans="1:34">
      <c r="A176" s="372" t="s">
        <v>1929</v>
      </c>
      <c r="B176" s="373" t="s">
        <v>1930</v>
      </c>
      <c r="C176" s="372" t="s">
        <v>1931</v>
      </c>
      <c r="D176" s="374">
        <v>1101110371148</v>
      </c>
      <c r="E176" s="372" t="s">
        <v>1932</v>
      </c>
      <c r="F176" s="375" t="s">
        <v>1933</v>
      </c>
      <c r="G176" s="375" t="s">
        <v>1934</v>
      </c>
      <c r="H176" s="375" t="s">
        <v>1383</v>
      </c>
      <c r="I176" s="375" t="s">
        <v>751</v>
      </c>
      <c r="J176" s="375">
        <v>1566312.6495099999</v>
      </c>
      <c r="K176" s="375">
        <v>227820.21677</v>
      </c>
      <c r="L176" s="375">
        <v>237283.77262</v>
      </c>
      <c r="M176" s="375">
        <v>1294642.0898800001</v>
      </c>
      <c r="N176" s="372">
        <v>0.54900000000000004</v>
      </c>
      <c r="O176" s="704">
        <v>0.64980854700854707</v>
      </c>
      <c r="P176" s="375" t="s">
        <v>619</v>
      </c>
      <c r="Q176" s="375" t="s">
        <v>619</v>
      </c>
      <c r="R176" s="696">
        <v>20071214</v>
      </c>
      <c r="S176" s="375" t="s">
        <v>1935</v>
      </c>
      <c r="T176" s="697">
        <v>0.23100000000000001</v>
      </c>
      <c r="U176" s="372" t="s">
        <v>1936</v>
      </c>
      <c r="V176" s="722">
        <v>6.55</v>
      </c>
      <c r="W176" s="722">
        <v>1.46</v>
      </c>
      <c r="X176" s="722">
        <v>1.21</v>
      </c>
      <c r="Y176" s="722">
        <v>10.35</v>
      </c>
      <c r="Z176" s="382">
        <v>2.9933979649524156E-2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15796.1</v>
      </c>
      <c r="AF176" s="372">
        <v>16438.7</v>
      </c>
      <c r="AG176" s="372">
        <v>17259.2</v>
      </c>
      <c r="AH176" s="372">
        <v>0</v>
      </c>
    </row>
    <row r="177" spans="1:34">
      <c r="A177" s="372" t="s">
        <v>1937</v>
      </c>
      <c r="B177" s="373" t="s">
        <v>1938</v>
      </c>
      <c r="C177" s="372" t="s">
        <v>1939</v>
      </c>
      <c r="D177" s="374">
        <v>1201110234469</v>
      </c>
      <c r="E177" s="372" t="s">
        <v>1940</v>
      </c>
      <c r="F177" s="372" t="s">
        <v>1279</v>
      </c>
      <c r="G177" s="375" t="s">
        <v>1280</v>
      </c>
      <c r="H177" s="375" t="s">
        <v>1040</v>
      </c>
      <c r="I177" s="375" t="s">
        <v>751</v>
      </c>
      <c r="J177" s="375">
        <v>4156874.13509</v>
      </c>
      <c r="K177" s="375">
        <v>209034.71170000001</v>
      </c>
      <c r="L177" s="375">
        <v>115960.47274</v>
      </c>
      <c r="M177" s="375">
        <v>1861915.3592999999</v>
      </c>
      <c r="N177" s="372">
        <v>1.1970000000000001</v>
      </c>
      <c r="O177" s="704">
        <v>99.902666986259717</v>
      </c>
      <c r="P177" s="375" t="s">
        <v>619</v>
      </c>
      <c r="Q177" s="372" t="s">
        <v>619</v>
      </c>
      <c r="R177" s="696">
        <v>20010202</v>
      </c>
      <c r="S177" s="372" t="s">
        <v>1941</v>
      </c>
      <c r="T177" s="697">
        <v>0.23100000000000001</v>
      </c>
      <c r="U177" s="372" t="s">
        <v>15827</v>
      </c>
      <c r="V177" s="722">
        <v>6.17</v>
      </c>
      <c r="W177" s="722">
        <v>0.77</v>
      </c>
      <c r="X177" s="722">
        <v>0.36</v>
      </c>
      <c r="Y177" s="722">
        <v>24.29</v>
      </c>
      <c r="Z177" s="382">
        <v>-1.3269247331606504E-3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41534</v>
      </c>
      <c r="AF177" s="372">
        <v>43418.7</v>
      </c>
      <c r="AG177" s="372">
        <v>46349.22</v>
      </c>
      <c r="AH177" s="372">
        <v>49640</v>
      </c>
    </row>
    <row r="178" spans="1:34">
      <c r="A178" s="372" t="s">
        <v>1942</v>
      </c>
      <c r="B178" s="373" t="s">
        <v>1943</v>
      </c>
      <c r="C178" s="372" t="s">
        <v>16267</v>
      </c>
      <c r="D178" s="374">
        <v>1101116770170</v>
      </c>
      <c r="E178" s="372" t="s">
        <v>16268</v>
      </c>
      <c r="F178" s="375" t="s">
        <v>1944</v>
      </c>
      <c r="G178" s="375" t="s">
        <v>1944</v>
      </c>
      <c r="H178" s="375" t="s">
        <v>823</v>
      </c>
      <c r="I178" s="375" t="s">
        <v>751</v>
      </c>
      <c r="J178" s="375">
        <v>3274917.4310400002</v>
      </c>
      <c r="K178" s="375">
        <v>194487.78021</v>
      </c>
      <c r="L178" s="375">
        <v>91511.420629999993</v>
      </c>
      <c r="M178" s="375">
        <v>785066.38256000006</v>
      </c>
      <c r="N178" s="372">
        <v>1.073</v>
      </c>
      <c r="O178" s="704">
        <v>157.04683653676989</v>
      </c>
      <c r="P178" s="375" t="s">
        <v>619</v>
      </c>
      <c r="Q178" s="372" t="s">
        <v>619</v>
      </c>
      <c r="R178" s="696">
        <v>20180713</v>
      </c>
      <c r="S178" s="375" t="s">
        <v>1945</v>
      </c>
      <c r="T178" s="697">
        <v>0.23100000000000001</v>
      </c>
      <c r="U178" s="372" t="s">
        <v>1946</v>
      </c>
      <c r="V178" s="722">
        <v>8.3000000000000007</v>
      </c>
      <c r="W178" s="722">
        <v>1.87</v>
      </c>
      <c r="X178" s="722">
        <v>0.4</v>
      </c>
      <c r="Y178" s="722">
        <v>58.26</v>
      </c>
      <c r="Z178" s="382">
        <v>3.834528412801208E-2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33646.800000000003</v>
      </c>
      <c r="AF178" s="372">
        <v>35356.5</v>
      </c>
      <c r="AG178" s="372">
        <v>37224.89</v>
      </c>
      <c r="AH178" s="372">
        <v>0</v>
      </c>
    </row>
    <row r="179" spans="1:34">
      <c r="A179" s="372" t="s">
        <v>1947</v>
      </c>
      <c r="B179" s="373" t="s">
        <v>1948</v>
      </c>
      <c r="C179" s="372" t="s">
        <v>1949</v>
      </c>
      <c r="D179" s="374">
        <v>1101110028591</v>
      </c>
      <c r="E179" s="372" t="s">
        <v>1950</v>
      </c>
      <c r="F179" s="375" t="s">
        <v>1951</v>
      </c>
      <c r="G179" s="375" t="s">
        <v>1952</v>
      </c>
      <c r="H179" s="375" t="s">
        <v>1313</v>
      </c>
      <c r="I179" s="375" t="s">
        <v>751</v>
      </c>
      <c r="J179" s="375">
        <v>2592897.8350800001</v>
      </c>
      <c r="K179" s="375">
        <v>216648.30845000001</v>
      </c>
      <c r="L179" s="375">
        <v>158852.13496</v>
      </c>
      <c r="M179" s="375">
        <v>1171961.6244600001</v>
      </c>
      <c r="N179" s="372">
        <v>0.63300000000000001</v>
      </c>
      <c r="O179" s="704">
        <v>72.291536668547636</v>
      </c>
      <c r="P179" s="375" t="s">
        <v>619</v>
      </c>
      <c r="Q179" s="375" t="s">
        <v>619</v>
      </c>
      <c r="R179" s="696">
        <v>19730627</v>
      </c>
      <c r="S179" s="375" t="s">
        <v>16068</v>
      </c>
      <c r="T179" s="697">
        <v>0.23100000000000001</v>
      </c>
      <c r="U179" s="375" t="s">
        <v>1954</v>
      </c>
      <c r="V179" s="722">
        <v>6.06</v>
      </c>
      <c r="W179" s="722">
        <v>1.18</v>
      </c>
      <c r="X179" s="722">
        <v>0.56000000000000005</v>
      </c>
      <c r="Y179" s="722">
        <v>13.26</v>
      </c>
      <c r="Z179" s="382">
        <v>2.5168818246404046E-2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26250.31</v>
      </c>
      <c r="AF179" s="372">
        <v>26998.46</v>
      </c>
      <c r="AG179" s="372">
        <v>27836.42</v>
      </c>
      <c r="AH179" s="372">
        <v>0</v>
      </c>
    </row>
    <row r="180" spans="1:34">
      <c r="A180" s="372" t="s">
        <v>1955</v>
      </c>
      <c r="B180" s="373" t="s">
        <v>1956</v>
      </c>
      <c r="C180" s="372" t="s">
        <v>1957</v>
      </c>
      <c r="D180" s="374">
        <v>1313110163174</v>
      </c>
      <c r="E180" s="372" t="s">
        <v>1958</v>
      </c>
      <c r="F180" s="372" t="s">
        <v>1959</v>
      </c>
      <c r="G180" s="375" t="s">
        <v>1959</v>
      </c>
      <c r="H180" s="375" t="s">
        <v>858</v>
      </c>
      <c r="I180" s="375" t="s">
        <v>859</v>
      </c>
      <c r="J180" s="375">
        <v>678739.61644000001</v>
      </c>
      <c r="K180" s="375">
        <v>-3288.2277800000002</v>
      </c>
      <c r="L180" s="375">
        <v>-18934.508829999999</v>
      </c>
      <c r="M180" s="375">
        <v>858744.53506000002</v>
      </c>
      <c r="N180" s="372">
        <v>0.94099999999999995</v>
      </c>
      <c r="O180" s="704">
        <v>0.67048355643118585</v>
      </c>
      <c r="P180" s="375" t="s">
        <v>619</v>
      </c>
      <c r="Q180" s="375" t="s">
        <v>619</v>
      </c>
      <c r="R180" s="696">
        <v>20160502</v>
      </c>
      <c r="S180" s="375" t="s">
        <v>1960</v>
      </c>
      <c r="T180" s="697" t="s">
        <v>768</v>
      </c>
      <c r="U180" s="375" t="s">
        <v>1961</v>
      </c>
      <c r="V180" s="722">
        <v>38.51</v>
      </c>
      <c r="W180" s="722">
        <v>1.76</v>
      </c>
      <c r="X180" s="722">
        <v>2.25</v>
      </c>
      <c r="Y180" s="722" t="s">
        <v>770</v>
      </c>
      <c r="Z180" s="382">
        <v>0.13137107442126883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7456.38</v>
      </c>
      <c r="AF180" s="372">
        <v>9814.75</v>
      </c>
      <c r="AG180" s="372">
        <v>11310.5</v>
      </c>
      <c r="AH180" s="372">
        <v>19550</v>
      </c>
    </row>
    <row r="181" spans="1:34">
      <c r="A181" s="372" t="s">
        <v>1962</v>
      </c>
      <c r="B181" s="373" t="s">
        <v>1963</v>
      </c>
      <c r="C181" s="372" t="s">
        <v>1964</v>
      </c>
      <c r="D181" s="374">
        <v>1101115260669</v>
      </c>
      <c r="E181" s="372" t="s">
        <v>1965</v>
      </c>
      <c r="F181" s="375" t="s">
        <v>1320</v>
      </c>
      <c r="G181" s="375" t="s">
        <v>16103</v>
      </c>
      <c r="H181" s="375" t="s">
        <v>781</v>
      </c>
      <c r="I181" s="375" t="s">
        <v>751</v>
      </c>
      <c r="J181" s="375">
        <v>1675677.9863799999</v>
      </c>
      <c r="K181" s="375">
        <v>207070.03925</v>
      </c>
      <c r="L181" s="375">
        <v>208802.72430999999</v>
      </c>
      <c r="M181" s="375">
        <v>895585.14049999998</v>
      </c>
      <c r="N181" s="372">
        <v>0.73599999999999999</v>
      </c>
      <c r="O181" s="704">
        <v>16.580597147324365</v>
      </c>
      <c r="P181" s="375" t="s">
        <v>619</v>
      </c>
      <c r="Q181" s="375" t="s">
        <v>619</v>
      </c>
      <c r="R181" s="696">
        <v>20131206</v>
      </c>
      <c r="S181" s="375" t="s">
        <v>1966</v>
      </c>
      <c r="T181" s="697">
        <v>0.23100000000000001</v>
      </c>
      <c r="U181" s="375" t="s">
        <v>1967</v>
      </c>
      <c r="V181" s="722">
        <v>6.08</v>
      </c>
      <c r="W181" s="722">
        <v>1.55</v>
      </c>
      <c r="X181" s="722">
        <v>0.88</v>
      </c>
      <c r="Y181" s="722">
        <v>7.83</v>
      </c>
      <c r="Z181" s="382">
        <v>1.8870313803406757E-2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15756.5</v>
      </c>
      <c r="AF181" s="372">
        <v>16929.5</v>
      </c>
      <c r="AG181" s="372">
        <v>17990.25</v>
      </c>
      <c r="AH181" s="372">
        <v>0</v>
      </c>
    </row>
    <row r="182" spans="1:34">
      <c r="A182" s="372" t="s">
        <v>1968</v>
      </c>
      <c r="B182" s="373" t="s">
        <v>1969</v>
      </c>
      <c r="C182" s="372" t="s">
        <v>1970</v>
      </c>
      <c r="D182" s="374">
        <v>1101110034233</v>
      </c>
      <c r="E182" s="372" t="s">
        <v>1971</v>
      </c>
      <c r="F182" s="372" t="s">
        <v>890</v>
      </c>
      <c r="G182" s="375" t="s">
        <v>891</v>
      </c>
      <c r="H182" s="375" t="s">
        <v>852</v>
      </c>
      <c r="I182" s="375" t="s">
        <v>751</v>
      </c>
      <c r="J182" s="375">
        <v>1412067.21199</v>
      </c>
      <c r="K182" s="375">
        <v>468275.93576000002</v>
      </c>
      <c r="L182" s="375">
        <v>406053.41051000002</v>
      </c>
      <c r="M182" s="375">
        <v>4326719.9658199996</v>
      </c>
      <c r="N182" s="372">
        <v>0.63500000000000001</v>
      </c>
      <c r="O182" s="704">
        <v>19.007023050078526</v>
      </c>
      <c r="P182" s="375" t="s">
        <v>619</v>
      </c>
      <c r="Q182" s="375" t="s">
        <v>619</v>
      </c>
      <c r="R182" s="696">
        <v>19681227</v>
      </c>
      <c r="S182" s="375" t="s">
        <v>1972</v>
      </c>
      <c r="T182" s="697">
        <v>0.26400000000000001</v>
      </c>
      <c r="U182" s="375" t="s">
        <v>1973</v>
      </c>
      <c r="V182" s="722">
        <v>3.41</v>
      </c>
      <c r="W182" s="722">
        <v>0.37</v>
      </c>
      <c r="X182" s="722">
        <v>1.1499999999999999</v>
      </c>
      <c r="Y182" s="722">
        <v>4.38</v>
      </c>
      <c r="Z182" s="382">
        <v>0.10404851308510077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14632</v>
      </c>
      <c r="AF182" s="372">
        <v>15308</v>
      </c>
      <c r="AG182" s="372">
        <v>16190</v>
      </c>
      <c r="AH182" s="372">
        <v>0</v>
      </c>
    </row>
    <row r="183" spans="1:34">
      <c r="A183" s="372" t="s">
        <v>1974</v>
      </c>
      <c r="B183" s="373" t="s">
        <v>1975</v>
      </c>
      <c r="C183" s="372" t="s">
        <v>1976</v>
      </c>
      <c r="D183" s="374">
        <v>1701110429523</v>
      </c>
      <c r="E183" s="372" t="s">
        <v>1977</v>
      </c>
      <c r="F183" s="375" t="s">
        <v>850</v>
      </c>
      <c r="G183" s="375" t="s">
        <v>851</v>
      </c>
      <c r="H183" s="375" t="s">
        <v>852</v>
      </c>
      <c r="I183" s="375" t="s">
        <v>751</v>
      </c>
      <c r="J183" s="375">
        <v>0</v>
      </c>
      <c r="K183" s="375">
        <v>0</v>
      </c>
      <c r="L183" s="375">
        <v>0</v>
      </c>
      <c r="M183" s="375">
        <v>0</v>
      </c>
      <c r="N183" s="372">
        <v>0.69399999999999995</v>
      </c>
      <c r="O183" s="704" t="s">
        <v>16298</v>
      </c>
      <c r="P183" s="375" t="s">
        <v>619</v>
      </c>
      <c r="Q183" s="375" t="s">
        <v>619</v>
      </c>
      <c r="R183" s="696">
        <v>20110607</v>
      </c>
      <c r="S183" s="375" t="s">
        <v>851</v>
      </c>
      <c r="T183" s="697" t="s">
        <v>768</v>
      </c>
      <c r="U183" s="372" t="s">
        <v>1978</v>
      </c>
      <c r="V183" s="722">
        <v>0</v>
      </c>
      <c r="W183" s="722">
        <v>0</v>
      </c>
      <c r="X183" s="722">
        <v>0</v>
      </c>
      <c r="Y183" s="722">
        <v>0</v>
      </c>
      <c r="Z183" s="382">
        <v>2.2810708018973003E-2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41943.56</v>
      </c>
      <c r="AF183" s="372">
        <v>42238.75</v>
      </c>
      <c r="AG183" s="372">
        <v>44076.5</v>
      </c>
      <c r="AH183" s="372">
        <v>0</v>
      </c>
    </row>
    <row r="184" spans="1:34">
      <c r="A184" s="372" t="s">
        <v>1979</v>
      </c>
      <c r="B184" s="373" t="s">
        <v>1980</v>
      </c>
      <c r="C184" s="372" t="s">
        <v>1981</v>
      </c>
      <c r="D184" s="374">
        <v>2149110003625</v>
      </c>
      <c r="E184" s="372" t="s">
        <v>1982</v>
      </c>
      <c r="F184" s="375" t="s">
        <v>1273</v>
      </c>
      <c r="G184" s="375" t="s">
        <v>1449</v>
      </c>
      <c r="H184" s="375" t="s">
        <v>750</v>
      </c>
      <c r="I184" s="375" t="s">
        <v>751</v>
      </c>
      <c r="J184" s="375">
        <v>945392.93848999997</v>
      </c>
      <c r="K184" s="375">
        <v>-23247.985509999999</v>
      </c>
      <c r="L184" s="375">
        <v>22121.275730000001</v>
      </c>
      <c r="M184" s="375">
        <v>1842273.81926</v>
      </c>
      <c r="N184" s="372">
        <v>1.425</v>
      </c>
      <c r="O184" s="704">
        <v>13.858248082227561</v>
      </c>
      <c r="P184" s="375" t="s">
        <v>619</v>
      </c>
      <c r="Q184" s="372" t="s">
        <v>619</v>
      </c>
      <c r="R184" s="696">
        <v>20110304</v>
      </c>
      <c r="S184" s="372" t="s">
        <v>1983</v>
      </c>
      <c r="T184" s="697">
        <v>0.23100000000000001</v>
      </c>
      <c r="U184" s="372" t="s">
        <v>15828</v>
      </c>
      <c r="V184" s="722">
        <v>39.64</v>
      </c>
      <c r="W184" s="722">
        <v>1.39</v>
      </c>
      <c r="X184" s="722">
        <v>2.0099999999999998</v>
      </c>
      <c r="Y184" s="722">
        <v>284.56</v>
      </c>
      <c r="Z184" s="382">
        <v>0.11483353445299049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9411.7000000000007</v>
      </c>
      <c r="AF184" s="372">
        <v>10590.7</v>
      </c>
      <c r="AG184" s="372">
        <v>12496.6</v>
      </c>
      <c r="AH184" s="372">
        <v>18510</v>
      </c>
    </row>
    <row r="185" spans="1:34">
      <c r="A185" s="372" t="s">
        <v>1984</v>
      </c>
      <c r="B185" s="373" t="s">
        <v>1985</v>
      </c>
      <c r="C185" s="372" t="s">
        <v>1986</v>
      </c>
      <c r="D185" s="374">
        <v>1101110013774</v>
      </c>
      <c r="E185" s="372" t="s">
        <v>1987</v>
      </c>
      <c r="F185" s="375" t="s">
        <v>890</v>
      </c>
      <c r="G185" s="375" t="s">
        <v>891</v>
      </c>
      <c r="H185" s="375" t="s">
        <v>852</v>
      </c>
      <c r="I185" s="375" t="s">
        <v>751</v>
      </c>
      <c r="J185" s="375">
        <v>18204971.236260001</v>
      </c>
      <c r="K185" s="375">
        <v>1061142.1097899999</v>
      </c>
      <c r="L185" s="375">
        <v>358213.21003999998</v>
      </c>
      <c r="M185" s="375">
        <v>11595591.39105</v>
      </c>
      <c r="N185" s="372">
        <v>1.623</v>
      </c>
      <c r="O185" s="704">
        <v>341.99585742928485</v>
      </c>
      <c r="P185" s="375" t="s">
        <v>619</v>
      </c>
      <c r="Q185" s="375" t="s">
        <v>619</v>
      </c>
      <c r="R185" s="696">
        <v>19730629</v>
      </c>
      <c r="S185" s="372" t="s">
        <v>1988</v>
      </c>
      <c r="T185" s="697">
        <v>0.26400000000000001</v>
      </c>
      <c r="U185" s="375" t="s">
        <v>1989</v>
      </c>
      <c r="V185" s="722">
        <v>10.63</v>
      </c>
      <c r="W185" s="722">
        <v>2.09</v>
      </c>
      <c r="X185" s="722">
        <v>0.2</v>
      </c>
      <c r="Y185" s="722" t="s">
        <v>770</v>
      </c>
      <c r="Z185" s="382">
        <v>8.9876887640951697E-3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180760</v>
      </c>
      <c r="AF185" s="372">
        <v>191293.33</v>
      </c>
      <c r="AG185" s="372">
        <v>198272</v>
      </c>
      <c r="AH185" s="372">
        <v>0</v>
      </c>
    </row>
    <row r="186" spans="1:34">
      <c r="A186" s="372" t="s">
        <v>1990</v>
      </c>
      <c r="B186" s="373" t="s">
        <v>1991</v>
      </c>
      <c r="C186" s="372" t="s">
        <v>15979</v>
      </c>
      <c r="D186" s="374">
        <v>1601110206866</v>
      </c>
      <c r="E186" s="372" t="s">
        <v>15829</v>
      </c>
      <c r="F186" s="375" t="s">
        <v>1113</v>
      </c>
      <c r="G186" s="375" t="s">
        <v>1333</v>
      </c>
      <c r="H186" s="375" t="s">
        <v>1334</v>
      </c>
      <c r="I186" s="375" t="s">
        <v>859</v>
      </c>
      <c r="J186" s="375">
        <v>101417.07545999999</v>
      </c>
      <c r="K186" s="375">
        <v>-32404.274959999999</v>
      </c>
      <c r="L186" s="375">
        <v>-4381.6073900000001</v>
      </c>
      <c r="M186" s="375">
        <v>637308.86854000005</v>
      </c>
      <c r="N186" s="372">
        <v>1.111</v>
      </c>
      <c r="O186" s="704">
        <v>0.26962593663810713</v>
      </c>
      <c r="P186" s="375" t="s">
        <v>619</v>
      </c>
      <c r="Q186" s="375" t="s">
        <v>619</v>
      </c>
      <c r="R186" s="696">
        <v>20130510</v>
      </c>
      <c r="S186" s="375" t="s">
        <v>1992</v>
      </c>
      <c r="T186" s="697" t="s">
        <v>768</v>
      </c>
      <c r="U186" s="375" t="s">
        <v>1993</v>
      </c>
      <c r="V186" s="722" t="s">
        <v>770</v>
      </c>
      <c r="W186" s="722">
        <v>5.62</v>
      </c>
      <c r="X186" s="722">
        <v>31.58</v>
      </c>
      <c r="Y186" s="722" t="s">
        <v>770</v>
      </c>
      <c r="Z186" s="382">
        <v>0.59825099003877091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1307.3800000000001</v>
      </c>
      <c r="AF186" s="372">
        <v>2100.25</v>
      </c>
      <c r="AG186" s="372">
        <v>2228</v>
      </c>
      <c r="AH186" s="372">
        <v>980</v>
      </c>
    </row>
    <row r="187" spans="1:34">
      <c r="A187" s="372" t="s">
        <v>1994</v>
      </c>
      <c r="B187" s="373" t="s">
        <v>1995</v>
      </c>
      <c r="C187" s="372" t="s">
        <v>1996</v>
      </c>
      <c r="D187" s="374">
        <v>1648110016928</v>
      </c>
      <c r="E187" s="372" t="s">
        <v>1997</v>
      </c>
      <c r="F187" s="372" t="s">
        <v>16098</v>
      </c>
      <c r="G187" s="375" t="s">
        <v>16098</v>
      </c>
      <c r="H187" s="375" t="s">
        <v>858</v>
      </c>
      <c r="I187" s="375" t="s">
        <v>859</v>
      </c>
      <c r="J187" s="375">
        <v>241449.92579000001</v>
      </c>
      <c r="K187" s="375">
        <v>21831.53787</v>
      </c>
      <c r="L187" s="375">
        <v>13433.05003</v>
      </c>
      <c r="M187" s="375">
        <v>498577.30580999999</v>
      </c>
      <c r="N187" s="372">
        <v>0.93</v>
      </c>
      <c r="O187" s="704">
        <v>7.0508957345115864</v>
      </c>
      <c r="P187" s="375" t="s">
        <v>619</v>
      </c>
      <c r="Q187" s="375" t="s">
        <v>619</v>
      </c>
      <c r="R187" s="696">
        <v>20090116</v>
      </c>
      <c r="S187" s="375" t="s">
        <v>1998</v>
      </c>
      <c r="T187" s="697">
        <v>0.20900000000000002</v>
      </c>
      <c r="U187" s="375" t="s">
        <v>1999</v>
      </c>
      <c r="V187" s="722">
        <v>35.380000000000003</v>
      </c>
      <c r="W187" s="722">
        <v>2.52</v>
      </c>
      <c r="X187" s="722">
        <v>6.17</v>
      </c>
      <c r="Y187" s="722">
        <v>127.24</v>
      </c>
      <c r="Z187" s="382">
        <v>0.13326548015542605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2484</v>
      </c>
      <c r="AF187" s="372">
        <v>3006.67</v>
      </c>
      <c r="AG187" s="372">
        <v>3647.17</v>
      </c>
      <c r="AH187" s="372">
        <v>0</v>
      </c>
    </row>
    <row r="188" spans="1:34">
      <c r="A188" s="372" t="s">
        <v>2000</v>
      </c>
      <c r="B188" s="373" t="s">
        <v>2001</v>
      </c>
      <c r="C188" s="372" t="s">
        <v>2002</v>
      </c>
      <c r="D188" s="374">
        <v>1701110000034</v>
      </c>
      <c r="E188" s="372" t="s">
        <v>2003</v>
      </c>
      <c r="F188" s="375" t="s">
        <v>2004</v>
      </c>
      <c r="G188" s="375" t="s">
        <v>2004</v>
      </c>
      <c r="H188" s="375" t="s">
        <v>789</v>
      </c>
      <c r="I188" s="375" t="s">
        <v>751</v>
      </c>
      <c r="J188" s="375">
        <v>4926775.4855800001</v>
      </c>
      <c r="K188" s="375">
        <v>419760.82225000003</v>
      </c>
      <c r="L188" s="375">
        <v>462386.70847999997</v>
      </c>
      <c r="M188" s="375">
        <v>2283320.4944500001</v>
      </c>
      <c r="N188" s="372">
        <v>1.173</v>
      </c>
      <c r="O188" s="704">
        <v>21.188502275531011</v>
      </c>
      <c r="P188" s="375" t="s">
        <v>619</v>
      </c>
      <c r="Q188" s="375" t="s">
        <v>619</v>
      </c>
      <c r="R188" s="696">
        <v>19881108</v>
      </c>
      <c r="S188" s="375" t="s">
        <v>2005</v>
      </c>
      <c r="T188" s="697">
        <v>0.26400000000000001</v>
      </c>
      <c r="U188" s="375" t="s">
        <v>2006</v>
      </c>
      <c r="V188" s="722">
        <v>2.99</v>
      </c>
      <c r="W188" s="722">
        <v>0.75</v>
      </c>
      <c r="X188" s="722">
        <v>0.33</v>
      </c>
      <c r="Y188" s="722">
        <v>4.43</v>
      </c>
      <c r="Z188" s="382">
        <v>4.0386368481838408E-2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50150.5</v>
      </c>
      <c r="AF188" s="372">
        <v>53350.33</v>
      </c>
      <c r="AG188" s="372">
        <v>56691.83</v>
      </c>
      <c r="AH188" s="372">
        <v>66860</v>
      </c>
    </row>
    <row r="189" spans="1:34">
      <c r="A189" s="372" t="s">
        <v>2007</v>
      </c>
      <c r="B189" s="373" t="s">
        <v>2008</v>
      </c>
      <c r="C189" s="372" t="s">
        <v>2009</v>
      </c>
      <c r="D189" s="374">
        <v>1101110035132</v>
      </c>
      <c r="E189" s="372" t="s">
        <v>2010</v>
      </c>
      <c r="F189" s="375" t="s">
        <v>2011</v>
      </c>
      <c r="G189" s="375" t="s">
        <v>2011</v>
      </c>
      <c r="H189" s="375" t="s">
        <v>789</v>
      </c>
      <c r="I189" s="375" t="s">
        <v>751</v>
      </c>
      <c r="J189" s="375">
        <v>3627059.8621999999</v>
      </c>
      <c r="K189" s="375">
        <v>-44204.829949999999</v>
      </c>
      <c r="L189" s="375">
        <v>-15499.35333</v>
      </c>
      <c r="M189" s="375">
        <v>1158436.7690399999</v>
      </c>
      <c r="N189" s="372" t="s">
        <v>1023</v>
      </c>
      <c r="O189" s="704">
        <v>27.395347762679091</v>
      </c>
      <c r="P189" s="375" t="s">
        <v>619</v>
      </c>
      <c r="Q189" s="372" t="s">
        <v>619</v>
      </c>
      <c r="R189" s="696">
        <v>19750529</v>
      </c>
      <c r="S189" s="372" t="s">
        <v>2012</v>
      </c>
      <c r="T189" s="697" t="s">
        <v>768</v>
      </c>
      <c r="U189" s="372" t="s">
        <v>15830</v>
      </c>
      <c r="V189" s="722">
        <v>9.36</v>
      </c>
      <c r="W189" s="722">
        <v>0.9</v>
      </c>
      <c r="X189" s="722">
        <v>0.28999999999999998</v>
      </c>
      <c r="Y189" s="722" t="s">
        <v>770</v>
      </c>
      <c r="Z189" s="382" t="s">
        <v>924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2013</v>
      </c>
      <c r="B190" s="373" t="s">
        <v>2014</v>
      </c>
      <c r="C190" s="372" t="s">
        <v>2015</v>
      </c>
      <c r="D190" s="374">
        <v>1201110005266</v>
      </c>
      <c r="E190" s="372" t="s">
        <v>2016</v>
      </c>
      <c r="F190" s="375" t="s">
        <v>972</v>
      </c>
      <c r="G190" s="375" t="s">
        <v>2017</v>
      </c>
      <c r="H190" s="375" t="s">
        <v>814</v>
      </c>
      <c r="I190" s="375" t="s">
        <v>751</v>
      </c>
      <c r="J190" s="375">
        <v>393366.87198</v>
      </c>
      <c r="K190" s="375">
        <v>80088.247019999995</v>
      </c>
      <c r="L190" s="375">
        <v>81434.366089999996</v>
      </c>
      <c r="M190" s="375">
        <v>537648.96730999998</v>
      </c>
      <c r="N190" s="372">
        <v>0.41099999999999998</v>
      </c>
      <c r="O190" s="704">
        <v>17.569390462597866</v>
      </c>
      <c r="P190" s="375" t="s">
        <v>619</v>
      </c>
      <c r="Q190" s="375" t="s">
        <v>619</v>
      </c>
      <c r="R190" s="696">
        <v>19881028</v>
      </c>
      <c r="S190" s="375" t="s">
        <v>1794</v>
      </c>
      <c r="T190" s="697">
        <v>0.23100000000000001</v>
      </c>
      <c r="U190" s="375" t="s">
        <v>2018</v>
      </c>
      <c r="V190" s="722">
        <v>15.19</v>
      </c>
      <c r="W190" s="722">
        <v>2.73</v>
      </c>
      <c r="X190" s="722">
        <v>4.1900000000000004</v>
      </c>
      <c r="Y190" s="722">
        <v>25.26</v>
      </c>
      <c r="Z190" s="382">
        <v>8.623634208154729E-2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4011.88</v>
      </c>
      <c r="AF190" s="372">
        <v>4471.88</v>
      </c>
      <c r="AG190" s="372">
        <v>4922.25</v>
      </c>
      <c r="AH190" s="372">
        <v>0</v>
      </c>
    </row>
    <row r="191" spans="1:34">
      <c r="A191" s="372" t="s">
        <v>2019</v>
      </c>
      <c r="B191" s="373" t="s">
        <v>2020</v>
      </c>
      <c r="C191" s="372" t="s">
        <v>2021</v>
      </c>
      <c r="D191" s="374">
        <v>1358110272682</v>
      </c>
      <c r="E191" s="372" t="s">
        <v>2022</v>
      </c>
      <c r="F191" s="375" t="s">
        <v>1273</v>
      </c>
      <c r="G191" s="375" t="s">
        <v>1273</v>
      </c>
      <c r="H191" s="375" t="s">
        <v>750</v>
      </c>
      <c r="I191" s="375" t="s">
        <v>751</v>
      </c>
      <c r="J191" s="375">
        <v>1569896.8178399999</v>
      </c>
      <c r="K191" s="375">
        <v>82702.171889999998</v>
      </c>
      <c r="L191" s="375">
        <v>72151.841459999996</v>
      </c>
      <c r="M191" s="375">
        <v>429743.80602999998</v>
      </c>
      <c r="N191" s="372">
        <v>0.318</v>
      </c>
      <c r="O191" s="704">
        <v>35.111216798073904</v>
      </c>
      <c r="P191" s="375" t="s">
        <v>619</v>
      </c>
      <c r="Q191" s="375" t="s">
        <v>619</v>
      </c>
      <c r="R191" s="696">
        <v>20210202</v>
      </c>
      <c r="S191" s="375" t="s">
        <v>2023</v>
      </c>
      <c r="T191" s="697">
        <v>0.23100000000000001</v>
      </c>
      <c r="U191" s="375" t="s">
        <v>2024</v>
      </c>
      <c r="V191" s="722">
        <v>9.92</v>
      </c>
      <c r="W191" s="722">
        <v>2.2200000000000002</v>
      </c>
      <c r="X191" s="722">
        <v>0.65</v>
      </c>
      <c r="Y191" s="722">
        <v>22.84</v>
      </c>
      <c r="Z191" s="382">
        <v>2.1457112586251048E-2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16150</v>
      </c>
      <c r="AF191" s="372">
        <v>19443.27</v>
      </c>
      <c r="AG191" s="372">
        <v>21240.14</v>
      </c>
      <c r="AH191" s="372">
        <v>0</v>
      </c>
    </row>
    <row r="192" spans="1:34">
      <c r="A192" s="372" t="s">
        <v>2025</v>
      </c>
      <c r="B192" s="373" t="s">
        <v>2026</v>
      </c>
      <c r="C192" s="372" t="s">
        <v>2027</v>
      </c>
      <c r="D192" s="374">
        <v>1101116052164</v>
      </c>
      <c r="E192" s="372" t="s">
        <v>2028</v>
      </c>
      <c r="F192" s="375" t="s">
        <v>2029</v>
      </c>
      <c r="G192" s="375" t="s">
        <v>2030</v>
      </c>
      <c r="H192" s="375" t="s">
        <v>1528</v>
      </c>
      <c r="I192" s="375" t="s">
        <v>859</v>
      </c>
      <c r="J192" s="375">
        <v>580608.91468000005</v>
      </c>
      <c r="K192" s="375">
        <v>27192.941750000002</v>
      </c>
      <c r="L192" s="375">
        <v>10482.50412</v>
      </c>
      <c r="M192" s="375">
        <v>710066.4142</v>
      </c>
      <c r="N192" s="372">
        <v>0.55500000000000005</v>
      </c>
      <c r="O192" s="704">
        <v>0.12231052224350313</v>
      </c>
      <c r="P192" s="375" t="s">
        <v>619</v>
      </c>
      <c r="Q192" s="372" t="s">
        <v>619</v>
      </c>
      <c r="R192" s="696">
        <v>20171124</v>
      </c>
      <c r="S192" s="372" t="s">
        <v>2031</v>
      </c>
      <c r="T192" s="697">
        <v>0.20900000000000002</v>
      </c>
      <c r="U192" s="372" t="s">
        <v>2032</v>
      </c>
      <c r="V192" s="722">
        <v>5.77</v>
      </c>
      <c r="W192" s="722">
        <v>1.58</v>
      </c>
      <c r="X192" s="722">
        <v>1.93</v>
      </c>
      <c r="Y192" s="722">
        <v>202.48</v>
      </c>
      <c r="Z192" s="382">
        <v>-9.3126816991109251E-3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5466.94</v>
      </c>
      <c r="AF192" s="372">
        <v>6625.88</v>
      </c>
      <c r="AG192" s="372">
        <v>7254.8</v>
      </c>
      <c r="AH192" s="372">
        <v>0</v>
      </c>
    </row>
    <row r="193" spans="1:34">
      <c r="A193" s="372" t="s">
        <v>2033</v>
      </c>
      <c r="B193" s="373" t="s">
        <v>2034</v>
      </c>
      <c r="C193" s="372" t="s">
        <v>2035</v>
      </c>
      <c r="D193" s="374">
        <v>1101110413247</v>
      </c>
      <c r="E193" s="372" t="s">
        <v>2036</v>
      </c>
      <c r="F193" s="375" t="s">
        <v>2037</v>
      </c>
      <c r="G193" s="375" t="s">
        <v>2038</v>
      </c>
      <c r="H193" s="375" t="s">
        <v>843</v>
      </c>
      <c r="I193" s="375" t="s">
        <v>751</v>
      </c>
      <c r="J193" s="375">
        <v>6739353.6960000005</v>
      </c>
      <c r="K193" s="375">
        <v>135943.21243000001</v>
      </c>
      <c r="L193" s="375">
        <v>237398.33256000001</v>
      </c>
      <c r="M193" s="375">
        <v>2663617.01927</v>
      </c>
      <c r="N193" s="372">
        <v>0.47299999999999998</v>
      </c>
      <c r="O193" s="704">
        <v>179.07247473741674</v>
      </c>
      <c r="P193" s="375" t="s">
        <v>619</v>
      </c>
      <c r="Q193" s="372" t="s">
        <v>619</v>
      </c>
      <c r="R193" s="696">
        <v>19970827</v>
      </c>
      <c r="S193" s="375" t="s">
        <v>2039</v>
      </c>
      <c r="T193" s="697">
        <v>0.23100000000000001</v>
      </c>
      <c r="U193" s="375" t="s">
        <v>2040</v>
      </c>
      <c r="V193" s="722">
        <v>13.89</v>
      </c>
      <c r="W193" s="722">
        <v>0.59</v>
      </c>
      <c r="X193" s="722">
        <v>0.23</v>
      </c>
      <c r="Y193" s="722">
        <v>9.52</v>
      </c>
      <c r="Z193" s="382">
        <v>4.8549654819646015E-2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70121.429999999993</v>
      </c>
      <c r="AF193" s="372">
        <v>81104.710000000006</v>
      </c>
      <c r="AG193" s="372">
        <v>84522.71</v>
      </c>
      <c r="AH193" s="372">
        <v>86120</v>
      </c>
    </row>
    <row r="194" spans="1:34">
      <c r="A194" s="372" t="s">
        <v>2041</v>
      </c>
      <c r="B194" s="373" t="s">
        <v>2042</v>
      </c>
      <c r="C194" s="372" t="s">
        <v>2043</v>
      </c>
      <c r="D194" s="374">
        <v>1101112070334</v>
      </c>
      <c r="E194" s="372" t="s">
        <v>2044</v>
      </c>
      <c r="F194" s="375" t="s">
        <v>1052</v>
      </c>
      <c r="G194" s="375" t="s">
        <v>1052</v>
      </c>
      <c r="H194" s="375" t="s">
        <v>858</v>
      </c>
      <c r="I194" s="375" t="s">
        <v>859</v>
      </c>
      <c r="J194" s="375">
        <v>399421.75341</v>
      </c>
      <c r="K194" s="375">
        <v>-6773.86895</v>
      </c>
      <c r="L194" s="375">
        <v>31889.70566</v>
      </c>
      <c r="M194" s="375">
        <v>1030093.18086</v>
      </c>
      <c r="N194" s="372">
        <v>0.72699999999999998</v>
      </c>
      <c r="O194" s="704">
        <v>13.393399058165992</v>
      </c>
      <c r="P194" s="375" t="s">
        <v>619</v>
      </c>
      <c r="Q194" s="375" t="s">
        <v>619</v>
      </c>
      <c r="R194" s="696">
        <v>20100910</v>
      </c>
      <c r="S194" s="375" t="s">
        <v>2045</v>
      </c>
      <c r="T194" s="697">
        <v>0.23100000000000001</v>
      </c>
      <c r="U194" s="375" t="s">
        <v>2046</v>
      </c>
      <c r="V194" s="722">
        <v>20.49</v>
      </c>
      <c r="W194" s="722">
        <v>1.06</v>
      </c>
      <c r="X194" s="722">
        <v>3.24</v>
      </c>
      <c r="Y194" s="722">
        <v>43.86</v>
      </c>
      <c r="Z194" s="382">
        <v>0.11262722994988317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4087</v>
      </c>
      <c r="AF194" s="372">
        <v>4663</v>
      </c>
      <c r="AG194" s="372">
        <v>5630</v>
      </c>
      <c r="AH194" s="372">
        <v>3630</v>
      </c>
    </row>
    <row r="195" spans="1:34">
      <c r="A195" s="372" t="s">
        <v>2047</v>
      </c>
      <c r="B195" s="373" t="s">
        <v>2048</v>
      </c>
      <c r="C195" s="372" t="s">
        <v>2049</v>
      </c>
      <c r="D195" s="374">
        <v>1358110191121</v>
      </c>
      <c r="E195" s="372" t="s">
        <v>2050</v>
      </c>
      <c r="F195" s="375" t="s">
        <v>2051</v>
      </c>
      <c r="G195" s="375" t="s">
        <v>2052</v>
      </c>
      <c r="H195" s="375" t="s">
        <v>2053</v>
      </c>
      <c r="I195" s="375" t="s">
        <v>751</v>
      </c>
      <c r="J195" s="375">
        <v>674066.22323999996</v>
      </c>
      <c r="K195" s="375">
        <v>-39645.86004</v>
      </c>
      <c r="L195" s="375">
        <v>-209254.31385999999</v>
      </c>
      <c r="M195" s="375">
        <v>2912483.9023699998</v>
      </c>
      <c r="N195" s="372">
        <v>0.92500000000000004</v>
      </c>
      <c r="O195" s="704">
        <v>46.568678031712935</v>
      </c>
      <c r="P195" s="375" t="s">
        <v>619</v>
      </c>
      <c r="Q195" s="375" t="s">
        <v>619</v>
      </c>
      <c r="R195" s="696">
        <v>20210716</v>
      </c>
      <c r="S195" s="375" t="s">
        <v>2054</v>
      </c>
      <c r="T195" s="697" t="s">
        <v>768</v>
      </c>
      <c r="U195" s="375" t="s">
        <v>2055</v>
      </c>
      <c r="V195" s="722">
        <v>10.55</v>
      </c>
      <c r="W195" s="722">
        <v>0.38</v>
      </c>
      <c r="X195" s="722">
        <v>1.7</v>
      </c>
      <c r="Y195" s="722" t="s">
        <v>770</v>
      </c>
      <c r="Z195" s="382">
        <v>8.7150344835619897E-2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7172</v>
      </c>
      <c r="AF195" s="372">
        <v>8179</v>
      </c>
      <c r="AG195" s="372">
        <v>9159</v>
      </c>
      <c r="AH195" s="372">
        <v>0</v>
      </c>
    </row>
    <row r="196" spans="1:34">
      <c r="A196" s="372" t="s">
        <v>2056</v>
      </c>
      <c r="B196" s="373" t="s">
        <v>2057</v>
      </c>
      <c r="C196" s="372" t="s">
        <v>2058</v>
      </c>
      <c r="D196" s="374">
        <v>1101110034308</v>
      </c>
      <c r="E196" s="372" t="s">
        <v>2059</v>
      </c>
      <c r="F196" s="375" t="s">
        <v>2219</v>
      </c>
      <c r="G196" s="375" t="s">
        <v>2219</v>
      </c>
      <c r="H196" s="375" t="s">
        <v>1313</v>
      </c>
      <c r="I196" s="375" t="s">
        <v>751</v>
      </c>
      <c r="J196" s="375">
        <v>1575907.1391799999</v>
      </c>
      <c r="K196" s="375">
        <v>293073.21126000001</v>
      </c>
      <c r="L196" s="375">
        <v>297905.36238000001</v>
      </c>
      <c r="M196" s="375">
        <v>754525.09375</v>
      </c>
      <c r="N196" s="372">
        <v>0.121</v>
      </c>
      <c r="O196" s="704">
        <v>11.147983594167194</v>
      </c>
      <c r="P196" s="375" t="s">
        <v>619</v>
      </c>
      <c r="Q196" s="372" t="s">
        <v>619</v>
      </c>
      <c r="R196" s="696">
        <v>19750630</v>
      </c>
      <c r="S196" s="375" t="s">
        <v>2060</v>
      </c>
      <c r="T196" s="697">
        <v>0.23100000000000001</v>
      </c>
      <c r="U196" s="375" t="s">
        <v>2061</v>
      </c>
      <c r="V196" s="722">
        <v>12.31</v>
      </c>
      <c r="W196" s="722">
        <v>5.46</v>
      </c>
      <c r="X196" s="722">
        <v>2.6</v>
      </c>
      <c r="Y196" s="722">
        <v>18</v>
      </c>
      <c r="Z196" s="382">
        <v>0.18398155515033832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16733.080000000002</v>
      </c>
      <c r="AF196" s="372">
        <v>19603.27</v>
      </c>
      <c r="AG196" s="372">
        <v>23441.7</v>
      </c>
      <c r="AH196" s="372">
        <v>0</v>
      </c>
    </row>
    <row r="197" spans="1:34">
      <c r="A197" s="372" t="s">
        <v>2062</v>
      </c>
      <c r="B197" s="373" t="s">
        <v>2063</v>
      </c>
      <c r="C197" s="372" t="s">
        <v>2064</v>
      </c>
      <c r="D197" s="374">
        <v>1348110294273</v>
      </c>
      <c r="E197" s="372" t="s">
        <v>2065</v>
      </c>
      <c r="F197" s="375" t="s">
        <v>1093</v>
      </c>
      <c r="G197" s="375" t="s">
        <v>1094</v>
      </c>
      <c r="H197" s="375" t="s">
        <v>823</v>
      </c>
      <c r="I197" s="375" t="s">
        <v>751</v>
      </c>
      <c r="J197" s="375">
        <v>2044788.5350299999</v>
      </c>
      <c r="K197" s="375">
        <v>158100.72279999999</v>
      </c>
      <c r="L197" s="375">
        <v>118283.16099</v>
      </c>
      <c r="M197" s="375">
        <v>475528.38261999999</v>
      </c>
      <c r="N197" s="372">
        <v>0.43</v>
      </c>
      <c r="O197" s="704">
        <v>46.378511006264581</v>
      </c>
      <c r="P197" s="375" t="s">
        <v>619</v>
      </c>
      <c r="Q197" s="375" t="s">
        <v>619</v>
      </c>
      <c r="R197" s="696">
        <v>20140407</v>
      </c>
      <c r="S197" s="375" t="s">
        <v>2066</v>
      </c>
      <c r="T197" s="697">
        <v>0.23100000000000001</v>
      </c>
      <c r="U197" s="375" t="s">
        <v>2067</v>
      </c>
      <c r="V197" s="722">
        <v>9.99</v>
      </c>
      <c r="W197" s="722">
        <v>3.74</v>
      </c>
      <c r="X197" s="722">
        <v>0.81</v>
      </c>
      <c r="Y197" s="722">
        <v>21.06</v>
      </c>
      <c r="Z197" s="382">
        <v>0.10951574550469645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21206.5</v>
      </c>
      <c r="AF197" s="372">
        <v>24208.61</v>
      </c>
      <c r="AG197" s="372">
        <v>26936.560000000001</v>
      </c>
      <c r="AH197" s="372">
        <v>30449</v>
      </c>
    </row>
    <row r="198" spans="1:34">
      <c r="A198" s="372" t="s">
        <v>2068</v>
      </c>
      <c r="B198" s="373" t="s">
        <v>2069</v>
      </c>
      <c r="C198" s="372" t="s">
        <v>2070</v>
      </c>
      <c r="D198" s="374">
        <v>2149110058935</v>
      </c>
      <c r="E198" s="372" t="s">
        <v>2071</v>
      </c>
      <c r="F198" s="375" t="s">
        <v>2072</v>
      </c>
      <c r="G198" s="375" t="s">
        <v>2073</v>
      </c>
      <c r="H198" s="375" t="s">
        <v>750</v>
      </c>
      <c r="I198" s="375" t="s">
        <v>751</v>
      </c>
      <c r="J198" s="375">
        <v>266415.55651000002</v>
      </c>
      <c r="K198" s="375">
        <v>-1856.79034</v>
      </c>
      <c r="L198" s="375">
        <v>-14393.4642</v>
      </c>
      <c r="M198" s="375">
        <v>507069.47898000001</v>
      </c>
      <c r="N198" s="372">
        <v>1.202</v>
      </c>
      <c r="O198" s="704">
        <v>40.874511744738854</v>
      </c>
      <c r="P198" s="375" t="s">
        <v>619</v>
      </c>
      <c r="Q198" s="375" t="s">
        <v>619</v>
      </c>
      <c r="R198" s="696">
        <v>20191018</v>
      </c>
      <c r="S198" s="375" t="s">
        <v>2074</v>
      </c>
      <c r="T198" s="697" t="s">
        <v>768</v>
      </c>
      <c r="U198" s="375" t="s">
        <v>2075</v>
      </c>
      <c r="V198" s="722">
        <v>108.28</v>
      </c>
      <c r="W198" s="722">
        <v>3.06</v>
      </c>
      <c r="X198" s="722">
        <v>5.83</v>
      </c>
      <c r="Y198" s="722" t="s">
        <v>770</v>
      </c>
      <c r="Z198" s="382" t="s">
        <v>924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2076</v>
      </c>
      <c r="B199" s="373" t="s">
        <v>2077</v>
      </c>
      <c r="C199" s="372" t="s">
        <v>2078</v>
      </c>
      <c r="D199" s="374">
        <v>1511110058698</v>
      </c>
      <c r="E199" s="372" t="s">
        <v>2079</v>
      </c>
      <c r="F199" s="375" t="s">
        <v>16097</v>
      </c>
      <c r="G199" s="375" t="s">
        <v>16100</v>
      </c>
      <c r="H199" s="375" t="s">
        <v>858</v>
      </c>
      <c r="I199" s="375" t="s">
        <v>859</v>
      </c>
      <c r="J199" s="375">
        <v>396725.34675000003</v>
      </c>
      <c r="K199" s="375">
        <v>-13592.233130000001</v>
      </c>
      <c r="L199" s="375">
        <v>-15092.072749999999</v>
      </c>
      <c r="M199" s="375">
        <v>999453.29853000003</v>
      </c>
      <c r="N199" s="372">
        <v>1.0529999999999999</v>
      </c>
      <c r="O199" s="704">
        <v>90.351683455084725</v>
      </c>
      <c r="P199" s="375" t="s">
        <v>619</v>
      </c>
      <c r="Q199" s="372" t="s">
        <v>619</v>
      </c>
      <c r="R199" s="696">
        <v>20220930</v>
      </c>
      <c r="S199" s="372" t="s">
        <v>2080</v>
      </c>
      <c r="T199" s="697" t="s">
        <v>768</v>
      </c>
      <c r="U199" s="372" t="s">
        <v>2081</v>
      </c>
      <c r="V199" s="722">
        <v>24.85</v>
      </c>
      <c r="W199" s="722">
        <v>0.68</v>
      </c>
      <c r="X199" s="722">
        <v>1.71</v>
      </c>
      <c r="Y199" s="722" t="s">
        <v>770</v>
      </c>
      <c r="Z199" s="382">
        <v>0.18532073058084175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3865</v>
      </c>
      <c r="AF199" s="372">
        <v>4146.13</v>
      </c>
      <c r="AG199" s="372">
        <v>6020.38</v>
      </c>
      <c r="AH199" s="372">
        <v>6250</v>
      </c>
    </row>
    <row r="200" spans="1:34">
      <c r="A200" s="372" t="s">
        <v>2082</v>
      </c>
      <c r="B200" s="373" t="s">
        <v>2083</v>
      </c>
      <c r="C200" s="372" t="s">
        <v>2084</v>
      </c>
      <c r="D200" s="374">
        <v>1101110032112</v>
      </c>
      <c r="E200" s="372" t="s">
        <v>2085</v>
      </c>
      <c r="F200" s="375" t="s">
        <v>2086</v>
      </c>
      <c r="G200" s="375" t="s">
        <v>2087</v>
      </c>
      <c r="H200" s="375" t="s">
        <v>809</v>
      </c>
      <c r="I200" s="375" t="s">
        <v>751</v>
      </c>
      <c r="J200" s="375">
        <v>602533.75529999996</v>
      </c>
      <c r="K200" s="375">
        <v>13138.482980000001</v>
      </c>
      <c r="L200" s="375">
        <v>16292.11896</v>
      </c>
      <c r="M200" s="375">
        <v>244381.7255</v>
      </c>
      <c r="N200" s="372">
        <v>1.68</v>
      </c>
      <c r="O200" s="704">
        <v>21.195607089137955</v>
      </c>
      <c r="P200" s="375" t="s">
        <v>619</v>
      </c>
      <c r="Q200" s="375" t="s">
        <v>619</v>
      </c>
      <c r="R200" s="696">
        <v>19841221</v>
      </c>
      <c r="S200" s="375" t="s">
        <v>2088</v>
      </c>
      <c r="T200" s="697">
        <v>0.20900000000000002</v>
      </c>
      <c r="U200" s="375" t="s">
        <v>2089</v>
      </c>
      <c r="V200" s="722">
        <v>58.33</v>
      </c>
      <c r="W200" s="722">
        <v>4.18</v>
      </c>
      <c r="X200" s="722">
        <v>1.67</v>
      </c>
      <c r="Y200" s="722">
        <v>43.12</v>
      </c>
      <c r="Z200" s="382">
        <v>3.9234448874463368E-2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5793</v>
      </c>
      <c r="AF200" s="372">
        <v>6146.33</v>
      </c>
      <c r="AG200" s="372">
        <v>7283.33</v>
      </c>
      <c r="AH200" s="372">
        <v>0</v>
      </c>
    </row>
    <row r="201" spans="1:34">
      <c r="A201" s="372" t="s">
        <v>2090</v>
      </c>
      <c r="B201" s="373" t="s">
        <v>2091</v>
      </c>
      <c r="C201" s="372" t="s">
        <v>2092</v>
      </c>
      <c r="D201" s="374">
        <v>1101116770138</v>
      </c>
      <c r="E201" s="372" t="s">
        <v>2093</v>
      </c>
      <c r="F201" s="372" t="s">
        <v>1944</v>
      </c>
      <c r="G201" s="375" t="s">
        <v>1944</v>
      </c>
      <c r="H201" s="375" t="s">
        <v>823</v>
      </c>
      <c r="I201" s="375" t="s">
        <v>751</v>
      </c>
      <c r="J201" s="375">
        <v>7565376.7487000003</v>
      </c>
      <c r="K201" s="375">
        <v>257295.42679999999</v>
      </c>
      <c r="L201" s="375">
        <v>195405.38649999999</v>
      </c>
      <c r="M201" s="375">
        <v>1659681.44472</v>
      </c>
      <c r="N201" s="372">
        <v>0.78</v>
      </c>
      <c r="O201" s="704">
        <v>93.335525599210712</v>
      </c>
      <c r="P201" s="375" t="s">
        <v>619</v>
      </c>
      <c r="Q201" s="372" t="s">
        <v>619</v>
      </c>
      <c r="R201" s="696">
        <v>20180713</v>
      </c>
      <c r="S201" s="372" t="s">
        <v>2094</v>
      </c>
      <c r="T201" s="697">
        <v>0.23100000000000001</v>
      </c>
      <c r="U201" s="375" t="s">
        <v>2095</v>
      </c>
      <c r="V201" s="722">
        <v>5.32</v>
      </c>
      <c r="W201" s="722">
        <v>1.01</v>
      </c>
      <c r="X201" s="722">
        <v>0.18</v>
      </c>
      <c r="Y201" s="722">
        <v>9.65</v>
      </c>
      <c r="Z201" s="382">
        <v>2.6515325927997546E-2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76888.289999999994</v>
      </c>
      <c r="AF201" s="372">
        <v>80236.710000000006</v>
      </c>
      <c r="AG201" s="372">
        <v>83575.5</v>
      </c>
      <c r="AH201" s="372">
        <v>0</v>
      </c>
    </row>
    <row r="202" spans="1:34">
      <c r="A202" s="372" t="s">
        <v>2096</v>
      </c>
      <c r="B202" s="373" t="s">
        <v>2097</v>
      </c>
      <c r="C202" s="372" t="s">
        <v>2098</v>
      </c>
      <c r="D202" s="374">
        <v>1101110030497</v>
      </c>
      <c r="E202" s="372" t="s">
        <v>2099</v>
      </c>
      <c r="F202" s="375" t="s">
        <v>2100</v>
      </c>
      <c r="G202" s="375" t="s">
        <v>2100</v>
      </c>
      <c r="H202" s="375" t="s">
        <v>852</v>
      </c>
      <c r="I202" s="375" t="s">
        <v>751</v>
      </c>
      <c r="J202" s="375">
        <v>3705100.5359399999</v>
      </c>
      <c r="K202" s="375">
        <v>148923.06487</v>
      </c>
      <c r="L202" s="375">
        <v>76479.179539999997</v>
      </c>
      <c r="M202" s="375">
        <v>2313106.10445</v>
      </c>
      <c r="N202" s="372">
        <v>0.80100000000000005</v>
      </c>
      <c r="O202" s="704">
        <v>139.59576261716617</v>
      </c>
      <c r="P202" s="375" t="s">
        <v>619</v>
      </c>
      <c r="Q202" s="375" t="s">
        <v>619</v>
      </c>
      <c r="R202" s="696">
        <v>19730630</v>
      </c>
      <c r="S202" s="375" t="s">
        <v>2101</v>
      </c>
      <c r="T202" s="697">
        <v>0.23100000000000001</v>
      </c>
      <c r="U202" s="375" t="s">
        <v>2102</v>
      </c>
      <c r="V202" s="722">
        <v>8.58</v>
      </c>
      <c r="W202" s="722">
        <v>0.43</v>
      </c>
      <c r="X202" s="722">
        <v>0.28000000000000003</v>
      </c>
      <c r="Y202" s="722">
        <v>3.19</v>
      </c>
      <c r="Z202" s="382">
        <v>-3.3081310559468169E-2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28635</v>
      </c>
      <c r="AF202" s="372">
        <v>29320</v>
      </c>
      <c r="AG202" s="372">
        <v>30040</v>
      </c>
      <c r="AH202" s="372">
        <v>0</v>
      </c>
    </row>
    <row r="203" spans="1:34">
      <c r="A203" s="372" t="s">
        <v>2103</v>
      </c>
      <c r="B203" s="373" t="s">
        <v>2104</v>
      </c>
      <c r="C203" s="372" t="s">
        <v>2105</v>
      </c>
      <c r="D203" s="374">
        <v>1601110089395</v>
      </c>
      <c r="E203" s="372" t="s">
        <v>2106</v>
      </c>
      <c r="F203" s="375" t="s">
        <v>766</v>
      </c>
      <c r="G203" s="375" t="s">
        <v>766</v>
      </c>
      <c r="H203" s="375" t="s">
        <v>750</v>
      </c>
      <c r="I203" s="375" t="s">
        <v>751</v>
      </c>
      <c r="J203" s="375">
        <v>1875802.62292</v>
      </c>
      <c r="K203" s="375">
        <v>203721.73308999999</v>
      </c>
      <c r="L203" s="375">
        <v>199510.67773</v>
      </c>
      <c r="M203" s="375">
        <v>1057360.0700600001</v>
      </c>
      <c r="N203" s="372">
        <v>0.999</v>
      </c>
      <c r="O203" s="704">
        <v>2.5517931792450219</v>
      </c>
      <c r="P203" s="375" t="s">
        <v>619</v>
      </c>
      <c r="Q203" s="375" t="s">
        <v>619</v>
      </c>
      <c r="R203" s="696">
        <v>20100608</v>
      </c>
      <c r="S203" s="375" t="s">
        <v>2107</v>
      </c>
      <c r="T203" s="697">
        <v>0.23100000000000001</v>
      </c>
      <c r="U203" s="375" t="s">
        <v>2108</v>
      </c>
      <c r="V203" s="722">
        <v>4.46</v>
      </c>
      <c r="W203" s="722">
        <v>0.99</v>
      </c>
      <c r="X203" s="722">
        <v>0.56000000000000005</v>
      </c>
      <c r="Y203" s="722">
        <v>6.68</v>
      </c>
      <c r="Z203" s="382">
        <v>3.9561794956345597E-2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18863</v>
      </c>
      <c r="AF203" s="372">
        <v>20194.400000000001</v>
      </c>
      <c r="AG203" s="372">
        <v>22206.75</v>
      </c>
      <c r="AH203" s="372">
        <v>0</v>
      </c>
    </row>
    <row r="204" spans="1:34">
      <c r="A204" s="372" t="s">
        <v>2109</v>
      </c>
      <c r="B204" s="373" t="s">
        <v>2110</v>
      </c>
      <c r="C204" s="372" t="s">
        <v>2111</v>
      </c>
      <c r="D204" s="374">
        <v>1341110002365</v>
      </c>
      <c r="E204" s="372" t="s">
        <v>2112</v>
      </c>
      <c r="F204" s="372" t="s">
        <v>2113</v>
      </c>
      <c r="G204" s="375" t="s">
        <v>2114</v>
      </c>
      <c r="H204" s="375" t="s">
        <v>809</v>
      </c>
      <c r="I204" s="375" t="s">
        <v>751</v>
      </c>
      <c r="J204" s="375">
        <v>250121.40382000001</v>
      </c>
      <c r="K204" s="375">
        <v>-6731.3367900000003</v>
      </c>
      <c r="L204" s="375">
        <v>-11600.29233</v>
      </c>
      <c r="M204" s="375">
        <v>246433.92176</v>
      </c>
      <c r="N204" s="372">
        <v>1.0900000000000001</v>
      </c>
      <c r="O204" s="704">
        <v>16.854593962352375</v>
      </c>
      <c r="P204" s="375" t="s">
        <v>619</v>
      </c>
      <c r="Q204" s="375" t="s">
        <v>619</v>
      </c>
      <c r="R204" s="696">
        <v>19801205</v>
      </c>
      <c r="S204" s="375" t="s">
        <v>2115</v>
      </c>
      <c r="T204" s="697" t="s">
        <v>768</v>
      </c>
      <c r="U204" s="375" t="s">
        <v>2116</v>
      </c>
      <c r="V204" s="722">
        <v>98.27</v>
      </c>
      <c r="W204" s="722">
        <v>3.04</v>
      </c>
      <c r="X204" s="722">
        <v>3</v>
      </c>
      <c r="Y204" s="722" t="s">
        <v>770</v>
      </c>
      <c r="Z204" s="382" t="s">
        <v>924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2117</v>
      </c>
      <c r="B205" s="373" t="s">
        <v>2118</v>
      </c>
      <c r="C205" s="372" t="s">
        <v>2119</v>
      </c>
      <c r="D205" s="374">
        <v>1351110052892</v>
      </c>
      <c r="E205" s="372" t="s">
        <v>2120</v>
      </c>
      <c r="F205" s="375" t="s">
        <v>2121</v>
      </c>
      <c r="G205" s="375" t="s">
        <v>2122</v>
      </c>
      <c r="H205" s="375" t="s">
        <v>2053</v>
      </c>
      <c r="I205" s="375" t="s">
        <v>751</v>
      </c>
      <c r="J205" s="375">
        <v>413294.63598000002</v>
      </c>
      <c r="K205" s="375">
        <v>125593.56518000001</v>
      </c>
      <c r="L205" s="375">
        <v>116937.20462999999</v>
      </c>
      <c r="M205" s="375">
        <v>517137.26779999997</v>
      </c>
      <c r="N205" s="372">
        <v>0.95099999999999996</v>
      </c>
      <c r="O205" s="704">
        <v>37.875256410867323</v>
      </c>
      <c r="P205" s="375" t="s">
        <v>619</v>
      </c>
      <c r="Q205" s="375" t="s">
        <v>619</v>
      </c>
      <c r="R205" s="696">
        <v>20170315</v>
      </c>
      <c r="S205" s="375" t="s">
        <v>2122</v>
      </c>
      <c r="T205" s="697">
        <v>0.23100000000000001</v>
      </c>
      <c r="U205" s="372" t="s">
        <v>2123</v>
      </c>
      <c r="V205" s="722">
        <v>7.14</v>
      </c>
      <c r="W205" s="722">
        <v>1.68</v>
      </c>
      <c r="X205" s="722">
        <v>2.19</v>
      </c>
      <c r="Y205" s="722">
        <v>10.5</v>
      </c>
      <c r="Z205" s="382">
        <v>7.9574391936391597E-2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4273.78</v>
      </c>
      <c r="AF205" s="372">
        <v>4768.8900000000003</v>
      </c>
      <c r="AG205" s="372">
        <v>5340.86</v>
      </c>
      <c r="AH205" s="372">
        <v>12550</v>
      </c>
    </row>
    <row r="206" spans="1:34">
      <c r="A206" s="372" t="s">
        <v>2124</v>
      </c>
      <c r="B206" s="373" t="s">
        <v>2125</v>
      </c>
      <c r="C206" s="372" t="s">
        <v>2126</v>
      </c>
      <c r="D206" s="374">
        <v>1101110002694</v>
      </c>
      <c r="E206" s="372" t="s">
        <v>2127</v>
      </c>
      <c r="F206" s="375" t="s">
        <v>1846</v>
      </c>
      <c r="G206" s="375" t="s">
        <v>2128</v>
      </c>
      <c r="H206" s="375" t="s">
        <v>1383</v>
      </c>
      <c r="I206" s="375" t="s">
        <v>751</v>
      </c>
      <c r="J206" s="375">
        <v>12798780.41299</v>
      </c>
      <c r="K206" s="375">
        <v>52532.010020000002</v>
      </c>
      <c r="L206" s="375">
        <v>67338.106199999995</v>
      </c>
      <c r="M206" s="375">
        <v>5114551.1961000003</v>
      </c>
      <c r="N206" s="372">
        <v>0.83499999999999996</v>
      </c>
      <c r="O206" s="704">
        <v>379.80054741077345</v>
      </c>
      <c r="P206" s="375" t="s">
        <v>619</v>
      </c>
      <c r="Q206" s="372" t="s">
        <v>619</v>
      </c>
      <c r="R206" s="696">
        <v>19810803</v>
      </c>
      <c r="S206" s="375" t="s">
        <v>2129</v>
      </c>
      <c r="T206" s="697">
        <v>0.23100000000000001</v>
      </c>
      <c r="U206" s="375" t="s">
        <v>2130</v>
      </c>
      <c r="V206" s="722">
        <v>18.309999999999999</v>
      </c>
      <c r="W206" s="722">
        <v>0.35</v>
      </c>
      <c r="X206" s="722">
        <v>0.12</v>
      </c>
      <c r="Y206" s="722" t="s">
        <v>770</v>
      </c>
      <c r="Z206" s="382">
        <v>-6.3294081694988957E-3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127664.11</v>
      </c>
      <c r="AF206" s="372">
        <v>128735.26</v>
      </c>
      <c r="AG206" s="372">
        <v>130997.16</v>
      </c>
      <c r="AH206" s="372">
        <v>130600</v>
      </c>
    </row>
    <row r="207" spans="1:34">
      <c r="A207" s="372" t="s">
        <v>2131</v>
      </c>
      <c r="B207" s="373" t="s">
        <v>2132</v>
      </c>
      <c r="C207" s="372" t="s">
        <v>2133</v>
      </c>
      <c r="D207" s="374">
        <v>1648110021208</v>
      </c>
      <c r="E207" s="372" t="s">
        <v>2134</v>
      </c>
      <c r="F207" s="372" t="s">
        <v>1653</v>
      </c>
      <c r="G207" s="375" t="s">
        <v>1653</v>
      </c>
      <c r="H207" s="375" t="s">
        <v>858</v>
      </c>
      <c r="I207" s="375" t="s">
        <v>859</v>
      </c>
      <c r="J207" s="375">
        <v>1108458.84619</v>
      </c>
      <c r="K207" s="375">
        <v>53722.604879999999</v>
      </c>
      <c r="L207" s="375">
        <v>-54345.124709999996</v>
      </c>
      <c r="M207" s="375">
        <v>583741.97768000001</v>
      </c>
      <c r="N207" s="372">
        <v>1.2010000000000001</v>
      </c>
      <c r="O207" s="704">
        <v>142.17890740371445</v>
      </c>
      <c r="P207" s="375" t="s">
        <v>619</v>
      </c>
      <c r="Q207" s="375" t="s">
        <v>619</v>
      </c>
      <c r="R207" s="696">
        <v>20051011</v>
      </c>
      <c r="S207" s="375" t="s">
        <v>2135</v>
      </c>
      <c r="T207" s="697" t="s">
        <v>768</v>
      </c>
      <c r="U207" s="375" t="s">
        <v>2136</v>
      </c>
      <c r="V207" s="722">
        <v>9.9600000000000009</v>
      </c>
      <c r="W207" s="722">
        <v>1.9</v>
      </c>
      <c r="X207" s="722">
        <v>0.65</v>
      </c>
      <c r="Y207" s="722" t="s">
        <v>770</v>
      </c>
      <c r="Z207" s="382">
        <v>0.17795723924472995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12256.8</v>
      </c>
      <c r="AF207" s="372">
        <v>16042.6</v>
      </c>
      <c r="AG207" s="372">
        <v>18637.2</v>
      </c>
      <c r="AH207" s="372">
        <v>0</v>
      </c>
    </row>
    <row r="208" spans="1:34">
      <c r="A208" s="372" t="s">
        <v>2137</v>
      </c>
      <c r="B208" s="373" t="s">
        <v>2138</v>
      </c>
      <c r="C208" s="372" t="s">
        <v>2139</v>
      </c>
      <c r="D208" s="374">
        <v>1348110075342</v>
      </c>
      <c r="E208" s="372" t="s">
        <v>2140</v>
      </c>
      <c r="F208" s="372" t="s">
        <v>1246</v>
      </c>
      <c r="G208" s="375" t="s">
        <v>1246</v>
      </c>
      <c r="H208" s="375" t="s">
        <v>781</v>
      </c>
      <c r="I208" s="375" t="s">
        <v>751</v>
      </c>
      <c r="J208" s="375">
        <v>1416626.10883</v>
      </c>
      <c r="K208" s="375">
        <v>137931.01495000001</v>
      </c>
      <c r="L208" s="375">
        <v>110588.93081999999</v>
      </c>
      <c r="M208" s="375">
        <v>951353.15289999999</v>
      </c>
      <c r="N208" s="372">
        <v>0.751</v>
      </c>
      <c r="O208" s="704">
        <v>32.234804819268</v>
      </c>
      <c r="P208" s="375" t="s">
        <v>619</v>
      </c>
      <c r="Q208" s="375" t="s">
        <v>619</v>
      </c>
      <c r="R208" s="696">
        <v>20021101</v>
      </c>
      <c r="S208" s="375" t="s">
        <v>2141</v>
      </c>
      <c r="T208" s="697">
        <v>0.23100000000000001</v>
      </c>
      <c r="U208" s="375" t="s">
        <v>2142</v>
      </c>
      <c r="V208" s="722">
        <v>11.97</v>
      </c>
      <c r="W208" s="722">
        <v>1.95</v>
      </c>
      <c r="X208" s="722">
        <v>1.1299999999999999</v>
      </c>
      <c r="Y208" s="722">
        <v>15.47</v>
      </c>
      <c r="Z208" s="382">
        <v>3.8841984925904516E-2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14050.38</v>
      </c>
      <c r="AF208" s="372">
        <v>15003.75</v>
      </c>
      <c r="AG208" s="372">
        <v>16017.86</v>
      </c>
      <c r="AH208" s="372">
        <v>0</v>
      </c>
    </row>
    <row r="209" spans="1:34">
      <c r="A209" s="372" t="s">
        <v>2143</v>
      </c>
      <c r="B209" s="373" t="s">
        <v>2144</v>
      </c>
      <c r="C209" s="372" t="s">
        <v>2145</v>
      </c>
      <c r="D209" s="374">
        <v>1101110109854</v>
      </c>
      <c r="E209" s="372" t="s">
        <v>2146</v>
      </c>
      <c r="F209" s="375" t="s">
        <v>1320</v>
      </c>
      <c r="G209" s="375" t="s">
        <v>16103</v>
      </c>
      <c r="H209" s="375" t="s">
        <v>781</v>
      </c>
      <c r="I209" s="375" t="s">
        <v>751</v>
      </c>
      <c r="J209" s="375">
        <v>1643982.59097</v>
      </c>
      <c r="K209" s="375">
        <v>33802.303979999997</v>
      </c>
      <c r="L209" s="375">
        <v>-26075.81135</v>
      </c>
      <c r="M209" s="375">
        <v>1523562.66753</v>
      </c>
      <c r="N209" s="372">
        <v>0.873</v>
      </c>
      <c r="O209" s="704">
        <v>48.167189386823466</v>
      </c>
      <c r="P209" s="375" t="s">
        <v>619</v>
      </c>
      <c r="Q209" s="375" t="s">
        <v>619</v>
      </c>
      <c r="R209" s="696">
        <v>19890801</v>
      </c>
      <c r="S209" s="375" t="s">
        <v>2147</v>
      </c>
      <c r="T209" s="697" t="s">
        <v>768</v>
      </c>
      <c r="U209" s="375" t="s">
        <v>15831</v>
      </c>
      <c r="V209" s="722">
        <v>25.03</v>
      </c>
      <c r="W209" s="722">
        <v>1.34</v>
      </c>
      <c r="X209" s="722">
        <v>1.08</v>
      </c>
      <c r="Y209" s="722" t="s">
        <v>770</v>
      </c>
      <c r="Z209" s="382">
        <v>6.3550722466943599E-2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17054.830000000002</v>
      </c>
      <c r="AF209" s="372">
        <v>18903.919999999998</v>
      </c>
      <c r="AG209" s="372">
        <v>20812.55</v>
      </c>
      <c r="AH209" s="372">
        <v>21270</v>
      </c>
    </row>
    <row r="210" spans="1:34">
      <c r="A210" s="372" t="s">
        <v>2149</v>
      </c>
      <c r="B210" s="373" t="s">
        <v>2150</v>
      </c>
      <c r="C210" s="372" t="s">
        <v>2151</v>
      </c>
      <c r="D210" s="374">
        <v>1812110000013</v>
      </c>
      <c r="E210" s="372" t="s">
        <v>2152</v>
      </c>
      <c r="F210" s="372" t="s">
        <v>821</v>
      </c>
      <c r="G210" s="375" t="s">
        <v>16105</v>
      </c>
      <c r="H210" s="375" t="s">
        <v>823</v>
      </c>
      <c r="I210" s="375" t="s">
        <v>751</v>
      </c>
      <c r="J210" s="375">
        <v>1653196.2514599999</v>
      </c>
      <c r="K210" s="375">
        <v>46709.979610000002</v>
      </c>
      <c r="L210" s="375">
        <v>105035.24397</v>
      </c>
      <c r="M210" s="375">
        <v>2387750.9247900001</v>
      </c>
      <c r="N210" s="372">
        <v>0.78100000000000003</v>
      </c>
      <c r="O210" s="704">
        <v>17.100505543564768</v>
      </c>
      <c r="P210" s="375" t="s">
        <v>619</v>
      </c>
      <c r="Q210" s="375" t="s">
        <v>619</v>
      </c>
      <c r="R210" s="696">
        <v>19760415</v>
      </c>
      <c r="S210" s="375" t="s">
        <v>2153</v>
      </c>
      <c r="T210" s="697">
        <v>0.23100000000000001</v>
      </c>
      <c r="U210" s="372" t="s">
        <v>2154</v>
      </c>
      <c r="V210" s="722">
        <v>6.16</v>
      </c>
      <c r="W210" s="722">
        <v>0.52</v>
      </c>
      <c r="X210" s="722">
        <v>0.75</v>
      </c>
      <c r="Y210" s="722">
        <v>19.100000000000001</v>
      </c>
      <c r="Z210" s="382">
        <v>2.2558142682934657E-2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16893.45</v>
      </c>
      <c r="AF210" s="372">
        <v>18113</v>
      </c>
      <c r="AG210" s="372">
        <v>19336.900000000001</v>
      </c>
      <c r="AH210" s="372">
        <v>0</v>
      </c>
    </row>
    <row r="211" spans="1:34">
      <c r="A211" s="372" t="s">
        <v>2155</v>
      </c>
      <c r="B211" s="373" t="s">
        <v>2156</v>
      </c>
      <c r="C211" s="372" t="s">
        <v>2157</v>
      </c>
      <c r="D211" s="374">
        <v>1101110003684</v>
      </c>
      <c r="E211" s="372" t="s">
        <v>2158</v>
      </c>
      <c r="F211" s="372" t="s">
        <v>2159</v>
      </c>
      <c r="G211" s="375" t="s">
        <v>2160</v>
      </c>
      <c r="H211" s="375" t="s">
        <v>1313</v>
      </c>
      <c r="I211" s="375" t="s">
        <v>751</v>
      </c>
      <c r="J211" s="375">
        <v>4019540.7757700002</v>
      </c>
      <c r="K211" s="375">
        <v>183681.29221000001</v>
      </c>
      <c r="L211" s="375">
        <v>154749.40617</v>
      </c>
      <c r="M211" s="375">
        <v>1591630.41922</v>
      </c>
      <c r="N211" s="372">
        <v>0.45800000000000002</v>
      </c>
      <c r="O211" s="704">
        <v>153.80578617456831</v>
      </c>
      <c r="P211" s="375" t="s">
        <v>619</v>
      </c>
      <c r="Q211" s="372" t="s">
        <v>619</v>
      </c>
      <c r="R211" s="696">
        <v>19730621</v>
      </c>
      <c r="S211" s="375" t="s">
        <v>2161</v>
      </c>
      <c r="T211" s="697">
        <v>0.23100000000000001</v>
      </c>
      <c r="U211" s="375" t="s">
        <v>2162</v>
      </c>
      <c r="V211" s="722">
        <v>6.72</v>
      </c>
      <c r="W211" s="722">
        <v>0.86</v>
      </c>
      <c r="X211" s="722">
        <v>0.33</v>
      </c>
      <c r="Y211" s="722">
        <v>11.07</v>
      </c>
      <c r="Z211" s="382">
        <v>8.5984886142450589E-2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40779.800000000003</v>
      </c>
      <c r="AF211" s="372">
        <v>42818.8</v>
      </c>
      <c r="AG211" s="372">
        <v>44852</v>
      </c>
      <c r="AH211" s="372">
        <v>0</v>
      </c>
    </row>
    <row r="212" spans="1:34">
      <c r="A212" s="372" t="s">
        <v>2163</v>
      </c>
      <c r="B212" s="373" t="s">
        <v>2164</v>
      </c>
      <c r="C212" s="372" t="s">
        <v>2165</v>
      </c>
      <c r="D212" s="374">
        <v>1346110007844</v>
      </c>
      <c r="E212" s="372" t="s">
        <v>2166</v>
      </c>
      <c r="F212" s="375" t="s">
        <v>2167</v>
      </c>
      <c r="G212" s="375" t="s">
        <v>2168</v>
      </c>
      <c r="H212" s="375" t="s">
        <v>858</v>
      </c>
      <c r="I212" s="375" t="s">
        <v>859</v>
      </c>
      <c r="J212" s="375">
        <v>264836.80183000001</v>
      </c>
      <c r="K212" s="375">
        <v>76954.402249999999</v>
      </c>
      <c r="L212" s="375">
        <v>84953.423079999993</v>
      </c>
      <c r="M212" s="375">
        <v>497603.34258</v>
      </c>
      <c r="N212" s="372">
        <v>0.874</v>
      </c>
      <c r="O212" s="704">
        <v>6.2073677698886755E-2</v>
      </c>
      <c r="P212" s="375" t="s">
        <v>619</v>
      </c>
      <c r="Q212" s="375" t="s">
        <v>619</v>
      </c>
      <c r="R212" s="696">
        <v>20030813</v>
      </c>
      <c r="S212" s="375" t="s">
        <v>2169</v>
      </c>
      <c r="T212" s="697">
        <v>0.23100000000000001</v>
      </c>
      <c r="U212" s="375" t="s">
        <v>2170</v>
      </c>
      <c r="V212" s="722">
        <v>0</v>
      </c>
      <c r="W212" s="722">
        <v>0</v>
      </c>
      <c r="X212" s="722">
        <v>0</v>
      </c>
      <c r="Y212" s="722">
        <v>0</v>
      </c>
      <c r="Z212" s="382" t="s">
        <v>924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2171</v>
      </c>
      <c r="B213" s="373" t="s">
        <v>2172</v>
      </c>
      <c r="C213" s="372" t="s">
        <v>2173</v>
      </c>
      <c r="D213" s="374">
        <v>1311110000271</v>
      </c>
      <c r="E213" s="372" t="s">
        <v>2174</v>
      </c>
      <c r="F213" s="375" t="s">
        <v>1246</v>
      </c>
      <c r="G213" s="375" t="s">
        <v>1246</v>
      </c>
      <c r="H213" s="375" t="s">
        <v>781</v>
      </c>
      <c r="I213" s="375" t="s">
        <v>751</v>
      </c>
      <c r="J213" s="375">
        <v>1880070.6288000001</v>
      </c>
      <c r="K213" s="375">
        <v>233122.09847</v>
      </c>
      <c r="L213" s="375">
        <v>171158.82957999999</v>
      </c>
      <c r="M213" s="375">
        <v>1543950.94257</v>
      </c>
      <c r="N213" s="372">
        <v>1.2569999999999999</v>
      </c>
      <c r="O213" s="704">
        <v>58.727505611957511</v>
      </c>
      <c r="P213" s="375" t="s">
        <v>619</v>
      </c>
      <c r="Q213" s="375" t="s">
        <v>619</v>
      </c>
      <c r="R213" s="696">
        <v>19730626</v>
      </c>
      <c r="S213" s="375" t="s">
        <v>2175</v>
      </c>
      <c r="T213" s="697">
        <v>0.23100000000000001</v>
      </c>
      <c r="U213" s="375" t="s">
        <v>2176</v>
      </c>
      <c r="V213" s="722">
        <v>7.74</v>
      </c>
      <c r="W213" s="722">
        <v>1.24</v>
      </c>
      <c r="X213" s="722">
        <v>0.73</v>
      </c>
      <c r="Y213" s="722">
        <v>11.08</v>
      </c>
      <c r="Z213" s="382">
        <v>8.2104280637142368E-2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19466</v>
      </c>
      <c r="AF213" s="372">
        <v>22040</v>
      </c>
      <c r="AG213" s="372">
        <v>24870</v>
      </c>
      <c r="AH213" s="372">
        <v>28610</v>
      </c>
    </row>
    <row r="214" spans="1:34">
      <c r="A214" s="372" t="s">
        <v>2177</v>
      </c>
      <c r="B214" s="373" t="s">
        <v>2178</v>
      </c>
      <c r="C214" s="372" t="s">
        <v>2179</v>
      </c>
      <c r="D214" s="374">
        <v>1101111397648</v>
      </c>
      <c r="E214" s="372" t="s">
        <v>2180</v>
      </c>
      <c r="F214" s="375" t="s">
        <v>2181</v>
      </c>
      <c r="G214" s="375" t="s">
        <v>2182</v>
      </c>
      <c r="H214" s="375" t="s">
        <v>858</v>
      </c>
      <c r="I214" s="375" t="s">
        <v>859</v>
      </c>
      <c r="J214" s="375">
        <v>157204.73001</v>
      </c>
      <c r="K214" s="375">
        <v>31753.486499999999</v>
      </c>
      <c r="L214" s="375">
        <v>32471.630150000001</v>
      </c>
      <c r="M214" s="375">
        <v>164910.18913000001</v>
      </c>
      <c r="N214" s="372">
        <v>0.79200000000000004</v>
      </c>
      <c r="O214" s="704">
        <v>2.5972577422124328</v>
      </c>
      <c r="P214" s="375" t="s">
        <v>619</v>
      </c>
      <c r="Q214" s="372" t="s">
        <v>619</v>
      </c>
      <c r="R214" s="696">
        <v>20151217</v>
      </c>
      <c r="S214" s="372" t="s">
        <v>2183</v>
      </c>
      <c r="T214" s="697">
        <v>0.23100000000000001</v>
      </c>
      <c r="U214" s="375" t="s">
        <v>2184</v>
      </c>
      <c r="V214" s="722">
        <v>35.69</v>
      </c>
      <c r="W214" s="722">
        <v>8.06</v>
      </c>
      <c r="X214" s="722">
        <v>8.56</v>
      </c>
      <c r="Y214" s="722">
        <v>44.2</v>
      </c>
      <c r="Z214" s="382">
        <v>0.15746644094344342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1723.5</v>
      </c>
      <c r="AF214" s="372">
        <v>2146.92</v>
      </c>
      <c r="AG214" s="372">
        <v>2599.09</v>
      </c>
      <c r="AH214" s="372">
        <v>2900</v>
      </c>
    </row>
    <row r="215" spans="1:34">
      <c r="A215" s="372" t="s">
        <v>2185</v>
      </c>
      <c r="B215" s="373" t="s">
        <v>2186</v>
      </c>
      <c r="C215" s="372" t="s">
        <v>2187</v>
      </c>
      <c r="D215" s="374">
        <v>1314110460809</v>
      </c>
      <c r="E215" s="372" t="s">
        <v>2188</v>
      </c>
      <c r="F215" s="375" t="s">
        <v>995</v>
      </c>
      <c r="G215" s="375" t="s">
        <v>995</v>
      </c>
      <c r="H215" s="375" t="s">
        <v>750</v>
      </c>
      <c r="I215" s="375" t="s">
        <v>751</v>
      </c>
      <c r="J215" s="375">
        <v>920010.17056</v>
      </c>
      <c r="K215" s="375">
        <v>23666.670529999999</v>
      </c>
      <c r="L215" s="375">
        <v>29003.63593</v>
      </c>
      <c r="M215" s="375">
        <v>872551.51838999998</v>
      </c>
      <c r="N215" s="372">
        <v>1.27</v>
      </c>
      <c r="O215" s="704">
        <v>1.7912071499915829</v>
      </c>
      <c r="P215" s="375" t="s">
        <v>619</v>
      </c>
      <c r="Q215" s="375" t="s">
        <v>619</v>
      </c>
      <c r="R215" s="696">
        <v>20200521</v>
      </c>
      <c r="S215" s="375" t="s">
        <v>2189</v>
      </c>
      <c r="T215" s="697">
        <v>0.23100000000000001</v>
      </c>
      <c r="U215" s="375" t="s">
        <v>2190</v>
      </c>
      <c r="V215" s="722">
        <v>6.67</v>
      </c>
      <c r="W215" s="722">
        <v>1.1100000000000001</v>
      </c>
      <c r="X215" s="722">
        <v>1.05</v>
      </c>
      <c r="Y215" s="722">
        <v>38.04</v>
      </c>
      <c r="Z215" s="382">
        <v>6.8712291903476164E-2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9147.9</v>
      </c>
      <c r="AF215" s="372">
        <v>10387.5</v>
      </c>
      <c r="AG215" s="372">
        <v>11866.38</v>
      </c>
      <c r="AH215" s="372">
        <v>17430</v>
      </c>
    </row>
    <row r="216" spans="1:34">
      <c r="A216" s="372" t="s">
        <v>2191</v>
      </c>
      <c r="B216" s="373" t="s">
        <v>2192</v>
      </c>
      <c r="C216" s="372" t="s">
        <v>2193</v>
      </c>
      <c r="D216" s="374">
        <v>1101115379692</v>
      </c>
      <c r="E216" s="372" t="s">
        <v>2194</v>
      </c>
      <c r="F216" s="375" t="s">
        <v>1246</v>
      </c>
      <c r="G216" s="375" t="s">
        <v>1246</v>
      </c>
      <c r="H216" s="375" t="s">
        <v>858</v>
      </c>
      <c r="I216" s="375" t="s">
        <v>859</v>
      </c>
      <c r="J216" s="375">
        <v>885430.75525000005</v>
      </c>
      <c r="K216" s="375">
        <v>86381.718909999996</v>
      </c>
      <c r="L216" s="375">
        <v>65783.571519999998</v>
      </c>
      <c r="M216" s="375">
        <v>1238534.80476</v>
      </c>
      <c r="N216" s="372">
        <v>0.44500000000000001</v>
      </c>
      <c r="O216" s="704">
        <v>31.340259852189106</v>
      </c>
      <c r="P216" s="375" t="s">
        <v>619</v>
      </c>
      <c r="Q216" s="375" t="s">
        <v>619</v>
      </c>
      <c r="R216" s="696">
        <v>20210809</v>
      </c>
      <c r="S216" s="375" t="s">
        <v>2195</v>
      </c>
      <c r="T216" s="697">
        <v>0.23100000000000001</v>
      </c>
      <c r="U216" s="375" t="s">
        <v>2196</v>
      </c>
      <c r="V216" s="722">
        <v>0</v>
      </c>
      <c r="W216" s="722">
        <v>0</v>
      </c>
      <c r="X216" s="722">
        <v>0</v>
      </c>
      <c r="Y216" s="722">
        <v>0</v>
      </c>
      <c r="Z216" s="382" t="s">
        <v>924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2197</v>
      </c>
      <c r="B217" s="373" t="s">
        <v>2198</v>
      </c>
      <c r="C217" s="372" t="s">
        <v>2199</v>
      </c>
      <c r="D217" s="374">
        <v>1101112644725</v>
      </c>
      <c r="E217" s="372" t="s">
        <v>2200</v>
      </c>
      <c r="F217" s="375" t="s">
        <v>1645</v>
      </c>
      <c r="G217" s="375" t="s">
        <v>1646</v>
      </c>
      <c r="H217" s="375" t="s">
        <v>843</v>
      </c>
      <c r="I217" s="375" t="s">
        <v>751</v>
      </c>
      <c r="J217" s="375">
        <v>4147586.0350000001</v>
      </c>
      <c r="K217" s="375">
        <v>272288.83500000002</v>
      </c>
      <c r="L217" s="375">
        <v>-231417.28599999999</v>
      </c>
      <c r="M217" s="375">
        <v>6204709.6320000002</v>
      </c>
      <c r="N217" s="372">
        <v>0.89900000000000002</v>
      </c>
      <c r="O217" s="704">
        <v>237.58479159318705</v>
      </c>
      <c r="P217" s="375" t="s">
        <v>619</v>
      </c>
      <c r="Q217" s="375" t="s">
        <v>619</v>
      </c>
      <c r="R217" s="696">
        <v>20021125</v>
      </c>
      <c r="S217" s="375" t="s">
        <v>1646</v>
      </c>
      <c r="T217" s="697" t="s">
        <v>768</v>
      </c>
      <c r="U217" s="375" t="s">
        <v>2201</v>
      </c>
      <c r="V217" s="722">
        <v>6.18</v>
      </c>
      <c r="W217" s="722">
        <v>0.25</v>
      </c>
      <c r="X217" s="722">
        <v>0.28000000000000003</v>
      </c>
      <c r="Y217" s="722" t="s">
        <v>770</v>
      </c>
      <c r="Z217" s="382">
        <v>2.5826211291312795E-2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41934.410000000003</v>
      </c>
      <c r="AF217" s="372">
        <v>44644.31</v>
      </c>
      <c r="AG217" s="372">
        <v>46592.33</v>
      </c>
      <c r="AH217" s="372">
        <v>0</v>
      </c>
    </row>
    <row r="218" spans="1:34">
      <c r="A218" s="372" t="s">
        <v>2202</v>
      </c>
      <c r="B218" s="373" t="s">
        <v>2203</v>
      </c>
      <c r="C218" s="372" t="s">
        <v>2204</v>
      </c>
      <c r="D218" s="374">
        <v>1101112508088</v>
      </c>
      <c r="E218" s="372" t="s">
        <v>2205</v>
      </c>
      <c r="F218" s="375" t="s">
        <v>1182</v>
      </c>
      <c r="G218" s="375" t="s">
        <v>1183</v>
      </c>
      <c r="H218" s="375" t="s">
        <v>858</v>
      </c>
      <c r="I218" s="375" t="s">
        <v>859</v>
      </c>
      <c r="J218" s="375">
        <v>210637.52885</v>
      </c>
      <c r="K218" s="375">
        <v>11836.47443</v>
      </c>
      <c r="L218" s="375">
        <v>14692.72797</v>
      </c>
      <c r="M218" s="375">
        <v>310180.11888000002</v>
      </c>
      <c r="N218" s="372">
        <v>1.288</v>
      </c>
      <c r="O218" s="704">
        <v>2.299951841657756</v>
      </c>
      <c r="P218" s="375" t="s">
        <v>619</v>
      </c>
      <c r="Q218" s="372" t="s">
        <v>619</v>
      </c>
      <c r="R218" s="696">
        <v>20080603</v>
      </c>
      <c r="S218" s="375" t="s">
        <v>2206</v>
      </c>
      <c r="T218" s="697">
        <v>0.20900000000000002</v>
      </c>
      <c r="U218" s="375" t="s">
        <v>2207</v>
      </c>
      <c r="V218" s="722">
        <v>29.84</v>
      </c>
      <c r="W218" s="722">
        <v>2.08</v>
      </c>
      <c r="X218" s="722">
        <v>3.45</v>
      </c>
      <c r="Y218" s="722">
        <v>61.31</v>
      </c>
      <c r="Z218" s="382">
        <v>5.4606431581846859E-2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2190.33</v>
      </c>
      <c r="AF218" s="372">
        <v>2487.67</v>
      </c>
      <c r="AG218" s="372">
        <v>2791</v>
      </c>
      <c r="AH218" s="372">
        <v>0</v>
      </c>
    </row>
    <row r="219" spans="1:34">
      <c r="A219" s="372" t="s">
        <v>2208</v>
      </c>
      <c r="B219" s="373" t="s">
        <v>2209</v>
      </c>
      <c r="C219" s="372" t="s">
        <v>2210</v>
      </c>
      <c r="D219" s="374">
        <v>1101110226533</v>
      </c>
      <c r="E219" s="372" t="s">
        <v>2211</v>
      </c>
      <c r="F219" s="375" t="s">
        <v>2212</v>
      </c>
      <c r="G219" s="375" t="s">
        <v>2212</v>
      </c>
      <c r="H219" s="375" t="s">
        <v>930</v>
      </c>
      <c r="I219" s="375" t="s">
        <v>751</v>
      </c>
      <c r="J219" s="375">
        <v>5274063.2246200005</v>
      </c>
      <c r="K219" s="375">
        <v>319717.19448000001</v>
      </c>
      <c r="L219" s="375">
        <v>317675.68809000001</v>
      </c>
      <c r="M219" s="375">
        <v>3377271.3021200001</v>
      </c>
      <c r="N219" s="372">
        <v>0.44500000000000001</v>
      </c>
      <c r="O219" s="704">
        <v>0</v>
      </c>
      <c r="P219" s="375" t="s">
        <v>619</v>
      </c>
      <c r="Q219" s="375" t="s">
        <v>619</v>
      </c>
      <c r="R219" s="696">
        <v>19691222</v>
      </c>
      <c r="S219" s="375" t="s">
        <v>2213</v>
      </c>
      <c r="T219" s="697">
        <v>0.26400000000000001</v>
      </c>
      <c r="U219" s="375" t="s">
        <v>2214</v>
      </c>
      <c r="V219" s="722">
        <v>0</v>
      </c>
      <c r="W219" s="722">
        <v>0.39</v>
      </c>
      <c r="X219" s="722">
        <v>0.2</v>
      </c>
      <c r="Y219" s="722">
        <v>5.15</v>
      </c>
      <c r="Z219" s="382" t="s">
        <v>924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2215</v>
      </c>
      <c r="B220" s="373" t="s">
        <v>2216</v>
      </c>
      <c r="C220" s="372" t="s">
        <v>2217</v>
      </c>
      <c r="D220" s="374">
        <v>1101116536481</v>
      </c>
      <c r="E220" s="372" t="s">
        <v>2218</v>
      </c>
      <c r="F220" s="375" t="s">
        <v>2219</v>
      </c>
      <c r="G220" s="375" t="s">
        <v>2219</v>
      </c>
      <c r="H220" s="375" t="s">
        <v>1313</v>
      </c>
      <c r="I220" s="375" t="s">
        <v>751</v>
      </c>
      <c r="J220" s="375">
        <v>4053363.9478199999</v>
      </c>
      <c r="K220" s="375">
        <v>205880.08145999999</v>
      </c>
      <c r="L220" s="375">
        <v>136281.99819000001</v>
      </c>
      <c r="M220" s="375">
        <v>2218344.27868</v>
      </c>
      <c r="N220" s="372">
        <v>0.66700000000000004</v>
      </c>
      <c r="O220" s="704">
        <v>119.88333329959656</v>
      </c>
      <c r="P220" s="375" t="s">
        <v>619</v>
      </c>
      <c r="Q220" s="375" t="s">
        <v>619</v>
      </c>
      <c r="R220" s="696">
        <v>20171030</v>
      </c>
      <c r="S220" s="375" t="s">
        <v>2220</v>
      </c>
      <c r="T220" s="697">
        <v>0.23100000000000001</v>
      </c>
      <c r="U220" s="375" t="s">
        <v>15832</v>
      </c>
      <c r="V220" s="722">
        <v>5.52</v>
      </c>
      <c r="W220" s="722">
        <v>0.62</v>
      </c>
      <c r="X220" s="722">
        <v>0.33</v>
      </c>
      <c r="Y220" s="722">
        <v>14.08</v>
      </c>
      <c r="Z220" s="382">
        <v>2.1646805505589617E-2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40776.78</v>
      </c>
      <c r="AF220" s="372">
        <v>42500.56</v>
      </c>
      <c r="AG220" s="372">
        <v>44300.88</v>
      </c>
      <c r="AH220" s="372">
        <v>0</v>
      </c>
    </row>
    <row r="221" spans="1:34">
      <c r="A221" s="372" t="s">
        <v>2221</v>
      </c>
      <c r="B221" s="373" t="s">
        <v>2222</v>
      </c>
      <c r="C221" s="372" t="s">
        <v>15980</v>
      </c>
      <c r="D221" s="374">
        <v>1101111263203</v>
      </c>
      <c r="E221" s="372" t="s">
        <v>15981</v>
      </c>
      <c r="F221" s="375" t="s">
        <v>1367</v>
      </c>
      <c r="G221" s="375" t="s">
        <v>1367</v>
      </c>
      <c r="H221" s="375" t="s">
        <v>858</v>
      </c>
      <c r="I221" s="375" t="s">
        <v>859</v>
      </c>
      <c r="J221" s="375">
        <v>411825.02892999997</v>
      </c>
      <c r="K221" s="375">
        <v>112101.84935</v>
      </c>
      <c r="L221" s="375">
        <v>119335.26581</v>
      </c>
      <c r="M221" s="375">
        <v>355424.65805999999</v>
      </c>
      <c r="N221" s="372">
        <v>0.877</v>
      </c>
      <c r="O221" s="704">
        <v>1.5006761777708333</v>
      </c>
      <c r="P221" s="375" t="s">
        <v>619</v>
      </c>
      <c r="Q221" s="375" t="s">
        <v>619</v>
      </c>
      <c r="R221" s="696">
        <v>20031217</v>
      </c>
      <c r="S221" s="375" t="s">
        <v>2223</v>
      </c>
      <c r="T221" s="697">
        <v>0.23100000000000001</v>
      </c>
      <c r="U221" s="375" t="s">
        <v>2224</v>
      </c>
      <c r="V221" s="722">
        <v>8.66</v>
      </c>
      <c r="W221" s="722">
        <v>2.85</v>
      </c>
      <c r="X221" s="722">
        <v>2.8</v>
      </c>
      <c r="Y221" s="722">
        <v>12.55</v>
      </c>
      <c r="Z221" s="382">
        <v>0.11218531475210636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4301.78</v>
      </c>
      <c r="AF221" s="372">
        <v>4786.1899999999996</v>
      </c>
      <c r="AG221" s="372">
        <v>5318.77</v>
      </c>
      <c r="AH221" s="372">
        <v>0</v>
      </c>
    </row>
    <row r="222" spans="1:34">
      <c r="A222" s="372" t="s">
        <v>2225</v>
      </c>
      <c r="B222" s="373" t="s">
        <v>2226</v>
      </c>
      <c r="C222" s="372" t="s">
        <v>2227</v>
      </c>
      <c r="D222" s="374">
        <v>1545110039704</v>
      </c>
      <c r="E222" s="372" t="s">
        <v>2228</v>
      </c>
      <c r="F222" s="372" t="s">
        <v>1246</v>
      </c>
      <c r="G222" s="375" t="s">
        <v>1246</v>
      </c>
      <c r="H222" s="375" t="s">
        <v>858</v>
      </c>
      <c r="I222" s="375" t="s">
        <v>859</v>
      </c>
      <c r="J222" s="375">
        <v>278642.83412000001</v>
      </c>
      <c r="K222" s="375">
        <v>26442.727009999999</v>
      </c>
      <c r="L222" s="375">
        <v>36691.145620000003</v>
      </c>
      <c r="M222" s="375">
        <v>488523.93648999999</v>
      </c>
      <c r="N222" s="372">
        <v>0.95</v>
      </c>
      <c r="O222" s="704">
        <v>6.0227647572609166</v>
      </c>
      <c r="P222" s="375" t="s">
        <v>619</v>
      </c>
      <c r="Q222" s="375" t="s">
        <v>619</v>
      </c>
      <c r="R222" s="696">
        <v>20160623</v>
      </c>
      <c r="S222" s="375" t="s">
        <v>2229</v>
      </c>
      <c r="T222" s="697">
        <v>0.23100000000000001</v>
      </c>
      <c r="U222" s="375" t="s">
        <v>2230</v>
      </c>
      <c r="V222" s="722">
        <v>39.57</v>
      </c>
      <c r="W222" s="722">
        <v>4.1500000000000004</v>
      </c>
      <c r="X222" s="722">
        <v>7.27</v>
      </c>
      <c r="Y222" s="722">
        <v>62.52</v>
      </c>
      <c r="Z222" s="382">
        <v>0.11426869000394135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2951.54</v>
      </c>
      <c r="AF222" s="372">
        <v>3602.38</v>
      </c>
      <c r="AG222" s="372">
        <v>4393.3100000000004</v>
      </c>
      <c r="AH222" s="372">
        <v>5877.67</v>
      </c>
    </row>
    <row r="223" spans="1:34">
      <c r="A223" s="372" t="s">
        <v>2231</v>
      </c>
      <c r="B223" s="373" t="s">
        <v>2232</v>
      </c>
      <c r="C223" s="372" t="s">
        <v>2233</v>
      </c>
      <c r="D223" s="374">
        <v>1601110094162</v>
      </c>
      <c r="E223" s="372" t="s">
        <v>2234</v>
      </c>
      <c r="F223" s="375" t="s">
        <v>1761</v>
      </c>
      <c r="G223" s="375" t="s">
        <v>2235</v>
      </c>
      <c r="H223" s="375" t="s">
        <v>858</v>
      </c>
      <c r="I223" s="375" t="s">
        <v>859</v>
      </c>
      <c r="J223" s="375">
        <v>86634.712</v>
      </c>
      <c r="K223" s="375">
        <v>7989.0823</v>
      </c>
      <c r="L223" s="375">
        <v>7771.8069800000003</v>
      </c>
      <c r="M223" s="375">
        <v>242980.67756000001</v>
      </c>
      <c r="N223" s="372">
        <v>0.94199999999999995</v>
      </c>
      <c r="O223" s="704">
        <v>14.624237295656336</v>
      </c>
      <c r="P223" s="375" t="s">
        <v>619</v>
      </c>
      <c r="Q223" s="372" t="s">
        <v>619</v>
      </c>
      <c r="R223" s="696">
        <v>20110209</v>
      </c>
      <c r="S223" s="375" t="s">
        <v>2236</v>
      </c>
      <c r="T223" s="697">
        <v>0.20900000000000002</v>
      </c>
      <c r="U223" s="375" t="s">
        <v>2237</v>
      </c>
      <c r="V223" s="722">
        <v>92.38</v>
      </c>
      <c r="W223" s="722">
        <v>4.7</v>
      </c>
      <c r="X223" s="722">
        <v>13.31</v>
      </c>
      <c r="Y223" s="722">
        <v>151.66999999999999</v>
      </c>
      <c r="Z223" s="382">
        <v>0.31645547489855574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1039</v>
      </c>
      <c r="AF223" s="372">
        <v>1574</v>
      </c>
      <c r="AG223" s="372">
        <v>2498</v>
      </c>
      <c r="AH223" s="372">
        <v>0</v>
      </c>
    </row>
    <row r="224" spans="1:34">
      <c r="A224" s="372" t="s">
        <v>2238</v>
      </c>
      <c r="B224" s="373" t="s">
        <v>2239</v>
      </c>
      <c r="C224" s="372" t="s">
        <v>2240</v>
      </c>
      <c r="D224" s="374">
        <v>1201110004218</v>
      </c>
      <c r="E224" s="372" t="s">
        <v>2241</v>
      </c>
      <c r="F224" s="375" t="s">
        <v>2242</v>
      </c>
      <c r="G224" s="375" t="s">
        <v>2243</v>
      </c>
      <c r="H224" s="375" t="s">
        <v>858</v>
      </c>
      <c r="I224" s="375" t="s">
        <v>859</v>
      </c>
      <c r="J224" s="375">
        <v>924572.97222</v>
      </c>
      <c r="K224" s="375">
        <v>11983.57646</v>
      </c>
      <c r="L224" s="375">
        <v>-39364.941769999998</v>
      </c>
      <c r="M224" s="375">
        <v>968220.38950000005</v>
      </c>
      <c r="N224" s="372">
        <v>0.85399999999999998</v>
      </c>
      <c r="O224" s="704">
        <v>184.43812994501533</v>
      </c>
      <c r="P224" s="375" t="s">
        <v>619</v>
      </c>
      <c r="Q224" s="375" t="s">
        <v>619</v>
      </c>
      <c r="R224" s="696">
        <v>19950731</v>
      </c>
      <c r="S224" s="375" t="s">
        <v>2244</v>
      </c>
      <c r="T224" s="697" t="s">
        <v>768</v>
      </c>
      <c r="U224" s="375" t="s">
        <v>2245</v>
      </c>
      <c r="V224" s="722">
        <v>18.77</v>
      </c>
      <c r="W224" s="722">
        <v>0.71</v>
      </c>
      <c r="X224" s="722">
        <v>0.68</v>
      </c>
      <c r="Y224" s="722" t="s">
        <v>770</v>
      </c>
      <c r="Z224" s="382">
        <v>3.2268836751541796E-2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9023</v>
      </c>
      <c r="AF224" s="372">
        <v>9640</v>
      </c>
      <c r="AG224" s="372">
        <v>10937</v>
      </c>
      <c r="AH224" s="372">
        <v>0</v>
      </c>
    </row>
    <row r="225" spans="1:34">
      <c r="A225" s="372" t="s">
        <v>2246</v>
      </c>
      <c r="B225" s="373" t="s">
        <v>2247</v>
      </c>
      <c r="C225" s="372" t="s">
        <v>2248</v>
      </c>
      <c r="D225" s="374">
        <v>1101112310946</v>
      </c>
      <c r="E225" s="372" t="s">
        <v>2249</v>
      </c>
      <c r="F225" s="375" t="s">
        <v>16098</v>
      </c>
      <c r="G225" s="375" t="s">
        <v>16098</v>
      </c>
      <c r="H225" s="375" t="s">
        <v>858</v>
      </c>
      <c r="I225" s="375" t="s">
        <v>859</v>
      </c>
      <c r="J225" s="375">
        <v>78667.819570000007</v>
      </c>
      <c r="K225" s="375">
        <v>38459.269659999998</v>
      </c>
      <c r="L225" s="375">
        <v>41324.118349999997</v>
      </c>
      <c r="M225" s="375">
        <v>220715.79641000001</v>
      </c>
      <c r="N225" s="372">
        <v>0.73399999999999999</v>
      </c>
      <c r="O225" s="704">
        <v>0</v>
      </c>
      <c r="P225" s="375" t="s">
        <v>619</v>
      </c>
      <c r="Q225" s="375" t="s">
        <v>619</v>
      </c>
      <c r="R225" s="696">
        <v>20151117</v>
      </c>
      <c r="S225" s="375" t="s">
        <v>2250</v>
      </c>
      <c r="T225" s="697">
        <v>0.23100000000000001</v>
      </c>
      <c r="U225" s="375" t="s">
        <v>2251</v>
      </c>
      <c r="V225" s="722">
        <v>23.75</v>
      </c>
      <c r="W225" s="722">
        <v>3.58</v>
      </c>
      <c r="X225" s="722">
        <v>13.21</v>
      </c>
      <c r="Y225" s="722">
        <v>29.04</v>
      </c>
      <c r="Z225" s="382" t="s">
        <v>924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2252</v>
      </c>
      <c r="B226" s="373" t="s">
        <v>2253</v>
      </c>
      <c r="C226" s="372" t="s">
        <v>2254</v>
      </c>
      <c r="D226" s="374">
        <v>1101116740008</v>
      </c>
      <c r="E226" s="372" t="s">
        <v>2255</v>
      </c>
      <c r="F226" s="375" t="s">
        <v>2256</v>
      </c>
      <c r="G226" s="375" t="s">
        <v>2256</v>
      </c>
      <c r="H226" s="375" t="s">
        <v>1383</v>
      </c>
      <c r="I226" s="375" t="s">
        <v>751</v>
      </c>
      <c r="J226" s="375">
        <v>4280284.9661299996</v>
      </c>
      <c r="K226" s="375">
        <v>220348.98853999999</v>
      </c>
      <c r="L226" s="375">
        <v>228962.79814</v>
      </c>
      <c r="M226" s="375">
        <v>3075578.7260500002</v>
      </c>
      <c r="N226" s="372">
        <v>0.66</v>
      </c>
      <c r="O226" s="704">
        <v>191.82375020525893</v>
      </c>
      <c r="P226" s="375" t="s">
        <v>619</v>
      </c>
      <c r="Q226" s="372" t="s">
        <v>619</v>
      </c>
      <c r="R226" s="696">
        <v>20180612</v>
      </c>
      <c r="S226" s="372" t="s">
        <v>2257</v>
      </c>
      <c r="T226" s="697">
        <v>0.23100000000000001</v>
      </c>
      <c r="U226" s="372" t="s">
        <v>2258</v>
      </c>
      <c r="V226" s="722">
        <v>10.37</v>
      </c>
      <c r="W226" s="722">
        <v>0.47</v>
      </c>
      <c r="X226" s="722">
        <v>0.34</v>
      </c>
      <c r="Y226" s="722">
        <v>8.8699999999999992</v>
      </c>
      <c r="Z226" s="382">
        <v>4.7622385590723848E-2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43358.6</v>
      </c>
      <c r="AF226" s="372">
        <v>48029.87</v>
      </c>
      <c r="AG226" s="372">
        <v>50479.47</v>
      </c>
      <c r="AH226" s="372">
        <v>50430</v>
      </c>
    </row>
    <row r="227" spans="1:34">
      <c r="A227" s="372" t="s">
        <v>2259</v>
      </c>
      <c r="B227" s="373" t="s">
        <v>2260</v>
      </c>
      <c r="C227" s="372" t="s">
        <v>16069</v>
      </c>
      <c r="D227" s="374">
        <v>1101110129274</v>
      </c>
      <c r="E227" s="372" t="s">
        <v>2261</v>
      </c>
      <c r="F227" s="375" t="s">
        <v>1441</v>
      </c>
      <c r="G227" s="375" t="s">
        <v>1442</v>
      </c>
      <c r="H227" s="375" t="s">
        <v>814</v>
      </c>
      <c r="I227" s="375" t="s">
        <v>751</v>
      </c>
      <c r="J227" s="375">
        <v>1048092.70043</v>
      </c>
      <c r="K227" s="375">
        <v>131346.1525</v>
      </c>
      <c r="L227" s="375">
        <v>69508.607080000002</v>
      </c>
      <c r="M227" s="375">
        <v>1852182.7747599999</v>
      </c>
      <c r="N227" s="372">
        <v>0.56200000000000006</v>
      </c>
      <c r="O227" s="704">
        <v>143.08260720548958</v>
      </c>
      <c r="P227" s="375" t="s">
        <v>619</v>
      </c>
      <c r="Q227" s="375" t="s">
        <v>619</v>
      </c>
      <c r="R227" s="696">
        <v>20021101</v>
      </c>
      <c r="S227" s="375" t="s">
        <v>16070</v>
      </c>
      <c r="T227" s="697">
        <v>0.23100000000000001</v>
      </c>
      <c r="U227" s="375" t="s">
        <v>2263</v>
      </c>
      <c r="V227" s="722">
        <v>9.3000000000000007</v>
      </c>
      <c r="W227" s="722">
        <v>0.75</v>
      </c>
      <c r="X227" s="722">
        <v>1.06</v>
      </c>
      <c r="Y227" s="722">
        <v>26.88</v>
      </c>
      <c r="Z227" s="382">
        <v>5.7984840545692862E-2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10809.45</v>
      </c>
      <c r="AF227" s="372">
        <v>11674.09</v>
      </c>
      <c r="AG227" s="372">
        <v>12456.36</v>
      </c>
      <c r="AH227" s="372">
        <v>16290</v>
      </c>
    </row>
    <row r="228" spans="1:34">
      <c r="A228" s="372" t="s">
        <v>2264</v>
      </c>
      <c r="B228" s="373" t="s">
        <v>2265</v>
      </c>
      <c r="C228" s="372" t="s">
        <v>2266</v>
      </c>
      <c r="D228" s="374">
        <v>1101110084915</v>
      </c>
      <c r="E228" s="372" t="s">
        <v>2266</v>
      </c>
      <c r="F228" s="375" t="s">
        <v>1300</v>
      </c>
      <c r="G228" s="375" t="s">
        <v>1300</v>
      </c>
      <c r="H228" s="375" t="s">
        <v>823</v>
      </c>
      <c r="I228" s="375" t="s">
        <v>751</v>
      </c>
      <c r="J228" s="375">
        <v>5565712.3655000003</v>
      </c>
      <c r="K228" s="375">
        <v>513295.86543000001</v>
      </c>
      <c r="L228" s="375">
        <v>142117.2108</v>
      </c>
      <c r="M228" s="375">
        <v>4531184.06929</v>
      </c>
      <c r="N228" s="372">
        <v>1.177</v>
      </c>
      <c r="O228" s="704">
        <v>669.24473626221072</v>
      </c>
      <c r="P228" s="375" t="s">
        <v>619</v>
      </c>
      <c r="Q228" s="375" t="s">
        <v>619</v>
      </c>
      <c r="R228" s="696">
        <v>19760202</v>
      </c>
      <c r="S228" s="375" t="s">
        <v>851</v>
      </c>
      <c r="T228" s="697">
        <v>0.23100000000000001</v>
      </c>
      <c r="U228" s="372" t="s">
        <v>2267</v>
      </c>
      <c r="V228" s="722">
        <v>6.86</v>
      </c>
      <c r="W228" s="722">
        <v>0.26</v>
      </c>
      <c r="X228" s="722">
        <v>0.18</v>
      </c>
      <c r="Y228" s="722">
        <v>15.7</v>
      </c>
      <c r="Z228" s="382">
        <v>3.2773292259664188E-2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57407.33</v>
      </c>
      <c r="AF228" s="372">
        <v>56789</v>
      </c>
      <c r="AG228" s="372">
        <v>57086.67</v>
      </c>
      <c r="AH228" s="372">
        <v>0</v>
      </c>
    </row>
    <row r="229" spans="1:34">
      <c r="A229" s="372" t="s">
        <v>2268</v>
      </c>
      <c r="B229" s="373" t="s">
        <v>2269</v>
      </c>
      <c r="C229" s="372" t="s">
        <v>2270</v>
      </c>
      <c r="D229" s="374">
        <v>1647110030756</v>
      </c>
      <c r="E229" s="372" t="s">
        <v>2271</v>
      </c>
      <c r="F229" s="375" t="s">
        <v>1093</v>
      </c>
      <c r="G229" s="375" t="s">
        <v>1094</v>
      </c>
      <c r="H229" s="375" t="s">
        <v>823</v>
      </c>
      <c r="I229" s="375" t="s">
        <v>751</v>
      </c>
      <c r="J229" s="375">
        <v>2413458.5088399998</v>
      </c>
      <c r="K229" s="375">
        <v>196088.31035000001</v>
      </c>
      <c r="L229" s="375">
        <v>70266.500419999997</v>
      </c>
      <c r="M229" s="375">
        <v>1476953.15441</v>
      </c>
      <c r="N229" s="372">
        <v>0.29699999999999999</v>
      </c>
      <c r="O229" s="704">
        <v>67.62566913143209</v>
      </c>
      <c r="P229" s="375" t="s">
        <v>619</v>
      </c>
      <c r="Q229" s="375" t="s">
        <v>619</v>
      </c>
      <c r="R229" s="696">
        <v>20121019</v>
      </c>
      <c r="S229" s="375" t="s">
        <v>2272</v>
      </c>
      <c r="T229" s="697">
        <v>0.23100000000000001</v>
      </c>
      <c r="U229" s="375" t="s">
        <v>2273</v>
      </c>
      <c r="V229" s="722">
        <v>11.73</v>
      </c>
      <c r="W229" s="722">
        <v>2.2799999999999998</v>
      </c>
      <c r="X229" s="722">
        <v>0.72</v>
      </c>
      <c r="Y229" s="722">
        <v>179.64</v>
      </c>
      <c r="Z229" s="382">
        <v>8.6933211815767297E-2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24764.67</v>
      </c>
      <c r="AF229" s="372">
        <v>27501.94</v>
      </c>
      <c r="AG229" s="372">
        <v>30088.11</v>
      </c>
      <c r="AH229" s="372">
        <v>33701.5</v>
      </c>
    </row>
    <row r="230" spans="1:34">
      <c r="A230" s="372" t="s">
        <v>2274</v>
      </c>
      <c r="B230" s="373" t="s">
        <v>2275</v>
      </c>
      <c r="C230" s="372" t="s">
        <v>2276</v>
      </c>
      <c r="D230" s="374">
        <v>1311110501021</v>
      </c>
      <c r="E230" s="372" t="s">
        <v>2277</v>
      </c>
      <c r="F230" s="375" t="s">
        <v>2278</v>
      </c>
      <c r="G230" s="375" t="s">
        <v>2278</v>
      </c>
      <c r="H230" s="375" t="s">
        <v>823</v>
      </c>
      <c r="I230" s="375" t="s">
        <v>751</v>
      </c>
      <c r="J230" s="375">
        <v>1652755.15129</v>
      </c>
      <c r="K230" s="375">
        <v>-11100.958570000001</v>
      </c>
      <c r="L230" s="375">
        <v>-29482.444299999999</v>
      </c>
      <c r="M230" s="375">
        <v>2715049.6714400002</v>
      </c>
      <c r="N230" s="372">
        <v>0.97099999999999997</v>
      </c>
      <c r="O230" s="704">
        <v>185.10153880589161</v>
      </c>
      <c r="P230" s="375" t="s">
        <v>619</v>
      </c>
      <c r="Q230" s="375" t="s">
        <v>619</v>
      </c>
      <c r="R230" s="696">
        <v>20180105</v>
      </c>
      <c r="S230" s="375" t="s">
        <v>2279</v>
      </c>
      <c r="T230" s="697" t="s">
        <v>768</v>
      </c>
      <c r="U230" s="375" t="s">
        <v>2280</v>
      </c>
      <c r="V230" s="722">
        <v>13.54</v>
      </c>
      <c r="W230" s="722">
        <v>0.46</v>
      </c>
      <c r="X230" s="722">
        <v>0.6</v>
      </c>
      <c r="Y230" s="722" t="s">
        <v>770</v>
      </c>
      <c r="Z230" s="382">
        <v>-6.1722878790189117E-3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16370</v>
      </c>
      <c r="AF230" s="372">
        <v>16999.5</v>
      </c>
      <c r="AG230" s="372">
        <v>17060</v>
      </c>
      <c r="AH230" s="372">
        <v>0</v>
      </c>
    </row>
    <row r="231" spans="1:34">
      <c r="A231" s="372" t="s">
        <v>2281</v>
      </c>
      <c r="B231" s="373" t="s">
        <v>2282</v>
      </c>
      <c r="C231" s="372" t="s">
        <v>2283</v>
      </c>
      <c r="D231" s="374">
        <v>1501110205802</v>
      </c>
      <c r="E231" s="372" t="s">
        <v>2284</v>
      </c>
      <c r="F231" s="375" t="s">
        <v>995</v>
      </c>
      <c r="G231" s="375" t="s">
        <v>996</v>
      </c>
      <c r="H231" s="375" t="s">
        <v>858</v>
      </c>
      <c r="I231" s="375" t="s">
        <v>859</v>
      </c>
      <c r="J231" s="375">
        <v>1227344.43573</v>
      </c>
      <c r="K231" s="375">
        <v>-39610.647409999998</v>
      </c>
      <c r="L231" s="375">
        <v>-99782.020860000004</v>
      </c>
      <c r="M231" s="375">
        <v>462364.18296000001</v>
      </c>
      <c r="N231" s="372">
        <v>1.2589999999999999</v>
      </c>
      <c r="O231" s="704">
        <v>99.511869538347554</v>
      </c>
      <c r="P231" s="375" t="s">
        <v>619</v>
      </c>
      <c r="Q231" s="375" t="s">
        <v>619</v>
      </c>
      <c r="R231" s="696">
        <v>20150807</v>
      </c>
      <c r="S231" s="375" t="s">
        <v>2285</v>
      </c>
      <c r="T231" s="697" t="s">
        <v>768</v>
      </c>
      <c r="U231" s="375" t="s">
        <v>2286</v>
      </c>
      <c r="V231" s="722">
        <v>23.11</v>
      </c>
      <c r="W231" s="722">
        <v>1.33</v>
      </c>
      <c r="X231" s="722">
        <v>0.5</v>
      </c>
      <c r="Y231" s="722" t="s">
        <v>770</v>
      </c>
      <c r="Z231" s="382">
        <v>9.0613169406889238E-2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12362.88</v>
      </c>
      <c r="AF231" s="372">
        <v>13398.75</v>
      </c>
      <c r="AG231" s="372">
        <v>14740.33</v>
      </c>
      <c r="AH231" s="372">
        <v>15480</v>
      </c>
    </row>
    <row r="232" spans="1:34">
      <c r="A232" s="372" t="s">
        <v>2287</v>
      </c>
      <c r="B232" s="373" t="s">
        <v>2288</v>
      </c>
      <c r="C232" s="372" t="s">
        <v>2289</v>
      </c>
      <c r="D232" s="374">
        <v>1353110013606</v>
      </c>
      <c r="E232" s="372" t="s">
        <v>2290</v>
      </c>
      <c r="F232" s="375" t="s">
        <v>1944</v>
      </c>
      <c r="G232" s="375" t="s">
        <v>1944</v>
      </c>
      <c r="H232" s="375" t="s">
        <v>823</v>
      </c>
      <c r="I232" s="375" t="s">
        <v>751</v>
      </c>
      <c r="J232" s="375">
        <v>5096807.2697900003</v>
      </c>
      <c r="K232" s="375">
        <v>136560.04589000001</v>
      </c>
      <c r="L232" s="375">
        <v>59818.458890000002</v>
      </c>
      <c r="M232" s="375">
        <v>3268600.5337200002</v>
      </c>
      <c r="N232" s="372">
        <v>0.85499999999999998</v>
      </c>
      <c r="O232" s="704">
        <v>234.89371243878955</v>
      </c>
      <c r="P232" s="375" t="s">
        <v>619</v>
      </c>
      <c r="Q232" s="372" t="s">
        <v>619</v>
      </c>
      <c r="R232" s="696">
        <v>20100201</v>
      </c>
      <c r="S232" s="375" t="s">
        <v>2291</v>
      </c>
      <c r="T232" s="697">
        <v>0.23100000000000001</v>
      </c>
      <c r="U232" s="372" t="s">
        <v>2292</v>
      </c>
      <c r="V232" s="722">
        <v>7.45</v>
      </c>
      <c r="W232" s="722">
        <v>0.35</v>
      </c>
      <c r="X232" s="722">
        <v>0.21</v>
      </c>
      <c r="Y232" s="722">
        <v>26.76</v>
      </c>
      <c r="Z232" s="382">
        <v>9.8799181527104984E-3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49240.86</v>
      </c>
      <c r="AF232" s="372">
        <v>50951.71</v>
      </c>
      <c r="AG232" s="372">
        <v>52641.57</v>
      </c>
      <c r="AH232" s="372">
        <v>0</v>
      </c>
    </row>
    <row r="233" spans="1:34">
      <c r="A233" s="372" t="s">
        <v>2293</v>
      </c>
      <c r="B233" s="373" t="s">
        <v>2294</v>
      </c>
      <c r="C233" s="372" t="s">
        <v>2295</v>
      </c>
      <c r="D233" s="374">
        <v>1101110152738</v>
      </c>
      <c r="E233" s="372" t="s">
        <v>2296</v>
      </c>
      <c r="F233" s="375" t="s">
        <v>1761</v>
      </c>
      <c r="G233" s="375" t="s">
        <v>2235</v>
      </c>
      <c r="H233" s="375" t="s">
        <v>823</v>
      </c>
      <c r="I233" s="375" t="s">
        <v>751</v>
      </c>
      <c r="J233" s="375">
        <v>689235.32039999997</v>
      </c>
      <c r="K233" s="375">
        <v>-4303.5584500000004</v>
      </c>
      <c r="L233" s="375">
        <v>-11419.1522</v>
      </c>
      <c r="M233" s="375">
        <v>639352.44796999998</v>
      </c>
      <c r="N233" s="372">
        <v>1.264</v>
      </c>
      <c r="O233" s="704">
        <v>37.998042787018925</v>
      </c>
      <c r="P233" s="375" t="s">
        <v>619</v>
      </c>
      <c r="Q233" s="375" t="s">
        <v>619</v>
      </c>
      <c r="R233" s="696">
        <v>19870723</v>
      </c>
      <c r="S233" s="375" t="s">
        <v>2297</v>
      </c>
      <c r="T233" s="697" t="s">
        <v>768</v>
      </c>
      <c r="U233" s="375" t="s">
        <v>2298</v>
      </c>
      <c r="V233" s="722">
        <v>63.53</v>
      </c>
      <c r="W233" s="722">
        <v>3.25</v>
      </c>
      <c r="X233" s="722">
        <v>1.3</v>
      </c>
      <c r="Y233" s="722" t="s">
        <v>770</v>
      </c>
      <c r="Z233" s="382" t="s">
        <v>924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2299</v>
      </c>
      <c r="B234" s="373" t="s">
        <v>2300</v>
      </c>
      <c r="C234" s="372" t="s">
        <v>2301</v>
      </c>
      <c r="D234" s="374">
        <v>1101112183749</v>
      </c>
      <c r="E234" s="372" t="s">
        <v>2302</v>
      </c>
      <c r="F234" s="375" t="s">
        <v>1052</v>
      </c>
      <c r="G234" s="375" t="s">
        <v>16101</v>
      </c>
      <c r="H234" s="375" t="s">
        <v>858</v>
      </c>
      <c r="I234" s="375" t="s">
        <v>859</v>
      </c>
      <c r="J234" s="375">
        <v>316996.82279000001</v>
      </c>
      <c r="K234" s="375">
        <v>112728.46991</v>
      </c>
      <c r="L234" s="375">
        <v>112550.5502</v>
      </c>
      <c r="M234" s="375">
        <v>542211.12754000002</v>
      </c>
      <c r="N234" s="372">
        <v>0.188</v>
      </c>
      <c r="O234" s="704">
        <v>1.3983666194528046</v>
      </c>
      <c r="P234" s="375" t="s">
        <v>619</v>
      </c>
      <c r="Q234" s="375" t="s">
        <v>619</v>
      </c>
      <c r="R234" s="696">
        <v>20150724</v>
      </c>
      <c r="S234" s="375" t="s">
        <v>2303</v>
      </c>
      <c r="T234" s="697">
        <v>0.23100000000000001</v>
      </c>
      <c r="U234" s="375" t="s">
        <v>15833</v>
      </c>
      <c r="V234" s="722">
        <v>16.32</v>
      </c>
      <c r="W234" s="722">
        <v>3.92</v>
      </c>
      <c r="X234" s="722">
        <v>6.34</v>
      </c>
      <c r="Y234" s="722">
        <v>22.65</v>
      </c>
      <c r="Z234" s="382">
        <v>0.18716478928062852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3408.58</v>
      </c>
      <c r="AF234" s="372">
        <v>4237.33</v>
      </c>
      <c r="AG234" s="372">
        <v>5184.45</v>
      </c>
      <c r="AH234" s="372">
        <v>5370</v>
      </c>
    </row>
    <row r="235" spans="1:34">
      <c r="A235" s="372" t="s">
        <v>2304</v>
      </c>
      <c r="B235" s="373" t="s">
        <v>2305</v>
      </c>
      <c r="C235" s="372" t="s">
        <v>2306</v>
      </c>
      <c r="D235" s="374">
        <v>1341110003595</v>
      </c>
      <c r="E235" s="372" t="s">
        <v>2307</v>
      </c>
      <c r="F235" s="372" t="s">
        <v>2308</v>
      </c>
      <c r="G235" s="375" t="s">
        <v>2309</v>
      </c>
      <c r="H235" s="375" t="s">
        <v>843</v>
      </c>
      <c r="I235" s="375" t="s">
        <v>751</v>
      </c>
      <c r="J235" s="375">
        <v>1920002.9385599999</v>
      </c>
      <c r="K235" s="375">
        <v>38909.774839999998</v>
      </c>
      <c r="L235" s="375">
        <v>170178.89911999999</v>
      </c>
      <c r="M235" s="375">
        <v>461413.70520999999</v>
      </c>
      <c r="N235" s="372">
        <v>0.90600000000000003</v>
      </c>
      <c r="O235" s="704">
        <v>40.151432052165475</v>
      </c>
      <c r="P235" s="375" t="s">
        <v>619</v>
      </c>
      <c r="Q235" s="375" t="s">
        <v>619</v>
      </c>
      <c r="R235" s="696">
        <v>20020716</v>
      </c>
      <c r="S235" s="375" t="s">
        <v>2310</v>
      </c>
      <c r="T235" s="697">
        <v>0.23100000000000001</v>
      </c>
      <c r="U235" s="372" t="s">
        <v>2311</v>
      </c>
      <c r="V235" s="722">
        <v>11.64</v>
      </c>
      <c r="W235" s="722">
        <v>1.81</v>
      </c>
      <c r="X235" s="722">
        <v>0.69</v>
      </c>
      <c r="Y235" s="722">
        <v>10.95</v>
      </c>
      <c r="Z235" s="382">
        <v>9.8225615441644987E-3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19212.62</v>
      </c>
      <c r="AF235" s="372">
        <v>19638.38</v>
      </c>
      <c r="AG235" s="372">
        <v>20453.75</v>
      </c>
      <c r="AH235" s="372">
        <v>0</v>
      </c>
    </row>
    <row r="236" spans="1:34">
      <c r="A236" s="372" t="s">
        <v>2312</v>
      </c>
      <c r="B236" s="373" t="s">
        <v>2313</v>
      </c>
      <c r="C236" s="372" t="s">
        <v>2314</v>
      </c>
      <c r="D236" s="374">
        <v>1615110027263</v>
      </c>
      <c r="E236" s="372" t="s">
        <v>2315</v>
      </c>
      <c r="F236" s="372" t="s">
        <v>1653</v>
      </c>
      <c r="G236" s="375" t="s">
        <v>1653</v>
      </c>
      <c r="H236" s="375" t="s">
        <v>858</v>
      </c>
      <c r="I236" s="375" t="s">
        <v>859</v>
      </c>
      <c r="J236" s="375">
        <v>431320.18293000001</v>
      </c>
      <c r="K236" s="375">
        <v>-3018.44074</v>
      </c>
      <c r="L236" s="375">
        <v>-2892.9348</v>
      </c>
      <c r="M236" s="375">
        <v>498778.83756000001</v>
      </c>
      <c r="N236" s="372">
        <v>1.141</v>
      </c>
      <c r="O236" s="704">
        <v>15.676400309930196</v>
      </c>
      <c r="P236" s="375" t="s">
        <v>619</v>
      </c>
      <c r="Q236" s="375" t="s">
        <v>619</v>
      </c>
      <c r="R236" s="696">
        <v>20010427</v>
      </c>
      <c r="S236" s="375" t="s">
        <v>2316</v>
      </c>
      <c r="T236" s="697" t="s">
        <v>768</v>
      </c>
      <c r="U236" s="375" t="s">
        <v>2317</v>
      </c>
      <c r="V236" s="722">
        <v>14.73</v>
      </c>
      <c r="W236" s="722">
        <v>1.27</v>
      </c>
      <c r="X236" s="722">
        <v>1.42</v>
      </c>
      <c r="Y236" s="722">
        <v>24.02</v>
      </c>
      <c r="Z236" s="382">
        <v>5.5198248768833169E-2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4326.5</v>
      </c>
      <c r="AF236" s="372">
        <v>4847.5</v>
      </c>
      <c r="AG236" s="372">
        <v>5425</v>
      </c>
      <c r="AH236" s="372">
        <v>0</v>
      </c>
    </row>
    <row r="237" spans="1:34">
      <c r="A237" s="372" t="s">
        <v>2318</v>
      </c>
      <c r="B237" s="373" t="s">
        <v>2319</v>
      </c>
      <c r="C237" s="372" t="s">
        <v>2320</v>
      </c>
      <c r="D237" s="374">
        <v>1101115974020</v>
      </c>
      <c r="E237" s="372" t="s">
        <v>2321</v>
      </c>
      <c r="F237" s="375" t="s">
        <v>16098</v>
      </c>
      <c r="G237" s="375" t="s">
        <v>16098</v>
      </c>
      <c r="H237" s="375" t="s">
        <v>858</v>
      </c>
      <c r="I237" s="375" t="s">
        <v>859</v>
      </c>
      <c r="J237" s="375">
        <v>32321.03501</v>
      </c>
      <c r="K237" s="375">
        <v>-50442.286079999998</v>
      </c>
      <c r="L237" s="375">
        <v>-49041.169220000003</v>
      </c>
      <c r="M237" s="375">
        <v>180786.91651000001</v>
      </c>
      <c r="N237" s="372">
        <v>1.216</v>
      </c>
      <c r="O237" s="704">
        <v>2.4381305315283779</v>
      </c>
      <c r="P237" s="375" t="s">
        <v>619</v>
      </c>
      <c r="Q237" s="375" t="s">
        <v>619</v>
      </c>
      <c r="R237" s="696">
        <v>20181219</v>
      </c>
      <c r="S237" s="375" t="s">
        <v>2322</v>
      </c>
      <c r="T237" s="697" t="s">
        <v>768</v>
      </c>
      <c r="U237" s="375" t="s">
        <v>2323</v>
      </c>
      <c r="V237" s="722" t="s">
        <v>770</v>
      </c>
      <c r="W237" s="722">
        <v>9.23</v>
      </c>
      <c r="X237" s="722">
        <v>47.21</v>
      </c>
      <c r="Y237" s="722" t="s">
        <v>770</v>
      </c>
      <c r="Z237" s="382">
        <v>-5.6124470522069148E-2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396.25</v>
      </c>
      <c r="AF237" s="372">
        <v>852.75</v>
      </c>
      <c r="AG237" s="372">
        <v>520.25</v>
      </c>
      <c r="AH237" s="372">
        <v>2490</v>
      </c>
    </row>
    <row r="238" spans="1:34">
      <c r="A238" s="372" t="s">
        <v>2324</v>
      </c>
      <c r="B238" s="373" t="s">
        <v>2325</v>
      </c>
      <c r="C238" s="372" t="s">
        <v>2326</v>
      </c>
      <c r="D238" s="374">
        <v>1101110004632</v>
      </c>
      <c r="E238" s="372" t="s">
        <v>2327</v>
      </c>
      <c r="F238" s="375" t="s">
        <v>1066</v>
      </c>
      <c r="G238" s="375" t="s">
        <v>2328</v>
      </c>
      <c r="H238" s="375" t="s">
        <v>843</v>
      </c>
      <c r="I238" s="375" t="s">
        <v>751</v>
      </c>
      <c r="J238" s="375">
        <v>16124602.49302</v>
      </c>
      <c r="K238" s="375">
        <v>473500.84510999999</v>
      </c>
      <c r="L238" s="375">
        <v>415859.64311</v>
      </c>
      <c r="M238" s="375">
        <v>3423830.49915</v>
      </c>
      <c r="N238" s="372">
        <v>0.89400000000000002</v>
      </c>
      <c r="O238" s="704">
        <v>238.43203455471468</v>
      </c>
      <c r="P238" s="375" t="s">
        <v>619</v>
      </c>
      <c r="Q238" s="375" t="s">
        <v>619</v>
      </c>
      <c r="R238" s="696">
        <v>19760130</v>
      </c>
      <c r="S238" s="375" t="s">
        <v>2329</v>
      </c>
      <c r="T238" s="697">
        <v>0.26400000000000001</v>
      </c>
      <c r="U238" s="372" t="s">
        <v>2330</v>
      </c>
      <c r="V238" s="722">
        <v>4.3</v>
      </c>
      <c r="W238" s="722">
        <v>0.45</v>
      </c>
      <c r="X238" s="722">
        <v>7.0000000000000007E-2</v>
      </c>
      <c r="Y238" s="722">
        <v>6.9</v>
      </c>
      <c r="Z238" s="382">
        <v>3.520267205618266E-2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163111.13</v>
      </c>
      <c r="AF238" s="372">
        <v>165802.75</v>
      </c>
      <c r="AG238" s="372">
        <v>166686</v>
      </c>
      <c r="AH238" s="372">
        <v>171390</v>
      </c>
    </row>
    <row r="239" spans="1:34">
      <c r="A239" s="372" t="s">
        <v>2331</v>
      </c>
      <c r="B239" s="373" t="s">
        <v>2332</v>
      </c>
      <c r="C239" s="372" t="s">
        <v>2333</v>
      </c>
      <c r="D239" s="374">
        <v>1301110007616</v>
      </c>
      <c r="E239" s="372" t="s">
        <v>2334</v>
      </c>
      <c r="F239" s="375" t="s">
        <v>1273</v>
      </c>
      <c r="G239" s="375" t="s">
        <v>1449</v>
      </c>
      <c r="H239" s="375" t="s">
        <v>858</v>
      </c>
      <c r="I239" s="375" t="s">
        <v>859</v>
      </c>
      <c r="J239" s="375">
        <v>208247.29887</v>
      </c>
      <c r="K239" s="375">
        <v>24169.65076</v>
      </c>
      <c r="L239" s="375">
        <v>20853.51843</v>
      </c>
      <c r="M239" s="375">
        <v>172448.95782000001</v>
      </c>
      <c r="N239" s="372">
        <v>1.179</v>
      </c>
      <c r="O239" s="704">
        <v>18.403159691484497</v>
      </c>
      <c r="P239" s="375" t="s">
        <v>619</v>
      </c>
      <c r="Q239" s="375" t="s">
        <v>619</v>
      </c>
      <c r="R239" s="696">
        <v>20041208</v>
      </c>
      <c r="S239" s="375" t="s">
        <v>2335</v>
      </c>
      <c r="T239" s="697">
        <v>0.23100000000000001</v>
      </c>
      <c r="U239" s="375" t="s">
        <v>2336</v>
      </c>
      <c r="V239" s="722">
        <v>55.41</v>
      </c>
      <c r="W239" s="722">
        <v>9.61</v>
      </c>
      <c r="X239" s="722">
        <v>8.33</v>
      </c>
      <c r="Y239" s="722">
        <v>97.43</v>
      </c>
      <c r="Z239" s="382">
        <v>0.21657153547536012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2181</v>
      </c>
      <c r="AF239" s="372">
        <v>2948.25</v>
      </c>
      <c r="AG239" s="372">
        <v>4052.25</v>
      </c>
      <c r="AH239" s="372">
        <v>0</v>
      </c>
    </row>
    <row r="240" spans="1:34">
      <c r="A240" s="372" t="s">
        <v>2337</v>
      </c>
      <c r="B240" s="373" t="s">
        <v>2338</v>
      </c>
      <c r="C240" s="372" t="s">
        <v>2339</v>
      </c>
      <c r="D240" s="374">
        <v>1313110083497</v>
      </c>
      <c r="E240" s="372" t="s">
        <v>2340</v>
      </c>
      <c r="F240" s="375" t="s">
        <v>2341</v>
      </c>
      <c r="G240" s="375" t="s">
        <v>2341</v>
      </c>
      <c r="H240" s="375" t="s">
        <v>809</v>
      </c>
      <c r="I240" s="375" t="s">
        <v>751</v>
      </c>
      <c r="J240" s="375">
        <v>4440070.3679</v>
      </c>
      <c r="K240" s="375">
        <v>347908.94339999999</v>
      </c>
      <c r="L240" s="375">
        <v>314827.33172999998</v>
      </c>
      <c r="M240" s="375">
        <v>2146379.7278800001</v>
      </c>
      <c r="N240" s="372">
        <v>0.95499999999999996</v>
      </c>
      <c r="O240" s="704">
        <v>44.978691203376755</v>
      </c>
      <c r="P240" s="375" t="s">
        <v>619</v>
      </c>
      <c r="Q240" s="372" t="s">
        <v>619</v>
      </c>
      <c r="R240" s="696">
        <v>20080730</v>
      </c>
      <c r="S240" s="375">
        <v>0</v>
      </c>
      <c r="T240" s="697">
        <v>0.26400000000000001</v>
      </c>
      <c r="U240" s="375" t="s">
        <v>2342</v>
      </c>
      <c r="V240" s="722">
        <v>4.96</v>
      </c>
      <c r="W240" s="722">
        <v>0.79</v>
      </c>
      <c r="X240" s="722">
        <v>0.39</v>
      </c>
      <c r="Y240" s="722">
        <v>7.39</v>
      </c>
      <c r="Z240" s="382">
        <v>5.2188770778108573E-2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46510.76</v>
      </c>
      <c r="AF240" s="372">
        <v>48946.59</v>
      </c>
      <c r="AG240" s="372">
        <v>50562.25</v>
      </c>
      <c r="AH240" s="372">
        <v>0</v>
      </c>
    </row>
    <row r="241" spans="1:34">
      <c r="A241" s="372" t="s">
        <v>2343</v>
      </c>
      <c r="B241" s="373" t="s">
        <v>2344</v>
      </c>
      <c r="C241" s="372" t="s">
        <v>2345</v>
      </c>
      <c r="D241" s="374">
        <v>2111110049793</v>
      </c>
      <c r="E241" s="372" t="s">
        <v>2346</v>
      </c>
      <c r="F241" s="375" t="s">
        <v>1300</v>
      </c>
      <c r="G241" s="375" t="s">
        <v>1300</v>
      </c>
      <c r="H241" s="375" t="s">
        <v>858</v>
      </c>
      <c r="I241" s="375" t="s">
        <v>859</v>
      </c>
      <c r="J241" s="375">
        <v>145255.75236000001</v>
      </c>
      <c r="K241" s="375">
        <v>-66305.000090000001</v>
      </c>
      <c r="L241" s="375">
        <v>-73879.398839999994</v>
      </c>
      <c r="M241" s="375">
        <v>284370.19861999998</v>
      </c>
      <c r="N241" s="372">
        <v>0.90900000000000003</v>
      </c>
      <c r="O241" s="704">
        <v>53.93831181140164</v>
      </c>
      <c r="P241" s="375" t="s">
        <v>619</v>
      </c>
      <c r="Q241" s="375" t="s">
        <v>619</v>
      </c>
      <c r="R241" s="696">
        <v>20220728</v>
      </c>
      <c r="S241" s="375" t="s">
        <v>2347</v>
      </c>
      <c r="T241" s="697" t="s">
        <v>768</v>
      </c>
      <c r="U241" s="375" t="s">
        <v>2348</v>
      </c>
      <c r="V241" s="722" t="s">
        <v>770</v>
      </c>
      <c r="W241" s="722">
        <v>2.72</v>
      </c>
      <c r="X241" s="722">
        <v>4.88</v>
      </c>
      <c r="Y241" s="722" t="s">
        <v>770</v>
      </c>
      <c r="Z241" s="382">
        <v>0.15054397929321373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1599.33</v>
      </c>
      <c r="AF241" s="372">
        <v>2950.33</v>
      </c>
      <c r="AG241" s="372">
        <v>4334.67</v>
      </c>
      <c r="AH241" s="372">
        <v>0</v>
      </c>
    </row>
    <row r="242" spans="1:34">
      <c r="A242" s="372" t="s">
        <v>2349</v>
      </c>
      <c r="B242" s="373" t="s">
        <v>2350</v>
      </c>
      <c r="C242" s="372" t="s">
        <v>2351</v>
      </c>
      <c r="D242" s="374">
        <v>1341110010839</v>
      </c>
      <c r="E242" s="372" t="s">
        <v>2352</v>
      </c>
      <c r="F242" s="375" t="s">
        <v>1354</v>
      </c>
      <c r="G242" s="375" t="s">
        <v>1354</v>
      </c>
      <c r="H242" s="375" t="s">
        <v>823</v>
      </c>
      <c r="I242" s="375" t="s">
        <v>751</v>
      </c>
      <c r="J242" s="375">
        <v>1003309.16411</v>
      </c>
      <c r="K242" s="375">
        <v>26150.301350000002</v>
      </c>
      <c r="L242" s="375">
        <v>8264.1587999999992</v>
      </c>
      <c r="M242" s="375">
        <v>283448.77554</v>
      </c>
      <c r="N242" s="372" t="s">
        <v>1023</v>
      </c>
      <c r="O242" s="704">
        <v>72.698749695952912</v>
      </c>
      <c r="P242" s="375" t="s">
        <v>619</v>
      </c>
      <c r="Q242" s="375" t="s">
        <v>619</v>
      </c>
      <c r="R242" s="696">
        <v>20231222</v>
      </c>
      <c r="S242" s="375" t="s">
        <v>2353</v>
      </c>
      <c r="T242" s="697">
        <v>0.20900000000000002</v>
      </c>
      <c r="U242" s="372" t="s">
        <v>15834</v>
      </c>
      <c r="V242" s="722">
        <v>18.28</v>
      </c>
      <c r="W242" s="722">
        <v>1.61</v>
      </c>
      <c r="X242" s="722">
        <v>0.44</v>
      </c>
      <c r="Y242" s="722">
        <v>61.96</v>
      </c>
      <c r="Z242" s="382" t="s">
        <v>924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10300</v>
      </c>
      <c r="AF242" s="372">
        <v>12277</v>
      </c>
      <c r="AG242" s="372">
        <v>0</v>
      </c>
      <c r="AH242" s="372">
        <v>0</v>
      </c>
    </row>
    <row r="243" spans="1:34">
      <c r="A243" s="372" t="s">
        <v>2354</v>
      </c>
      <c r="B243" s="373" t="s">
        <v>2355</v>
      </c>
      <c r="C243" s="372" t="s">
        <v>2356</v>
      </c>
      <c r="D243" s="374">
        <v>1101112615578</v>
      </c>
      <c r="E243" s="372" t="s">
        <v>2357</v>
      </c>
      <c r="F243" s="375" t="s">
        <v>1113</v>
      </c>
      <c r="G243" s="375" t="s">
        <v>1333</v>
      </c>
      <c r="H243" s="375" t="s">
        <v>1334</v>
      </c>
      <c r="I243" s="375" t="s">
        <v>859</v>
      </c>
      <c r="J243" s="375">
        <v>14076.8071</v>
      </c>
      <c r="K243" s="375">
        <v>-13586.887940000001</v>
      </c>
      <c r="L243" s="375">
        <v>-13628.2484</v>
      </c>
      <c r="M243" s="375">
        <v>53763.080479999997</v>
      </c>
      <c r="N243" s="372">
        <v>0.34</v>
      </c>
      <c r="O243" s="704">
        <v>0.13639890912173525</v>
      </c>
      <c r="P243" s="375" t="s">
        <v>619</v>
      </c>
      <c r="Q243" s="375" t="s">
        <v>619</v>
      </c>
      <c r="R243" s="696">
        <v>20120120</v>
      </c>
      <c r="S243" s="375" t="s">
        <v>2358</v>
      </c>
      <c r="T243" s="697" t="s">
        <v>768</v>
      </c>
      <c r="U243" s="375" t="s">
        <v>2359</v>
      </c>
      <c r="V243" s="722" t="s">
        <v>770</v>
      </c>
      <c r="W243" s="722">
        <v>15.1</v>
      </c>
      <c r="X243" s="722">
        <v>57.36</v>
      </c>
      <c r="Y243" s="722" t="s">
        <v>770</v>
      </c>
      <c r="Z243" s="382" t="s">
        <v>924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2360</v>
      </c>
      <c r="B244" s="373" t="s">
        <v>2361</v>
      </c>
      <c r="C244" s="372" t="s">
        <v>2362</v>
      </c>
      <c r="D244" s="374">
        <v>1101115767269</v>
      </c>
      <c r="E244" s="372" t="s">
        <v>2363</v>
      </c>
      <c r="F244" s="375" t="s">
        <v>1653</v>
      </c>
      <c r="G244" s="375" t="s">
        <v>2364</v>
      </c>
      <c r="H244" s="375" t="s">
        <v>858</v>
      </c>
      <c r="I244" s="375" t="s">
        <v>859</v>
      </c>
      <c r="J244" s="375">
        <v>23946.085050000002</v>
      </c>
      <c r="K244" s="375">
        <v>-93116.529240000003</v>
      </c>
      <c r="L244" s="375">
        <v>-90649.268129999997</v>
      </c>
      <c r="M244" s="375">
        <v>121160.72968999999</v>
      </c>
      <c r="N244" s="372" t="s">
        <v>1023</v>
      </c>
      <c r="O244" s="704">
        <v>2.106718791372002</v>
      </c>
      <c r="P244" s="375" t="s">
        <v>619</v>
      </c>
      <c r="Q244" s="375" t="s">
        <v>619</v>
      </c>
      <c r="R244" s="696">
        <v>20230807</v>
      </c>
      <c r="S244" s="375" t="s">
        <v>2365</v>
      </c>
      <c r="T244" s="697" t="s">
        <v>768</v>
      </c>
      <c r="U244" s="372" t="s">
        <v>2366</v>
      </c>
      <c r="V244" s="722" t="s">
        <v>770</v>
      </c>
      <c r="W244" s="722">
        <v>6.18</v>
      </c>
      <c r="X244" s="722">
        <v>30.59</v>
      </c>
      <c r="Y244" s="722" t="s">
        <v>770</v>
      </c>
      <c r="Z244" s="382" t="s">
        <v>924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2367</v>
      </c>
      <c r="B245" s="373" t="s">
        <v>2368</v>
      </c>
      <c r="C245" s="372" t="s">
        <v>2369</v>
      </c>
      <c r="D245" s="374">
        <v>1101110165830</v>
      </c>
      <c r="E245" s="372" t="s">
        <v>2370</v>
      </c>
      <c r="F245" s="375" t="s">
        <v>890</v>
      </c>
      <c r="G245" s="375" t="s">
        <v>891</v>
      </c>
      <c r="H245" s="375" t="s">
        <v>852</v>
      </c>
      <c r="I245" s="375" t="s">
        <v>751</v>
      </c>
      <c r="J245" s="375">
        <v>4181726.1388300001</v>
      </c>
      <c r="K245" s="375">
        <v>650263.53926999995</v>
      </c>
      <c r="L245" s="375">
        <v>702393.24861999997</v>
      </c>
      <c r="M245" s="375">
        <v>4640646.8638300002</v>
      </c>
      <c r="N245" s="372">
        <v>0.70599999999999996</v>
      </c>
      <c r="O245" s="704">
        <v>39.944213080723628</v>
      </c>
      <c r="P245" s="375" t="s">
        <v>619</v>
      </c>
      <c r="Q245" s="372" t="s">
        <v>619</v>
      </c>
      <c r="R245" s="696">
        <v>19881107</v>
      </c>
      <c r="S245" s="372" t="s">
        <v>2371</v>
      </c>
      <c r="T245" s="697">
        <v>0.26400000000000001</v>
      </c>
      <c r="U245" s="372" t="s">
        <v>1742</v>
      </c>
      <c r="V245" s="722">
        <v>4.5199999999999996</v>
      </c>
      <c r="W245" s="722">
        <v>0.51</v>
      </c>
      <c r="X245" s="722">
        <v>0.3</v>
      </c>
      <c r="Y245" s="722">
        <v>3.7</v>
      </c>
      <c r="Z245" s="382" t="s">
        <v>924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47130</v>
      </c>
      <c r="AF245" s="372">
        <v>54560</v>
      </c>
      <c r="AG245" s="372">
        <v>0</v>
      </c>
      <c r="AH245" s="372">
        <v>0</v>
      </c>
    </row>
    <row r="246" spans="1:34">
      <c r="A246" s="372" t="s">
        <v>2372</v>
      </c>
      <c r="B246" s="373" t="s">
        <v>2373</v>
      </c>
      <c r="C246" s="372" t="s">
        <v>2374</v>
      </c>
      <c r="D246" s="374">
        <v>2201110050575</v>
      </c>
      <c r="E246" s="372" t="s">
        <v>2375</v>
      </c>
      <c r="F246" s="375" t="s">
        <v>1086</v>
      </c>
      <c r="G246" s="375" t="s">
        <v>1086</v>
      </c>
      <c r="H246" s="375" t="s">
        <v>906</v>
      </c>
      <c r="I246" s="375" t="s">
        <v>751</v>
      </c>
      <c r="J246" s="375">
        <v>1967268.6035800001</v>
      </c>
      <c r="K246" s="375">
        <v>146494.68762000001</v>
      </c>
      <c r="L246" s="375">
        <v>141942.43974999999</v>
      </c>
      <c r="M246" s="375">
        <v>389685.66065999999</v>
      </c>
      <c r="N246" s="372">
        <v>0.52700000000000002</v>
      </c>
      <c r="O246" s="704">
        <v>87.123257047873068</v>
      </c>
      <c r="P246" s="375" t="s">
        <v>619</v>
      </c>
      <c r="Q246" s="375" t="s">
        <v>619</v>
      </c>
      <c r="R246" s="696">
        <v>20151106</v>
      </c>
      <c r="S246" s="375" t="s">
        <v>2376</v>
      </c>
      <c r="T246" s="697">
        <v>0.23100000000000001</v>
      </c>
      <c r="U246" s="375" t="s">
        <v>2377</v>
      </c>
      <c r="V246" s="722">
        <v>4.13</v>
      </c>
      <c r="W246" s="722">
        <v>1.85</v>
      </c>
      <c r="X246" s="722">
        <v>0.37</v>
      </c>
      <c r="Y246" s="722">
        <v>6.36</v>
      </c>
      <c r="Z246" s="382">
        <v>4.8200928336201043E-2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19727.919999999998</v>
      </c>
      <c r="AF246" s="372">
        <v>20087.419999999998</v>
      </c>
      <c r="AG246" s="372">
        <v>20812.18</v>
      </c>
      <c r="AH246" s="372">
        <v>0</v>
      </c>
    </row>
    <row r="247" spans="1:34">
      <c r="A247" s="372" t="s">
        <v>2378</v>
      </c>
      <c r="B247" s="373" t="s">
        <v>2379</v>
      </c>
      <c r="C247" s="372" t="s">
        <v>2380</v>
      </c>
      <c r="D247" s="374">
        <v>1101116525723</v>
      </c>
      <c r="E247" s="372" t="s">
        <v>2381</v>
      </c>
      <c r="F247" s="375" t="s">
        <v>1354</v>
      </c>
      <c r="G247" s="375" t="s">
        <v>1354</v>
      </c>
      <c r="H247" s="375" t="s">
        <v>858</v>
      </c>
      <c r="I247" s="375" t="s">
        <v>859</v>
      </c>
      <c r="J247" s="375">
        <v>125618.88724</v>
      </c>
      <c r="K247" s="375">
        <v>23130.094349999999</v>
      </c>
      <c r="L247" s="375">
        <v>15978.86356</v>
      </c>
      <c r="M247" s="375">
        <v>122044.04732</v>
      </c>
      <c r="N247" s="372">
        <v>1.3640000000000001</v>
      </c>
      <c r="O247" s="704">
        <v>21.354909322029307</v>
      </c>
      <c r="P247" s="375" t="s">
        <v>619</v>
      </c>
      <c r="Q247" s="375" t="s">
        <v>619</v>
      </c>
      <c r="R247" s="696">
        <v>20171212</v>
      </c>
      <c r="S247" s="375" t="s">
        <v>2382</v>
      </c>
      <c r="T247" s="697">
        <v>0.20900000000000002</v>
      </c>
      <c r="U247" s="372" t="s">
        <v>2383</v>
      </c>
      <c r="V247" s="722">
        <v>37.729999999999997</v>
      </c>
      <c r="W247" s="722">
        <v>9.27</v>
      </c>
      <c r="X247" s="722">
        <v>8.94</v>
      </c>
      <c r="Y247" s="722">
        <v>63.08</v>
      </c>
      <c r="Z247" s="382" t="s">
        <v>924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1497.5</v>
      </c>
      <c r="AF247" s="372">
        <v>2149</v>
      </c>
      <c r="AG247" s="372">
        <v>0</v>
      </c>
      <c r="AH247" s="372">
        <v>0</v>
      </c>
    </row>
    <row r="248" spans="1:34">
      <c r="A248" s="372" t="s">
        <v>2384</v>
      </c>
      <c r="B248" s="373" t="s">
        <v>2385</v>
      </c>
      <c r="C248" s="372" t="s">
        <v>2386</v>
      </c>
      <c r="D248" s="374">
        <v>1101115781277</v>
      </c>
      <c r="E248" s="372" t="s">
        <v>2387</v>
      </c>
      <c r="F248" s="375" t="s">
        <v>1367</v>
      </c>
      <c r="G248" s="375" t="s">
        <v>1367</v>
      </c>
      <c r="H248" s="375" t="s">
        <v>858</v>
      </c>
      <c r="I248" s="375" t="s">
        <v>859</v>
      </c>
      <c r="J248" s="375">
        <v>248932.83837000001</v>
      </c>
      <c r="K248" s="375">
        <v>30428.122869999999</v>
      </c>
      <c r="L248" s="375">
        <v>35016.867129999999</v>
      </c>
      <c r="M248" s="375">
        <v>305043.30897000001</v>
      </c>
      <c r="N248" s="372">
        <v>0.70299999999999996</v>
      </c>
      <c r="O248" s="704">
        <v>9.0794623557503105</v>
      </c>
      <c r="P248" s="375" t="s">
        <v>619</v>
      </c>
      <c r="Q248" s="375" t="s">
        <v>619</v>
      </c>
      <c r="R248" s="696">
        <v>20150925</v>
      </c>
      <c r="S248" s="375" t="s">
        <v>2388</v>
      </c>
      <c r="T248" s="697">
        <v>0.23100000000000001</v>
      </c>
      <c r="U248" s="375" t="s">
        <v>15835</v>
      </c>
      <c r="V248" s="722">
        <v>23.24</v>
      </c>
      <c r="W248" s="722">
        <v>3.05</v>
      </c>
      <c r="X248" s="722">
        <v>4.13</v>
      </c>
      <c r="Y248" s="722">
        <v>44.42</v>
      </c>
      <c r="Z248" s="382">
        <v>0.1697146026629337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2805.83</v>
      </c>
      <c r="AF248" s="372">
        <v>2910</v>
      </c>
      <c r="AG248" s="372">
        <v>3618.17</v>
      </c>
      <c r="AH248" s="372">
        <v>0</v>
      </c>
    </row>
    <row r="249" spans="1:34">
      <c r="A249" s="372" t="s">
        <v>2389</v>
      </c>
      <c r="B249" s="373" t="s">
        <v>2390</v>
      </c>
      <c r="C249" s="372" t="s">
        <v>2391</v>
      </c>
      <c r="D249" s="374">
        <v>1345110065662</v>
      </c>
      <c r="E249" s="372" t="s">
        <v>2392</v>
      </c>
      <c r="F249" s="375" t="s">
        <v>16098</v>
      </c>
      <c r="G249" s="375" t="s">
        <v>16098</v>
      </c>
      <c r="H249" s="375" t="s">
        <v>858</v>
      </c>
      <c r="I249" s="375" t="s">
        <v>859</v>
      </c>
      <c r="J249" s="375">
        <v>1009799.45383</v>
      </c>
      <c r="K249" s="375">
        <v>-38163.315459999998</v>
      </c>
      <c r="L249" s="375">
        <v>-4906.2464200000004</v>
      </c>
      <c r="M249" s="375">
        <v>743408.51381000003</v>
      </c>
      <c r="N249" s="372">
        <v>1.0409999999999999</v>
      </c>
      <c r="O249" s="704">
        <v>71.568394842024375</v>
      </c>
      <c r="P249" s="375" t="s">
        <v>619</v>
      </c>
      <c r="Q249" s="375" t="s">
        <v>619</v>
      </c>
      <c r="R249" s="696">
        <v>20051227</v>
      </c>
      <c r="S249" s="375" t="s">
        <v>2393</v>
      </c>
      <c r="T249" s="697" t="s">
        <v>768</v>
      </c>
      <c r="U249" s="375" t="s">
        <v>2394</v>
      </c>
      <c r="V249" s="722">
        <v>960.14</v>
      </c>
      <c r="W249" s="722">
        <v>2.98</v>
      </c>
      <c r="X249" s="722">
        <v>0.97</v>
      </c>
      <c r="Y249" s="722" t="s">
        <v>770</v>
      </c>
      <c r="Z249" s="382" t="s">
        <v>924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2395</v>
      </c>
      <c r="B250" s="373" t="s">
        <v>2396</v>
      </c>
      <c r="C250" s="372" t="s">
        <v>2397</v>
      </c>
      <c r="D250" s="374">
        <v>1601110014483</v>
      </c>
      <c r="E250" s="372" t="s">
        <v>2398</v>
      </c>
      <c r="F250" s="375" t="s">
        <v>929</v>
      </c>
      <c r="G250" s="375" t="s">
        <v>929</v>
      </c>
      <c r="H250" s="375" t="s">
        <v>930</v>
      </c>
      <c r="I250" s="375" t="s">
        <v>751</v>
      </c>
      <c r="J250" s="375">
        <v>1539204.7548499999</v>
      </c>
      <c r="K250" s="375">
        <v>49998.167430000001</v>
      </c>
      <c r="L250" s="375">
        <v>-6024.2785100000001</v>
      </c>
      <c r="M250" s="375">
        <v>2408999.5466300002</v>
      </c>
      <c r="N250" s="372">
        <v>0.76600000000000001</v>
      </c>
      <c r="O250" s="704">
        <v>43.541258164279142</v>
      </c>
      <c r="P250" s="375" t="s">
        <v>619</v>
      </c>
      <c r="Q250" s="375" t="s">
        <v>619</v>
      </c>
      <c r="R250" s="696">
        <v>20150708</v>
      </c>
      <c r="S250" s="375" t="s">
        <v>2399</v>
      </c>
      <c r="T250" s="697" t="s">
        <v>768</v>
      </c>
      <c r="U250" s="375" t="s">
        <v>2400</v>
      </c>
      <c r="V250" s="722">
        <v>0</v>
      </c>
      <c r="W250" s="722">
        <v>0.37</v>
      </c>
      <c r="X250" s="722">
        <v>0.22</v>
      </c>
      <c r="Y250" s="722" t="s">
        <v>770</v>
      </c>
      <c r="Z250" s="382" t="s">
        <v>924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2401</v>
      </c>
      <c r="B251" s="373" t="s">
        <v>2402</v>
      </c>
      <c r="C251" s="372" t="s">
        <v>2403</v>
      </c>
      <c r="D251" s="374">
        <v>1344110015693</v>
      </c>
      <c r="E251" s="372" t="s">
        <v>2404</v>
      </c>
      <c r="F251" s="375" t="s">
        <v>1354</v>
      </c>
      <c r="G251" s="375" t="s">
        <v>1354</v>
      </c>
      <c r="H251" s="375" t="s">
        <v>858</v>
      </c>
      <c r="I251" s="375" t="s">
        <v>859</v>
      </c>
      <c r="J251" s="375">
        <v>7735.4049100000002</v>
      </c>
      <c r="K251" s="375">
        <v>-9477.3162200000006</v>
      </c>
      <c r="L251" s="375">
        <v>-16413.799350000001</v>
      </c>
      <c r="M251" s="375">
        <v>43740.429049999999</v>
      </c>
      <c r="N251" s="372">
        <v>0.33600000000000002</v>
      </c>
      <c r="O251" s="704">
        <v>3.679816910518567</v>
      </c>
      <c r="P251" s="375" t="s">
        <v>619</v>
      </c>
      <c r="Q251" s="375" t="s">
        <v>619</v>
      </c>
      <c r="R251" s="696">
        <v>20020806</v>
      </c>
      <c r="S251" s="375" t="s">
        <v>2405</v>
      </c>
      <c r="T251" s="697" t="s">
        <v>768</v>
      </c>
      <c r="U251" s="375" t="s">
        <v>2406</v>
      </c>
      <c r="V251" s="722" t="s">
        <v>770</v>
      </c>
      <c r="W251" s="722">
        <v>17.43</v>
      </c>
      <c r="X251" s="722">
        <v>98.57</v>
      </c>
      <c r="Y251" s="722" t="s">
        <v>770</v>
      </c>
      <c r="Z251" s="382" t="s">
        <v>924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2407</v>
      </c>
      <c r="B252" s="373" t="s">
        <v>2408</v>
      </c>
      <c r="C252" s="372" t="s">
        <v>2409</v>
      </c>
      <c r="D252" s="374">
        <v>1101116363868</v>
      </c>
      <c r="E252" s="372" t="s">
        <v>2410</v>
      </c>
      <c r="F252" s="375" t="s">
        <v>2411</v>
      </c>
      <c r="G252" s="375" t="s">
        <v>2411</v>
      </c>
      <c r="H252" s="375" t="s">
        <v>1040</v>
      </c>
      <c r="I252" s="375" t="s">
        <v>751</v>
      </c>
      <c r="J252" s="375">
        <v>3494776.2510000002</v>
      </c>
      <c r="K252" s="375">
        <v>181992.05</v>
      </c>
      <c r="L252" s="375">
        <v>70570.44</v>
      </c>
      <c r="M252" s="375">
        <v>1815224.7039999999</v>
      </c>
      <c r="N252" s="372">
        <v>0.85499999999999998</v>
      </c>
      <c r="O252" s="704">
        <v>89.658350462751272</v>
      </c>
      <c r="P252" s="375" t="s">
        <v>619</v>
      </c>
      <c r="Q252" s="372" t="s">
        <v>619</v>
      </c>
      <c r="R252" s="696">
        <v>20170510</v>
      </c>
      <c r="S252" s="372" t="s">
        <v>2412</v>
      </c>
      <c r="T252" s="697">
        <v>0.23100000000000001</v>
      </c>
      <c r="U252" s="372" t="s">
        <v>15836</v>
      </c>
      <c r="V252" s="722">
        <v>5.94</v>
      </c>
      <c r="W252" s="722">
        <v>0.56999999999999995</v>
      </c>
      <c r="X252" s="722">
        <v>0.28999999999999998</v>
      </c>
      <c r="Y252" s="722">
        <v>20.260000000000002</v>
      </c>
      <c r="Z252" s="382">
        <v>6.5782687653406224E-3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35337.449999999997</v>
      </c>
      <c r="AF252" s="372">
        <v>36853.269999999997</v>
      </c>
      <c r="AG252" s="372">
        <v>39266.11</v>
      </c>
      <c r="AH252" s="372">
        <v>0</v>
      </c>
    </row>
    <row r="253" spans="1:34">
      <c r="A253" s="372" t="s">
        <v>2413</v>
      </c>
      <c r="B253" s="373" t="s">
        <v>2414</v>
      </c>
      <c r="C253" s="372" t="s">
        <v>2415</v>
      </c>
      <c r="D253" s="374">
        <v>1351110051329</v>
      </c>
      <c r="E253" s="372" t="s">
        <v>2416</v>
      </c>
      <c r="F253" s="375" t="s">
        <v>1182</v>
      </c>
      <c r="G253" s="375" t="s">
        <v>1183</v>
      </c>
      <c r="H253" s="375" t="s">
        <v>858</v>
      </c>
      <c r="I253" s="375" t="s">
        <v>859</v>
      </c>
      <c r="J253" s="375">
        <v>294206.98064000002</v>
      </c>
      <c r="K253" s="375">
        <v>34950.122730000003</v>
      </c>
      <c r="L253" s="375">
        <v>39958.08412</v>
      </c>
      <c r="M253" s="375">
        <v>397988.7035</v>
      </c>
      <c r="N253" s="372">
        <v>1.2849999999999999</v>
      </c>
      <c r="O253" s="704">
        <v>1.9206597085907828</v>
      </c>
      <c r="P253" s="375" t="s">
        <v>619</v>
      </c>
      <c r="Q253" s="375" t="s">
        <v>619</v>
      </c>
      <c r="R253" s="696">
        <v>20060117</v>
      </c>
      <c r="S253" s="375" t="s">
        <v>2417</v>
      </c>
      <c r="T253" s="697">
        <v>0.23100000000000001</v>
      </c>
      <c r="U253" s="375" t="s">
        <v>2418</v>
      </c>
      <c r="V253" s="722">
        <v>17.36</v>
      </c>
      <c r="W253" s="722">
        <v>2.27</v>
      </c>
      <c r="X253" s="722">
        <v>2.96</v>
      </c>
      <c r="Y253" s="722">
        <v>26.71</v>
      </c>
      <c r="Z253" s="382">
        <v>0.14106404710914044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3313</v>
      </c>
      <c r="AF253" s="372">
        <v>4270.3999999999996</v>
      </c>
      <c r="AG253" s="372">
        <v>4688</v>
      </c>
      <c r="AH253" s="372">
        <v>5520</v>
      </c>
    </row>
    <row r="254" spans="1:34">
      <c r="A254" s="372" t="s">
        <v>2419</v>
      </c>
      <c r="B254" s="373" t="s">
        <v>2420</v>
      </c>
      <c r="C254" s="372" t="s">
        <v>2421</v>
      </c>
      <c r="D254" s="374">
        <v>1942110032714</v>
      </c>
      <c r="E254" s="372" t="s">
        <v>2422</v>
      </c>
      <c r="F254" s="372" t="s">
        <v>2423</v>
      </c>
      <c r="G254" s="375" t="s">
        <v>2424</v>
      </c>
      <c r="H254" s="375" t="s">
        <v>858</v>
      </c>
      <c r="I254" s="375" t="s">
        <v>859</v>
      </c>
      <c r="J254" s="375">
        <v>2290923.5633999999</v>
      </c>
      <c r="K254" s="375">
        <v>-4892.9077500000003</v>
      </c>
      <c r="L254" s="375">
        <v>-21596.349399999999</v>
      </c>
      <c r="M254" s="375">
        <v>1569483.9845100001</v>
      </c>
      <c r="N254" s="372">
        <v>0.81699999999999995</v>
      </c>
      <c r="O254" s="704">
        <v>52.34374793307277</v>
      </c>
      <c r="P254" s="375" t="s">
        <v>619</v>
      </c>
      <c r="Q254" s="375" t="s">
        <v>619</v>
      </c>
      <c r="R254" s="696">
        <v>20011214</v>
      </c>
      <c r="S254" s="375" t="s">
        <v>2425</v>
      </c>
      <c r="T254" s="697" t="s">
        <v>768</v>
      </c>
      <c r="U254" s="375" t="s">
        <v>2426</v>
      </c>
      <c r="V254" s="722">
        <v>17.079999999999998</v>
      </c>
      <c r="W254" s="722">
        <v>0.86</v>
      </c>
      <c r="X254" s="722">
        <v>0.41</v>
      </c>
      <c r="Y254" s="722" t="s">
        <v>770</v>
      </c>
      <c r="Z254" s="382">
        <v>7.7634417917127108E-2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21161.5</v>
      </c>
      <c r="AF254" s="372">
        <v>22328</v>
      </c>
      <c r="AG254" s="372">
        <v>25370</v>
      </c>
      <c r="AH254" s="372">
        <v>0</v>
      </c>
    </row>
    <row r="255" spans="1:34">
      <c r="A255" s="372" t="s">
        <v>2427</v>
      </c>
      <c r="B255" s="373" t="s">
        <v>2428</v>
      </c>
      <c r="C255" s="372" t="s">
        <v>2429</v>
      </c>
      <c r="D255" s="374">
        <v>1746110000866</v>
      </c>
      <c r="E255" s="372" t="s">
        <v>2430</v>
      </c>
      <c r="F255" s="375" t="s">
        <v>2086</v>
      </c>
      <c r="G255" s="375" t="s">
        <v>2431</v>
      </c>
      <c r="H255" s="375" t="s">
        <v>858</v>
      </c>
      <c r="I255" s="375" t="s">
        <v>859</v>
      </c>
      <c r="J255" s="375">
        <v>344799.60064000002</v>
      </c>
      <c r="K255" s="375">
        <v>843.43591000000004</v>
      </c>
      <c r="L255" s="375">
        <v>2182.6002199999998</v>
      </c>
      <c r="M255" s="375">
        <v>114928.70052</v>
      </c>
      <c r="N255" s="372">
        <v>1.556</v>
      </c>
      <c r="O255" s="704">
        <v>0.1270326578370265</v>
      </c>
      <c r="P255" s="375" t="s">
        <v>619</v>
      </c>
      <c r="Q255" s="375" t="s">
        <v>619</v>
      </c>
      <c r="R255" s="696">
        <v>19971110</v>
      </c>
      <c r="S255" s="375" t="s">
        <v>2432</v>
      </c>
      <c r="T255" s="697">
        <v>0.20900000000000002</v>
      </c>
      <c r="U255" s="375" t="s">
        <v>2433</v>
      </c>
      <c r="V255" s="722">
        <v>0</v>
      </c>
      <c r="W255" s="722">
        <v>0</v>
      </c>
      <c r="X255" s="722">
        <v>0</v>
      </c>
      <c r="Y255" s="722">
        <v>0</v>
      </c>
      <c r="Z255" s="382" t="s">
        <v>924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2434</v>
      </c>
      <c r="B256" s="373" t="s">
        <v>2435</v>
      </c>
      <c r="C256" s="372" t="s">
        <v>2436</v>
      </c>
      <c r="D256" s="374">
        <v>1101110981038</v>
      </c>
      <c r="E256" s="372" t="s">
        <v>2437</v>
      </c>
      <c r="F256" s="375" t="s">
        <v>2438</v>
      </c>
      <c r="G256" s="375" t="s">
        <v>2438</v>
      </c>
      <c r="H256" s="375" t="s">
        <v>814</v>
      </c>
      <c r="I256" s="375" t="s">
        <v>751</v>
      </c>
      <c r="J256" s="375">
        <v>593932.47297999996</v>
      </c>
      <c r="K256" s="375">
        <v>48477.683409999998</v>
      </c>
      <c r="L256" s="375">
        <v>71249.207469999994</v>
      </c>
      <c r="M256" s="375">
        <v>131496.97294000001</v>
      </c>
      <c r="N256" s="372">
        <v>0.67700000000000005</v>
      </c>
      <c r="O256" s="704">
        <v>16.41916112809254</v>
      </c>
      <c r="P256" s="375" t="s">
        <v>619</v>
      </c>
      <c r="Q256" s="372" t="s">
        <v>619</v>
      </c>
      <c r="R256" s="696">
        <v>20001124</v>
      </c>
      <c r="S256" s="375" t="s">
        <v>2439</v>
      </c>
      <c r="T256" s="697">
        <v>0.23100000000000001</v>
      </c>
      <c r="U256" s="375" t="s">
        <v>2440</v>
      </c>
      <c r="V256" s="722">
        <v>10.59</v>
      </c>
      <c r="W256" s="722">
        <v>4.8</v>
      </c>
      <c r="X256" s="722">
        <v>1.36</v>
      </c>
      <c r="Y256" s="722">
        <v>15.41</v>
      </c>
      <c r="Z256" s="382">
        <v>0.17689611983215436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6500.29</v>
      </c>
      <c r="AF256" s="372">
        <v>7299.43</v>
      </c>
      <c r="AG256" s="372">
        <v>7896.6</v>
      </c>
      <c r="AH256" s="372">
        <v>8560</v>
      </c>
    </row>
    <row r="257" spans="1:34">
      <c r="A257" s="372" t="s">
        <v>2441</v>
      </c>
      <c r="B257" s="373" t="s">
        <v>2442</v>
      </c>
      <c r="C257" s="372" t="s">
        <v>2443</v>
      </c>
      <c r="D257" s="374">
        <v>1101118626561</v>
      </c>
      <c r="E257" s="372" t="s">
        <v>2444</v>
      </c>
      <c r="F257" s="375" t="s">
        <v>821</v>
      </c>
      <c r="G257" s="375" t="s">
        <v>822</v>
      </c>
      <c r="H257" s="375" t="s">
        <v>823</v>
      </c>
      <c r="I257" s="375" t="s">
        <v>751</v>
      </c>
      <c r="J257" s="375">
        <v>274294.13770000002</v>
      </c>
      <c r="K257" s="375">
        <v>3070.0992200000001</v>
      </c>
      <c r="L257" s="375">
        <v>-3244.5679599999999</v>
      </c>
      <c r="M257" s="375">
        <v>118836.86134</v>
      </c>
      <c r="N257" s="372" t="s">
        <v>1023</v>
      </c>
      <c r="O257" s="704">
        <v>10.717618572701289</v>
      </c>
      <c r="P257" s="375" t="s">
        <v>619</v>
      </c>
      <c r="Q257" s="375" t="s">
        <v>619</v>
      </c>
      <c r="R257" s="696">
        <v>20230531</v>
      </c>
      <c r="S257" s="375" t="s">
        <v>2445</v>
      </c>
      <c r="T257" s="697" t="s">
        <v>768</v>
      </c>
      <c r="U257" s="375" t="s">
        <v>2446</v>
      </c>
      <c r="V257" s="722">
        <v>0</v>
      </c>
      <c r="W257" s="722">
        <v>0</v>
      </c>
      <c r="X257" s="722">
        <v>0</v>
      </c>
      <c r="Y257" s="722">
        <v>0</v>
      </c>
      <c r="Z257" s="382" t="s">
        <v>924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2447</v>
      </c>
      <c r="B258" s="373" t="s">
        <v>2448</v>
      </c>
      <c r="C258" s="372" t="s">
        <v>2449</v>
      </c>
      <c r="D258" s="374">
        <v>1311110047918</v>
      </c>
      <c r="E258" s="372" t="s">
        <v>2450</v>
      </c>
      <c r="F258" s="372" t="s">
        <v>1653</v>
      </c>
      <c r="G258" s="375" t="s">
        <v>1653</v>
      </c>
      <c r="H258" s="375" t="s">
        <v>858</v>
      </c>
      <c r="I258" s="375" t="s">
        <v>859</v>
      </c>
      <c r="J258" s="375">
        <v>173456.52210999999</v>
      </c>
      <c r="K258" s="375">
        <v>14559.37206</v>
      </c>
      <c r="L258" s="375">
        <v>17383.878659999998</v>
      </c>
      <c r="M258" s="375">
        <v>175194.33558000001</v>
      </c>
      <c r="N258" s="372">
        <v>0.91300000000000003</v>
      </c>
      <c r="O258" s="704">
        <v>4.311446259206809</v>
      </c>
      <c r="P258" s="375" t="s">
        <v>619</v>
      </c>
      <c r="Q258" s="372" t="s">
        <v>619</v>
      </c>
      <c r="R258" s="696">
        <v>20050125</v>
      </c>
      <c r="S258" s="375" t="s">
        <v>2451</v>
      </c>
      <c r="T258" s="697">
        <v>0.20900000000000002</v>
      </c>
      <c r="U258" s="375" t="s">
        <v>2452</v>
      </c>
      <c r="V258" s="722">
        <v>26.39</v>
      </c>
      <c r="W258" s="722">
        <v>2.57</v>
      </c>
      <c r="X258" s="722">
        <v>2.63</v>
      </c>
      <c r="Y258" s="722">
        <v>54.19</v>
      </c>
      <c r="Z258" s="382" t="s">
        <v>924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2453</v>
      </c>
      <c r="B259" s="373" t="s">
        <v>2454</v>
      </c>
      <c r="C259" s="372" t="s">
        <v>2455</v>
      </c>
      <c r="D259" s="374">
        <v>1101113326588</v>
      </c>
      <c r="E259" s="372" t="s">
        <v>2456</v>
      </c>
      <c r="F259" s="375" t="s">
        <v>2457</v>
      </c>
      <c r="G259" s="375" t="s">
        <v>2457</v>
      </c>
      <c r="H259" s="375" t="s">
        <v>814</v>
      </c>
      <c r="I259" s="375" t="s">
        <v>751</v>
      </c>
      <c r="J259" s="375">
        <v>2726638.76841</v>
      </c>
      <c r="K259" s="375">
        <v>266353.94615999999</v>
      </c>
      <c r="L259" s="375">
        <v>118365.66314</v>
      </c>
      <c r="M259" s="375">
        <v>1389166.92719</v>
      </c>
      <c r="N259" s="372">
        <v>0.59099999999999997</v>
      </c>
      <c r="O259" s="704">
        <v>420.8097728278596</v>
      </c>
      <c r="P259" s="375" t="s">
        <v>619</v>
      </c>
      <c r="Q259" s="375" t="s">
        <v>619</v>
      </c>
      <c r="R259" s="696">
        <v>20210819</v>
      </c>
      <c r="S259" s="375" t="s">
        <v>2458</v>
      </c>
      <c r="T259" s="697">
        <v>0.23100000000000001</v>
      </c>
      <c r="U259" s="375" t="s">
        <v>2459</v>
      </c>
      <c r="V259" s="722">
        <v>3.74</v>
      </c>
      <c r="W259" s="722">
        <v>0.79</v>
      </c>
      <c r="X259" s="722">
        <v>0.41</v>
      </c>
      <c r="Y259" s="722">
        <v>13.01</v>
      </c>
      <c r="Z259" s="382">
        <v>3.7664227390409089E-2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27893.79</v>
      </c>
      <c r="AF259" s="372">
        <v>30099.29</v>
      </c>
      <c r="AG259" s="372">
        <v>31909.64</v>
      </c>
      <c r="AH259" s="372">
        <v>0</v>
      </c>
    </row>
    <row r="260" spans="1:34">
      <c r="A260" s="372" t="s">
        <v>2460</v>
      </c>
      <c r="B260" s="373" t="s">
        <v>2461</v>
      </c>
      <c r="C260" s="372" t="s">
        <v>2462</v>
      </c>
      <c r="D260" s="374">
        <v>1615110176036</v>
      </c>
      <c r="E260" s="372" t="s">
        <v>2463</v>
      </c>
      <c r="F260" s="375" t="s">
        <v>1272</v>
      </c>
      <c r="G260" s="375" t="s">
        <v>1272</v>
      </c>
      <c r="H260" s="375" t="s">
        <v>858</v>
      </c>
      <c r="I260" s="375" t="s">
        <v>859</v>
      </c>
      <c r="J260" s="375">
        <v>205545.00176000001</v>
      </c>
      <c r="K260" s="375">
        <v>44561.839390000001</v>
      </c>
      <c r="L260" s="375">
        <v>45351.383540000003</v>
      </c>
      <c r="M260" s="375">
        <v>382675.31906000001</v>
      </c>
      <c r="N260" s="372">
        <v>0.59899999999999998</v>
      </c>
      <c r="O260" s="704">
        <v>3.380386318895042</v>
      </c>
      <c r="P260" s="375" t="s">
        <v>619</v>
      </c>
      <c r="Q260" s="375" t="s">
        <v>619</v>
      </c>
      <c r="R260" s="696">
        <v>20150206</v>
      </c>
      <c r="S260" s="375" t="s">
        <v>2464</v>
      </c>
      <c r="T260" s="697">
        <v>0.23100000000000001</v>
      </c>
      <c r="U260" s="375" t="s">
        <v>2465</v>
      </c>
      <c r="V260" s="722">
        <v>14.39</v>
      </c>
      <c r="W260" s="722">
        <v>1.99</v>
      </c>
      <c r="X260" s="722">
        <v>3.79</v>
      </c>
      <c r="Y260" s="722">
        <v>20.23</v>
      </c>
      <c r="Z260" s="382">
        <v>0.14675693706649784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2116.81</v>
      </c>
      <c r="AF260" s="372">
        <v>2348.48</v>
      </c>
      <c r="AG260" s="372">
        <v>2831</v>
      </c>
      <c r="AH260" s="372">
        <v>0</v>
      </c>
    </row>
    <row r="261" spans="1:34">
      <c r="A261" s="372" t="s">
        <v>2466</v>
      </c>
      <c r="B261" s="373" t="s">
        <v>2467</v>
      </c>
      <c r="C261" s="372" t="s">
        <v>2468</v>
      </c>
      <c r="D261" s="374">
        <v>1615110086227</v>
      </c>
      <c r="E261" s="372" t="s">
        <v>2469</v>
      </c>
      <c r="F261" s="375" t="s">
        <v>766</v>
      </c>
      <c r="G261" s="375" t="s">
        <v>766</v>
      </c>
      <c r="H261" s="375" t="s">
        <v>858</v>
      </c>
      <c r="I261" s="375" t="s">
        <v>859</v>
      </c>
      <c r="J261" s="375">
        <v>217219.65917</v>
      </c>
      <c r="K261" s="375">
        <v>27876.45537</v>
      </c>
      <c r="L261" s="375">
        <v>24704.008620000001</v>
      </c>
      <c r="M261" s="375">
        <v>353285.04580000002</v>
      </c>
      <c r="N261" s="372">
        <v>1.135</v>
      </c>
      <c r="O261" s="704">
        <v>35.170125190114604</v>
      </c>
      <c r="P261" s="375" t="s">
        <v>619</v>
      </c>
      <c r="Q261" s="375" t="s">
        <v>619</v>
      </c>
      <c r="R261" s="696">
        <v>20170428</v>
      </c>
      <c r="S261" s="375" t="s">
        <v>2470</v>
      </c>
      <c r="T261" s="697">
        <v>0.23100000000000001</v>
      </c>
      <c r="U261" s="372" t="s">
        <v>2471</v>
      </c>
      <c r="V261" s="722">
        <v>12.93</v>
      </c>
      <c r="W261" s="722">
        <v>1.77</v>
      </c>
      <c r="X261" s="722">
        <v>2.92</v>
      </c>
      <c r="Y261" s="722">
        <v>34.01</v>
      </c>
      <c r="Z261" s="382">
        <v>9.1618274034875435E-2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2498</v>
      </c>
      <c r="AF261" s="372">
        <v>3129.4</v>
      </c>
      <c r="AG261" s="372">
        <v>3316.75</v>
      </c>
      <c r="AH261" s="372">
        <v>0</v>
      </c>
    </row>
    <row r="262" spans="1:34">
      <c r="A262" s="372" t="s">
        <v>2472</v>
      </c>
      <c r="B262" s="373" t="s">
        <v>2473</v>
      </c>
      <c r="C262" s="372" t="s">
        <v>2474</v>
      </c>
      <c r="D262" s="374">
        <v>1101110003824</v>
      </c>
      <c r="E262" s="372" t="s">
        <v>2475</v>
      </c>
      <c r="F262" s="375" t="s">
        <v>1030</v>
      </c>
      <c r="G262" s="375" t="s">
        <v>1031</v>
      </c>
      <c r="H262" s="375" t="s">
        <v>809</v>
      </c>
      <c r="I262" s="375" t="s">
        <v>751</v>
      </c>
      <c r="J262" s="375">
        <v>3018743.97169</v>
      </c>
      <c r="K262" s="375">
        <v>-177284.24421</v>
      </c>
      <c r="L262" s="375">
        <v>-124019.63253</v>
      </c>
      <c r="M262" s="375">
        <v>4329226.8677500002</v>
      </c>
      <c r="N262" s="372">
        <v>1.2789999999999999</v>
      </c>
      <c r="O262" s="704">
        <v>112.70771651365534</v>
      </c>
      <c r="P262" s="375" t="s">
        <v>619</v>
      </c>
      <c r="Q262" s="375" t="s">
        <v>619</v>
      </c>
      <c r="R262" s="696">
        <v>19760612</v>
      </c>
      <c r="S262" s="375" t="s">
        <v>2476</v>
      </c>
      <c r="T262" s="697" t="s">
        <v>768</v>
      </c>
      <c r="U262" s="375" t="s">
        <v>2477</v>
      </c>
      <c r="V262" s="722" t="s">
        <v>770</v>
      </c>
      <c r="W262" s="722">
        <v>0.17</v>
      </c>
      <c r="X262" s="722">
        <v>0.22</v>
      </c>
      <c r="Y262" s="722" t="s">
        <v>770</v>
      </c>
      <c r="Z262" s="382" t="s">
        <v>924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2478</v>
      </c>
      <c r="B263" s="373" t="s">
        <v>2479</v>
      </c>
      <c r="C263" s="372" t="s">
        <v>2480</v>
      </c>
      <c r="D263" s="374">
        <v>1913110003485</v>
      </c>
      <c r="E263" s="372" t="s">
        <v>2481</v>
      </c>
      <c r="F263" s="375" t="s">
        <v>2482</v>
      </c>
      <c r="G263" s="375" t="s">
        <v>2483</v>
      </c>
      <c r="H263" s="375" t="s">
        <v>809</v>
      </c>
      <c r="I263" s="375" t="s">
        <v>751</v>
      </c>
      <c r="J263" s="375">
        <v>710819.02555000002</v>
      </c>
      <c r="K263" s="375">
        <v>49663.368739999998</v>
      </c>
      <c r="L263" s="375">
        <v>28180.334920000001</v>
      </c>
      <c r="M263" s="375">
        <v>715677.96152999997</v>
      </c>
      <c r="N263" s="372">
        <v>0.91</v>
      </c>
      <c r="O263" s="704">
        <v>25.69036691640439</v>
      </c>
      <c r="P263" s="375" t="s">
        <v>619</v>
      </c>
      <c r="Q263" s="375" t="s">
        <v>619</v>
      </c>
      <c r="R263" s="696">
        <v>20080801</v>
      </c>
      <c r="S263" s="375" t="s">
        <v>2484</v>
      </c>
      <c r="T263" s="697">
        <v>0.23100000000000001</v>
      </c>
      <c r="U263" s="375" t="s">
        <v>15837</v>
      </c>
      <c r="V263" s="722">
        <v>12.52</v>
      </c>
      <c r="W263" s="722">
        <v>1.25</v>
      </c>
      <c r="X263" s="722">
        <v>1.25</v>
      </c>
      <c r="Y263" s="722">
        <v>34.14</v>
      </c>
      <c r="Z263" s="382">
        <v>7.6021880988291102E-2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7183.8</v>
      </c>
      <c r="AF263" s="372">
        <v>10182</v>
      </c>
      <c r="AG263" s="372">
        <v>12411.33</v>
      </c>
      <c r="AH263" s="372">
        <v>17060</v>
      </c>
    </row>
    <row r="264" spans="1:34">
      <c r="A264" s="372" t="s">
        <v>2485</v>
      </c>
      <c r="B264" s="373" t="s">
        <v>2486</v>
      </c>
      <c r="C264" s="372" t="s">
        <v>2487</v>
      </c>
      <c r="D264" s="374">
        <v>1345110078029</v>
      </c>
      <c r="E264" s="372" t="s">
        <v>2488</v>
      </c>
      <c r="F264" s="375" t="s">
        <v>1959</v>
      </c>
      <c r="G264" s="375" t="s">
        <v>1959</v>
      </c>
      <c r="H264" s="375" t="s">
        <v>858</v>
      </c>
      <c r="I264" s="375" t="s">
        <v>859</v>
      </c>
      <c r="J264" s="375">
        <v>40208.820619999999</v>
      </c>
      <c r="K264" s="375">
        <v>7199.3831200000004</v>
      </c>
      <c r="L264" s="375">
        <v>13003.38229</v>
      </c>
      <c r="M264" s="375">
        <v>204973.08025</v>
      </c>
      <c r="N264" s="372" t="s">
        <v>1023</v>
      </c>
      <c r="O264" s="704">
        <v>4.2300667896201283</v>
      </c>
      <c r="P264" s="375" t="s">
        <v>619</v>
      </c>
      <c r="Q264" s="375" t="s">
        <v>619</v>
      </c>
      <c r="R264" s="696">
        <v>20230524</v>
      </c>
      <c r="S264" s="375" t="s">
        <v>2489</v>
      </c>
      <c r="T264" s="697">
        <v>0.20900000000000002</v>
      </c>
      <c r="U264" s="375" t="s">
        <v>2490</v>
      </c>
      <c r="V264" s="722">
        <v>0</v>
      </c>
      <c r="W264" s="722">
        <v>0</v>
      </c>
      <c r="X264" s="722">
        <v>0</v>
      </c>
      <c r="Y264" s="722">
        <v>0</v>
      </c>
      <c r="Z264" s="382" t="s">
        <v>924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2491</v>
      </c>
      <c r="B265" s="373" t="s">
        <v>2492</v>
      </c>
      <c r="C265" s="372" t="s">
        <v>2493</v>
      </c>
      <c r="D265" s="374">
        <v>1101110185276</v>
      </c>
      <c r="E265" s="372" t="s">
        <v>2494</v>
      </c>
      <c r="F265" s="375" t="s">
        <v>1944</v>
      </c>
      <c r="G265" s="375" t="s">
        <v>2495</v>
      </c>
      <c r="H265" s="375" t="s">
        <v>823</v>
      </c>
      <c r="I265" s="375" t="s">
        <v>751</v>
      </c>
      <c r="J265" s="375">
        <v>2167715.4967499999</v>
      </c>
      <c r="K265" s="375">
        <v>-53223.141320000002</v>
      </c>
      <c r="L265" s="375">
        <v>47596.637900000002</v>
      </c>
      <c r="M265" s="375">
        <v>3903689.66756</v>
      </c>
      <c r="N265" s="372">
        <v>0.98699999999999999</v>
      </c>
      <c r="O265" s="704">
        <v>17.989007222380149</v>
      </c>
      <c r="P265" s="375" t="s">
        <v>619</v>
      </c>
      <c r="Q265" s="375" t="s">
        <v>619</v>
      </c>
      <c r="R265" s="696">
        <v>19751227</v>
      </c>
      <c r="S265" s="375" t="s">
        <v>2496</v>
      </c>
      <c r="T265" s="697">
        <v>0.23100000000000001</v>
      </c>
      <c r="U265" s="372" t="s">
        <v>2497</v>
      </c>
      <c r="V265" s="722" t="s">
        <v>770</v>
      </c>
      <c r="W265" s="722">
        <v>0.18</v>
      </c>
      <c r="X265" s="722">
        <v>0.34</v>
      </c>
      <c r="Y265" s="722">
        <v>22.19</v>
      </c>
      <c r="Z265" s="382" t="s">
        <v>924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2498</v>
      </c>
      <c r="B266" s="373" t="s">
        <v>2499</v>
      </c>
      <c r="C266" s="372" t="s">
        <v>2500</v>
      </c>
      <c r="D266" s="374">
        <v>1101114855924</v>
      </c>
      <c r="E266" s="372" t="s">
        <v>2501</v>
      </c>
      <c r="F266" s="375" t="s">
        <v>1003</v>
      </c>
      <c r="G266" s="375" t="s">
        <v>1003</v>
      </c>
      <c r="H266" s="375" t="s">
        <v>814</v>
      </c>
      <c r="I266" s="375" t="s">
        <v>751</v>
      </c>
      <c r="J266" s="375">
        <v>631151.98427000002</v>
      </c>
      <c r="K266" s="375">
        <v>251066.84203999999</v>
      </c>
      <c r="L266" s="375">
        <v>274733.01818999997</v>
      </c>
      <c r="M266" s="375">
        <v>1362905.2387000001</v>
      </c>
      <c r="N266" s="372">
        <v>0.71199999999999997</v>
      </c>
      <c r="O266" s="704">
        <v>4.3969791616064358</v>
      </c>
      <c r="P266" s="375" t="s">
        <v>619</v>
      </c>
      <c r="Q266" s="372" t="s">
        <v>619</v>
      </c>
      <c r="R266" s="696">
        <v>20151104</v>
      </c>
      <c r="S266" s="372" t="s">
        <v>2502</v>
      </c>
      <c r="T266" s="697">
        <v>0.23100000000000001</v>
      </c>
      <c r="U266" s="375" t="s">
        <v>2503</v>
      </c>
      <c r="V266" s="722">
        <v>5.49</v>
      </c>
      <c r="W266" s="722">
        <v>1.02</v>
      </c>
      <c r="X266" s="722">
        <v>1.7</v>
      </c>
      <c r="Y266" s="722">
        <v>6.63</v>
      </c>
      <c r="Z266" s="382">
        <v>5.795546144454633E-2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6473.83</v>
      </c>
      <c r="AF266" s="372">
        <v>6864.67</v>
      </c>
      <c r="AG266" s="372">
        <v>7295.27</v>
      </c>
      <c r="AH266" s="372">
        <v>8310</v>
      </c>
    </row>
    <row r="267" spans="1:34">
      <c r="A267" s="372" t="s">
        <v>2504</v>
      </c>
      <c r="B267" s="373" t="s">
        <v>2505</v>
      </c>
      <c r="C267" s="372" t="s">
        <v>2506</v>
      </c>
      <c r="D267" s="374">
        <v>1341110011712</v>
      </c>
      <c r="E267" s="372" t="s">
        <v>2507</v>
      </c>
      <c r="F267" s="375" t="s">
        <v>2508</v>
      </c>
      <c r="G267" s="375" t="s">
        <v>2508</v>
      </c>
      <c r="H267" s="375" t="s">
        <v>823</v>
      </c>
      <c r="I267" s="375" t="s">
        <v>751</v>
      </c>
      <c r="J267" s="375">
        <v>1301267.0218100001</v>
      </c>
      <c r="K267" s="375">
        <v>88793.143070000006</v>
      </c>
      <c r="L267" s="375">
        <v>75795.118390000003</v>
      </c>
      <c r="M267" s="375">
        <v>813463.99010000005</v>
      </c>
      <c r="N267" s="372">
        <v>1.081</v>
      </c>
      <c r="O267" s="704">
        <v>38.561692953886258</v>
      </c>
      <c r="P267" s="375" t="s">
        <v>619</v>
      </c>
      <c r="Q267" s="375" t="s">
        <v>619</v>
      </c>
      <c r="R267" s="696">
        <v>19940329</v>
      </c>
      <c r="S267" s="375" t="s">
        <v>2509</v>
      </c>
      <c r="T267" s="697">
        <v>0.23100000000000001</v>
      </c>
      <c r="U267" s="375" t="s">
        <v>2510</v>
      </c>
      <c r="V267" s="722">
        <v>9.42</v>
      </c>
      <c r="W267" s="722">
        <v>1.59</v>
      </c>
      <c r="X267" s="722">
        <v>0.99</v>
      </c>
      <c r="Y267" s="722">
        <v>18.97</v>
      </c>
      <c r="Z267" s="382">
        <v>4.7661697740125852E-2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13460</v>
      </c>
      <c r="AF267" s="372">
        <v>14570</v>
      </c>
      <c r="AG267" s="372">
        <v>15380</v>
      </c>
      <c r="AH267" s="372">
        <v>0</v>
      </c>
    </row>
    <row r="268" spans="1:34">
      <c r="A268" s="372" t="s">
        <v>2511</v>
      </c>
      <c r="B268" s="373" t="s">
        <v>2512</v>
      </c>
      <c r="C268" s="372" t="s">
        <v>2513</v>
      </c>
      <c r="D268" s="374">
        <v>1101110414758</v>
      </c>
      <c r="E268" s="372" t="s">
        <v>2514</v>
      </c>
      <c r="F268" s="375" t="s">
        <v>2515</v>
      </c>
      <c r="G268" s="375" t="s">
        <v>2515</v>
      </c>
      <c r="H268" s="375" t="s">
        <v>814</v>
      </c>
      <c r="I268" s="375" t="s">
        <v>751</v>
      </c>
      <c r="J268" s="375">
        <v>10121104.834070001</v>
      </c>
      <c r="K268" s="375">
        <v>721252.71880000003</v>
      </c>
      <c r="L268" s="375">
        <v>728825.77683999995</v>
      </c>
      <c r="M268" s="375">
        <v>6148636.6408200003</v>
      </c>
      <c r="N268" s="372">
        <v>1.1040000000000001</v>
      </c>
      <c r="O268" s="704">
        <v>56.938836323148493</v>
      </c>
      <c r="P268" s="375" t="s">
        <v>619</v>
      </c>
      <c r="Q268" s="375" t="s">
        <v>619</v>
      </c>
      <c r="R268" s="696">
        <v>19970827</v>
      </c>
      <c r="S268" s="375" t="s">
        <v>2516</v>
      </c>
      <c r="T268" s="697">
        <v>0.26400000000000001</v>
      </c>
      <c r="U268" s="372" t="s">
        <v>2517</v>
      </c>
      <c r="V268" s="722">
        <v>5.38</v>
      </c>
      <c r="W268" s="722">
        <v>0.28999999999999998</v>
      </c>
      <c r="X268" s="722">
        <v>0.08</v>
      </c>
      <c r="Y268" s="722">
        <v>3.81</v>
      </c>
      <c r="Z268" s="382" t="s">
        <v>924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2518</v>
      </c>
      <c r="B269" s="373" t="s">
        <v>2519</v>
      </c>
      <c r="C269" s="372" t="s">
        <v>2520</v>
      </c>
      <c r="D269" s="374">
        <v>1501110307674</v>
      </c>
      <c r="E269" s="372" t="s">
        <v>2521</v>
      </c>
      <c r="F269" s="372" t="s">
        <v>1354</v>
      </c>
      <c r="G269" s="375" t="s">
        <v>1354</v>
      </c>
      <c r="H269" s="375" t="s">
        <v>858</v>
      </c>
      <c r="I269" s="375" t="s">
        <v>859</v>
      </c>
      <c r="J269" s="375">
        <v>202012.06229999999</v>
      </c>
      <c r="K269" s="375">
        <v>23796.36105</v>
      </c>
      <c r="L269" s="375">
        <v>23065.8305</v>
      </c>
      <c r="M269" s="375">
        <v>117050.93552</v>
      </c>
      <c r="N269" s="372">
        <v>1.236</v>
      </c>
      <c r="O269" s="704">
        <v>13.792178907773463</v>
      </c>
      <c r="P269" s="375" t="s">
        <v>619</v>
      </c>
      <c r="Q269" s="375" t="s">
        <v>619</v>
      </c>
      <c r="R269" s="696">
        <v>20210528</v>
      </c>
      <c r="S269" s="375" t="s">
        <v>2522</v>
      </c>
      <c r="T269" s="697">
        <v>0.23100000000000001</v>
      </c>
      <c r="U269" s="372" t="s">
        <v>2523</v>
      </c>
      <c r="V269" s="722">
        <v>31.3</v>
      </c>
      <c r="W269" s="722">
        <v>7.05</v>
      </c>
      <c r="X269" s="722">
        <v>4.1900000000000004</v>
      </c>
      <c r="Y269" s="722">
        <v>41.82</v>
      </c>
      <c r="Z269" s="382" t="s">
        <v>924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2524</v>
      </c>
      <c r="B270" s="373" t="s">
        <v>2525</v>
      </c>
      <c r="C270" s="372" t="s">
        <v>2526</v>
      </c>
      <c r="D270" s="374">
        <v>1311110057925</v>
      </c>
      <c r="E270" s="372" t="s">
        <v>2527</v>
      </c>
      <c r="F270" s="375" t="s">
        <v>1273</v>
      </c>
      <c r="G270" s="375" t="s">
        <v>1449</v>
      </c>
      <c r="H270" s="375" t="s">
        <v>858</v>
      </c>
      <c r="I270" s="375" t="s">
        <v>859</v>
      </c>
      <c r="J270" s="375">
        <v>171178.62413000001</v>
      </c>
      <c r="K270" s="375">
        <v>31607.118869999998</v>
      </c>
      <c r="L270" s="375">
        <v>35317.710099999997</v>
      </c>
      <c r="M270" s="375">
        <v>243192.53148999999</v>
      </c>
      <c r="N270" s="372">
        <v>1.341</v>
      </c>
      <c r="O270" s="704">
        <v>3.2474836476715367</v>
      </c>
      <c r="P270" s="375" t="s">
        <v>619</v>
      </c>
      <c r="Q270" s="372" t="s">
        <v>619</v>
      </c>
      <c r="R270" s="696">
        <v>20090414</v>
      </c>
      <c r="S270" s="375" t="s">
        <v>2528</v>
      </c>
      <c r="T270" s="697">
        <v>0.23100000000000001</v>
      </c>
      <c r="U270" s="375" t="s">
        <v>2529</v>
      </c>
      <c r="V270" s="722">
        <v>12.44</v>
      </c>
      <c r="W270" s="722">
        <v>2.2599999999999998</v>
      </c>
      <c r="X270" s="722">
        <v>3.25</v>
      </c>
      <c r="Y270" s="722">
        <v>18.75</v>
      </c>
      <c r="Z270" s="382">
        <v>0.23500700647584893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1769</v>
      </c>
      <c r="AF270" s="372">
        <v>2330.5</v>
      </c>
      <c r="AG270" s="372">
        <v>3497</v>
      </c>
      <c r="AH270" s="372">
        <v>0</v>
      </c>
    </row>
    <row r="271" spans="1:34">
      <c r="A271" s="372" t="s">
        <v>2530</v>
      </c>
      <c r="B271" s="373" t="s">
        <v>2531</v>
      </c>
      <c r="C271" s="372" t="s">
        <v>2532</v>
      </c>
      <c r="D271" s="374">
        <v>0</v>
      </c>
      <c r="E271" s="372" t="s">
        <v>2533</v>
      </c>
      <c r="F271" s="375" t="s">
        <v>16098</v>
      </c>
      <c r="G271" s="375" t="s">
        <v>16098</v>
      </c>
      <c r="H271" s="375">
        <v>0</v>
      </c>
      <c r="I271" s="375" t="s">
        <v>859</v>
      </c>
      <c r="J271" s="375">
        <v>5054.5730000000003</v>
      </c>
      <c r="K271" s="375">
        <v>-21068.411</v>
      </c>
      <c r="L271" s="375">
        <v>-18999.774000000001</v>
      </c>
      <c r="M271" s="375">
        <v>148868.30300000001</v>
      </c>
      <c r="N271" s="372">
        <v>0.70699999999999996</v>
      </c>
      <c r="O271" s="704">
        <v>1.3122982920229167</v>
      </c>
      <c r="P271" s="375" t="s">
        <v>619</v>
      </c>
      <c r="Q271" s="372" t="s">
        <v>619</v>
      </c>
      <c r="R271" s="696">
        <v>20171106</v>
      </c>
      <c r="S271" s="372" t="s">
        <v>2534</v>
      </c>
      <c r="T271" s="697" t="s">
        <v>768</v>
      </c>
      <c r="U271" s="375" t="s">
        <v>2535</v>
      </c>
      <c r="V271" s="722">
        <v>0</v>
      </c>
      <c r="W271" s="722">
        <v>0</v>
      </c>
      <c r="X271" s="722">
        <v>0</v>
      </c>
      <c r="Y271" s="722">
        <v>0</v>
      </c>
      <c r="Z271" s="382" t="s">
        <v>924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2536</v>
      </c>
      <c r="B272" s="373" t="s">
        <v>2537</v>
      </c>
      <c r="C272" s="372" t="s">
        <v>2538</v>
      </c>
      <c r="D272" s="374">
        <v>1101110024698</v>
      </c>
      <c r="E272" s="372" t="s">
        <v>2539</v>
      </c>
      <c r="F272" s="375" t="s">
        <v>821</v>
      </c>
      <c r="G272" s="375" t="s">
        <v>822</v>
      </c>
      <c r="H272" s="375" t="s">
        <v>823</v>
      </c>
      <c r="I272" s="375" t="s">
        <v>751</v>
      </c>
      <c r="J272" s="375">
        <v>2759900.0472800001</v>
      </c>
      <c r="K272" s="375">
        <v>-60453.553480000002</v>
      </c>
      <c r="L272" s="375">
        <v>-46586.263350000001</v>
      </c>
      <c r="M272" s="375">
        <v>1790712.42936</v>
      </c>
      <c r="N272" s="372">
        <v>0.96199999999999997</v>
      </c>
      <c r="O272" s="704">
        <v>28.210308434137133</v>
      </c>
      <c r="P272" s="375" t="s">
        <v>619</v>
      </c>
      <c r="Q272" s="375" t="s">
        <v>619</v>
      </c>
      <c r="R272" s="696">
        <v>19990811</v>
      </c>
      <c r="S272" s="375" t="s">
        <v>2540</v>
      </c>
      <c r="T272" s="697" t="s">
        <v>768</v>
      </c>
      <c r="U272" s="375" t="s">
        <v>2541</v>
      </c>
      <c r="V272" s="722">
        <v>7.33</v>
      </c>
      <c r="W272" s="722">
        <v>0.42</v>
      </c>
      <c r="X272" s="722">
        <v>0.27</v>
      </c>
      <c r="Y272" s="722" t="s">
        <v>770</v>
      </c>
      <c r="Z272" s="382">
        <v>6.1455531051092249E-2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28091</v>
      </c>
      <c r="AF272" s="372">
        <v>29788.25</v>
      </c>
      <c r="AG272" s="372">
        <v>31735.29</v>
      </c>
      <c r="AH272" s="372">
        <v>0</v>
      </c>
    </row>
    <row r="273" spans="1:34">
      <c r="A273" s="372" t="s">
        <v>2542</v>
      </c>
      <c r="B273" s="373" t="s">
        <v>2543</v>
      </c>
      <c r="C273" s="372" t="s">
        <v>2544</v>
      </c>
      <c r="D273" s="374">
        <v>1101110004690</v>
      </c>
      <c r="E273" s="372" t="s">
        <v>2545</v>
      </c>
      <c r="F273" s="375" t="s">
        <v>2100</v>
      </c>
      <c r="G273" s="375" t="s">
        <v>2100</v>
      </c>
      <c r="H273" s="375" t="s">
        <v>852</v>
      </c>
      <c r="I273" s="375" t="s">
        <v>751</v>
      </c>
      <c r="J273" s="375">
        <v>3101313.19264</v>
      </c>
      <c r="K273" s="375">
        <v>481327.62433000002</v>
      </c>
      <c r="L273" s="375">
        <v>476666.18475000001</v>
      </c>
      <c r="M273" s="375">
        <v>4565878.3042000001</v>
      </c>
      <c r="N273" s="372">
        <v>0.55600000000000005</v>
      </c>
      <c r="O273" s="704">
        <v>13.924012816613343</v>
      </c>
      <c r="P273" s="375" t="s">
        <v>619</v>
      </c>
      <c r="Q273" s="372" t="s">
        <v>619</v>
      </c>
      <c r="R273" s="696">
        <v>19750627</v>
      </c>
      <c r="S273" s="372" t="s">
        <v>2546</v>
      </c>
      <c r="T273" s="697">
        <v>0.26400000000000001</v>
      </c>
      <c r="U273" s="375" t="s">
        <v>2547</v>
      </c>
      <c r="V273" s="722">
        <v>4.46</v>
      </c>
      <c r="W273" s="722">
        <v>0.44</v>
      </c>
      <c r="X273" s="722">
        <v>0.32</v>
      </c>
      <c r="Y273" s="722">
        <v>8.48</v>
      </c>
      <c r="Z273" s="382">
        <v>6.5911626829021186E-2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32631.8</v>
      </c>
      <c r="AF273" s="372">
        <v>36991.5</v>
      </c>
      <c r="AG273" s="372">
        <v>38130</v>
      </c>
      <c r="AH273" s="372">
        <v>0</v>
      </c>
    </row>
    <row r="274" spans="1:34">
      <c r="A274" s="372" t="s">
        <v>2548</v>
      </c>
      <c r="B274" s="373" t="s">
        <v>2549</v>
      </c>
      <c r="C274" s="372" t="s">
        <v>2550</v>
      </c>
      <c r="D274" s="374">
        <v>1712110000958</v>
      </c>
      <c r="E274" s="372" t="s">
        <v>2551</v>
      </c>
      <c r="F274" s="375" t="s">
        <v>877</v>
      </c>
      <c r="G274" s="375" t="s">
        <v>877</v>
      </c>
      <c r="H274" s="375" t="s">
        <v>789</v>
      </c>
      <c r="I274" s="375" t="s">
        <v>751</v>
      </c>
      <c r="J274" s="375">
        <v>1624960.6557499999</v>
      </c>
      <c r="K274" s="375">
        <v>167520.04758000001</v>
      </c>
      <c r="L274" s="375">
        <v>157472.23108</v>
      </c>
      <c r="M274" s="375">
        <v>632300.76466999995</v>
      </c>
      <c r="N274" s="372">
        <v>1.2210000000000001</v>
      </c>
      <c r="O274" s="704">
        <v>38.922741020817092</v>
      </c>
      <c r="P274" s="375" t="s">
        <v>619</v>
      </c>
      <c r="Q274" s="375" t="s">
        <v>619</v>
      </c>
      <c r="R274" s="696">
        <v>20201207</v>
      </c>
      <c r="S274" s="375" t="s">
        <v>2552</v>
      </c>
      <c r="T274" s="697">
        <v>0.23100000000000001</v>
      </c>
      <c r="U274" s="375" t="s">
        <v>2553</v>
      </c>
      <c r="V274" s="722">
        <v>3.25</v>
      </c>
      <c r="W274" s="722">
        <v>1.08</v>
      </c>
      <c r="X274" s="722">
        <v>0.42</v>
      </c>
      <c r="Y274" s="722">
        <v>5.77</v>
      </c>
      <c r="Z274" s="382">
        <v>7.5475034480743108E-3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16720</v>
      </c>
      <c r="AF274" s="372">
        <v>17660</v>
      </c>
      <c r="AG274" s="372">
        <v>17920</v>
      </c>
      <c r="AH274" s="372">
        <v>0</v>
      </c>
    </row>
    <row r="275" spans="1:34">
      <c r="A275" s="372" t="s">
        <v>2554</v>
      </c>
      <c r="B275" s="373" t="s">
        <v>2555</v>
      </c>
      <c r="C275" s="372" t="s">
        <v>2556</v>
      </c>
      <c r="D275" s="374">
        <v>1101110012560</v>
      </c>
      <c r="E275" s="372" t="s">
        <v>2557</v>
      </c>
      <c r="F275" s="375" t="s">
        <v>1246</v>
      </c>
      <c r="G275" s="375" t="s">
        <v>1246</v>
      </c>
      <c r="H275" s="375" t="s">
        <v>781</v>
      </c>
      <c r="I275" s="375" t="s">
        <v>751</v>
      </c>
      <c r="J275" s="375">
        <v>991429.63427000004</v>
      </c>
      <c r="K275" s="375">
        <v>70697.529699999999</v>
      </c>
      <c r="L275" s="375">
        <v>56628.014479999998</v>
      </c>
      <c r="M275" s="375">
        <v>599063.35774999997</v>
      </c>
      <c r="N275" s="372">
        <v>0.90900000000000003</v>
      </c>
      <c r="O275" s="704">
        <v>25.351801986891232</v>
      </c>
      <c r="P275" s="375" t="s">
        <v>619</v>
      </c>
      <c r="Q275" s="372" t="s">
        <v>619</v>
      </c>
      <c r="R275" s="696">
        <v>19881024</v>
      </c>
      <c r="S275" s="375" t="s">
        <v>2558</v>
      </c>
      <c r="T275" s="697">
        <v>0.23100000000000001</v>
      </c>
      <c r="U275" s="375" t="s">
        <v>2559</v>
      </c>
      <c r="V275" s="722">
        <v>7.78</v>
      </c>
      <c r="W275" s="722">
        <v>1.19</v>
      </c>
      <c r="X275" s="722">
        <v>0.75</v>
      </c>
      <c r="Y275" s="722">
        <v>11.99</v>
      </c>
      <c r="Z275" s="382">
        <v>0.10090504369196873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10383.25</v>
      </c>
      <c r="AF275" s="372">
        <v>11519.25</v>
      </c>
      <c r="AG275" s="372">
        <v>12627.25</v>
      </c>
      <c r="AH275" s="372">
        <v>0</v>
      </c>
    </row>
    <row r="276" spans="1:34">
      <c r="A276" s="372" t="s">
        <v>2560</v>
      </c>
      <c r="B276" s="373" t="s">
        <v>2561</v>
      </c>
      <c r="C276" s="372" t="s">
        <v>2562</v>
      </c>
      <c r="D276" s="374">
        <v>1101110562804</v>
      </c>
      <c r="E276" s="372" t="s">
        <v>2563</v>
      </c>
      <c r="F276" s="375" t="s">
        <v>1086</v>
      </c>
      <c r="G276" s="375" t="s">
        <v>1086</v>
      </c>
      <c r="H276" s="375" t="s">
        <v>906</v>
      </c>
      <c r="I276" s="375" t="s">
        <v>751</v>
      </c>
      <c r="J276" s="375">
        <v>8249950.5549299996</v>
      </c>
      <c r="K276" s="375">
        <v>359448.89539999998</v>
      </c>
      <c r="L276" s="375">
        <v>90952.851729999995</v>
      </c>
      <c r="M276" s="375">
        <v>675721.02382</v>
      </c>
      <c r="N276" s="372">
        <v>0.73499999999999999</v>
      </c>
      <c r="O276" s="704">
        <v>897.86190832085299</v>
      </c>
      <c r="P276" s="375" t="s">
        <v>619</v>
      </c>
      <c r="Q276" s="372" t="s">
        <v>619</v>
      </c>
      <c r="R276" s="696">
        <v>19991222</v>
      </c>
      <c r="S276" s="372" t="s">
        <v>2564</v>
      </c>
      <c r="T276" s="697">
        <v>0.23100000000000001</v>
      </c>
      <c r="U276" s="375" t="s">
        <v>2565</v>
      </c>
      <c r="V276" s="722">
        <v>4.08</v>
      </c>
      <c r="W276" s="722">
        <v>1.36</v>
      </c>
      <c r="X276" s="722">
        <v>0.09</v>
      </c>
      <c r="Y276" s="722">
        <v>7.97</v>
      </c>
      <c r="Z276" s="382">
        <v>2.2286581583146114E-2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81950</v>
      </c>
      <c r="AF276" s="372">
        <v>83660</v>
      </c>
      <c r="AG276" s="372">
        <v>83260</v>
      </c>
      <c r="AH276" s="372">
        <v>0</v>
      </c>
    </row>
    <row r="277" spans="1:34">
      <c r="A277" s="372" t="s">
        <v>2566</v>
      </c>
      <c r="B277" s="373" t="s">
        <v>2567</v>
      </c>
      <c r="C277" s="372" t="s">
        <v>2568</v>
      </c>
      <c r="D277" s="374">
        <v>1615110027883</v>
      </c>
      <c r="E277" s="372" t="s">
        <v>2569</v>
      </c>
      <c r="F277" s="375" t="s">
        <v>1273</v>
      </c>
      <c r="G277" s="375" t="s">
        <v>1273</v>
      </c>
      <c r="H277" s="375" t="s">
        <v>750</v>
      </c>
      <c r="I277" s="375" t="s">
        <v>751</v>
      </c>
      <c r="J277" s="375">
        <v>1128275.12482</v>
      </c>
      <c r="K277" s="375">
        <v>29267.877649999999</v>
      </c>
      <c r="L277" s="375">
        <v>28932.20047</v>
      </c>
      <c r="M277" s="375">
        <v>495602.91505000001</v>
      </c>
      <c r="N277" s="372">
        <v>0.88800000000000001</v>
      </c>
      <c r="O277" s="704">
        <v>37.928016039320291</v>
      </c>
      <c r="P277" s="375" t="s">
        <v>619</v>
      </c>
      <c r="Q277" s="375" t="s">
        <v>619</v>
      </c>
      <c r="R277" s="696">
        <v>20190314</v>
      </c>
      <c r="S277" s="375" t="s">
        <v>2570</v>
      </c>
      <c r="T277" s="697">
        <v>0.23100000000000001</v>
      </c>
      <c r="U277" s="375" t="s">
        <v>2571</v>
      </c>
      <c r="V277" s="722">
        <v>9.32</v>
      </c>
      <c r="W277" s="722">
        <v>1.47</v>
      </c>
      <c r="X277" s="722">
        <v>0.52</v>
      </c>
      <c r="Y277" s="722">
        <v>52.39</v>
      </c>
      <c r="Z277" s="382">
        <v>8.9556346578303803E-2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11073.8</v>
      </c>
      <c r="AF277" s="372">
        <v>12777</v>
      </c>
      <c r="AG277" s="372">
        <v>14521</v>
      </c>
      <c r="AH277" s="372">
        <v>0</v>
      </c>
    </row>
    <row r="278" spans="1:34">
      <c r="A278" s="372" t="s">
        <v>2572</v>
      </c>
      <c r="B278" s="373" t="s">
        <v>2573</v>
      </c>
      <c r="C278" s="372" t="s">
        <v>2574</v>
      </c>
      <c r="D278" s="374">
        <v>1101110118996</v>
      </c>
      <c r="E278" s="372" t="s">
        <v>2575</v>
      </c>
      <c r="F278" s="372" t="s">
        <v>890</v>
      </c>
      <c r="G278" s="375" t="s">
        <v>891</v>
      </c>
      <c r="H278" s="375" t="s">
        <v>852</v>
      </c>
      <c r="I278" s="375" t="s">
        <v>751</v>
      </c>
      <c r="J278" s="375">
        <v>3667084.8456799998</v>
      </c>
      <c r="K278" s="375">
        <v>236195.16868</v>
      </c>
      <c r="L278" s="375">
        <v>217928.56408000001</v>
      </c>
      <c r="M278" s="375">
        <v>2534982.5945600001</v>
      </c>
      <c r="N278" s="372">
        <v>0.78</v>
      </c>
      <c r="O278" s="704">
        <v>250.69008374238265</v>
      </c>
      <c r="P278" s="375" t="s">
        <v>619</v>
      </c>
      <c r="Q278" s="375" t="s">
        <v>619</v>
      </c>
      <c r="R278" s="696">
        <v>19690513</v>
      </c>
      <c r="S278" s="375" t="s">
        <v>2576</v>
      </c>
      <c r="T278" s="697">
        <v>0.23100000000000001</v>
      </c>
      <c r="U278" s="375" t="s">
        <v>15838</v>
      </c>
      <c r="V278" s="722">
        <v>8.01</v>
      </c>
      <c r="W278" s="722">
        <v>0.38</v>
      </c>
      <c r="X278" s="722">
        <v>0.2</v>
      </c>
      <c r="Y278" s="722">
        <v>8.19</v>
      </c>
      <c r="Z278" s="382">
        <v>7.6829738740269438E-3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36420</v>
      </c>
      <c r="AF278" s="372">
        <v>37280</v>
      </c>
      <c r="AG278" s="372">
        <v>40350</v>
      </c>
      <c r="AH278" s="372">
        <v>0</v>
      </c>
    </row>
    <row r="279" spans="1:34">
      <c r="A279" s="372" t="s">
        <v>2577</v>
      </c>
      <c r="B279" s="373" t="s">
        <v>2578</v>
      </c>
      <c r="C279" s="372" t="s">
        <v>2579</v>
      </c>
      <c r="D279" s="374">
        <v>1942110223694</v>
      </c>
      <c r="E279" s="372" t="s">
        <v>2580</v>
      </c>
      <c r="F279" s="375" t="s">
        <v>1272</v>
      </c>
      <c r="G279" s="375" t="s">
        <v>1272</v>
      </c>
      <c r="H279" s="375" t="s">
        <v>750</v>
      </c>
      <c r="I279" s="375" t="s">
        <v>751</v>
      </c>
      <c r="J279" s="375">
        <v>602938.69235000003</v>
      </c>
      <c r="K279" s="375">
        <v>66939.456200000001</v>
      </c>
      <c r="L279" s="375">
        <v>64252.753400000001</v>
      </c>
      <c r="M279" s="375">
        <v>546462.04735999997</v>
      </c>
      <c r="N279" s="372">
        <v>1.2769999999999999</v>
      </c>
      <c r="O279" s="704">
        <v>20.144645302897281</v>
      </c>
      <c r="P279" s="375" t="s">
        <v>619</v>
      </c>
      <c r="Q279" s="375" t="s">
        <v>619</v>
      </c>
      <c r="R279" s="696">
        <v>20160624</v>
      </c>
      <c r="S279" s="375" t="s">
        <v>2581</v>
      </c>
      <c r="T279" s="697">
        <v>0.23100000000000001</v>
      </c>
      <c r="U279" s="375" t="s">
        <v>2582</v>
      </c>
      <c r="V279" s="722">
        <v>4.38</v>
      </c>
      <c r="W279" s="722">
        <v>0.91</v>
      </c>
      <c r="X279" s="722">
        <v>0.83</v>
      </c>
      <c r="Y279" s="722">
        <v>8.76</v>
      </c>
      <c r="Z279" s="382">
        <v>3.3755381913141536E-2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6286.75</v>
      </c>
      <c r="AF279" s="372">
        <v>6975</v>
      </c>
      <c r="AG279" s="372">
        <v>7677.13</v>
      </c>
      <c r="AH279" s="372">
        <v>0</v>
      </c>
    </row>
    <row r="280" spans="1:34">
      <c r="A280" s="372" t="s">
        <v>2583</v>
      </c>
      <c r="B280" s="373" t="s">
        <v>2584</v>
      </c>
      <c r="C280" s="372" t="s">
        <v>2585</v>
      </c>
      <c r="D280" s="374">
        <v>1101113229097</v>
      </c>
      <c r="E280" s="372" t="s">
        <v>2586</v>
      </c>
      <c r="F280" s="372" t="s">
        <v>1693</v>
      </c>
      <c r="G280" s="375" t="s">
        <v>1693</v>
      </c>
      <c r="H280" s="375" t="s">
        <v>814</v>
      </c>
      <c r="I280" s="375" t="s">
        <v>751</v>
      </c>
      <c r="J280" s="375">
        <v>2160571.0589700001</v>
      </c>
      <c r="K280" s="375">
        <v>161281.53662999999</v>
      </c>
      <c r="L280" s="375">
        <v>164381.40792999999</v>
      </c>
      <c r="M280" s="375">
        <v>974922.76632000005</v>
      </c>
      <c r="N280" s="372">
        <v>0.60899999999999999</v>
      </c>
      <c r="O280" s="704">
        <v>31.488248233215543</v>
      </c>
      <c r="P280" s="375" t="s">
        <v>619</v>
      </c>
      <c r="Q280" s="375" t="s">
        <v>619</v>
      </c>
      <c r="R280" s="696">
        <v>20150717</v>
      </c>
      <c r="S280" s="375" t="s">
        <v>2587</v>
      </c>
      <c r="T280" s="697">
        <v>0.23100000000000001</v>
      </c>
      <c r="U280" s="372" t="s">
        <v>2588</v>
      </c>
      <c r="V280" s="722">
        <v>3.62</v>
      </c>
      <c r="W280" s="722">
        <v>0.81</v>
      </c>
      <c r="X280" s="722">
        <v>0.35</v>
      </c>
      <c r="Y280" s="722">
        <v>8.5299999999999994</v>
      </c>
      <c r="Z280" s="382">
        <v>3.2180483612087807E-2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21581.73</v>
      </c>
      <c r="AF280" s="372">
        <v>22839.360000000001</v>
      </c>
      <c r="AG280" s="372">
        <v>23755.8</v>
      </c>
      <c r="AH280" s="372">
        <v>0</v>
      </c>
    </row>
    <row r="281" spans="1:34">
      <c r="A281" s="372" t="s">
        <v>2589</v>
      </c>
      <c r="B281" s="373" t="s">
        <v>2590</v>
      </c>
      <c r="C281" s="372" t="s">
        <v>2591</v>
      </c>
      <c r="D281" s="374">
        <v>1845110000642</v>
      </c>
      <c r="E281" s="372" t="s">
        <v>2592</v>
      </c>
      <c r="F281" s="372" t="s">
        <v>16097</v>
      </c>
      <c r="G281" s="375" t="s">
        <v>16100</v>
      </c>
      <c r="H281" s="375" t="s">
        <v>750</v>
      </c>
      <c r="I281" s="375" t="s">
        <v>751</v>
      </c>
      <c r="J281" s="375">
        <v>3320920.3839599998</v>
      </c>
      <c r="K281" s="375">
        <v>514088.47522999998</v>
      </c>
      <c r="L281" s="375">
        <v>417721.53391</v>
      </c>
      <c r="M281" s="375">
        <v>2057132.5493300001</v>
      </c>
      <c r="N281" s="372">
        <v>0.41599999999999998</v>
      </c>
      <c r="O281" s="704">
        <v>195.089665456722</v>
      </c>
      <c r="P281" s="375" t="s">
        <v>619</v>
      </c>
      <c r="Q281" s="375" t="s">
        <v>619</v>
      </c>
      <c r="R281" s="696">
        <v>19880924</v>
      </c>
      <c r="S281" s="375" t="s">
        <v>2593</v>
      </c>
      <c r="T281" s="697">
        <v>0.26400000000000001</v>
      </c>
      <c r="U281" s="375" t="s">
        <v>15839</v>
      </c>
      <c r="V281" s="722">
        <v>4.88</v>
      </c>
      <c r="W281" s="722">
        <v>3.64</v>
      </c>
      <c r="X281" s="722">
        <v>1.56</v>
      </c>
      <c r="Y281" s="722">
        <v>17.23</v>
      </c>
      <c r="Z281" s="382" t="s">
        <v>924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2594</v>
      </c>
      <c r="B282" s="373" t="s">
        <v>2595</v>
      </c>
      <c r="C282" s="372" t="s">
        <v>2596</v>
      </c>
      <c r="D282" s="374">
        <v>1511110031157</v>
      </c>
      <c r="E282" s="372" t="s">
        <v>2597</v>
      </c>
      <c r="F282" s="375" t="s">
        <v>1300</v>
      </c>
      <c r="G282" s="375" t="s">
        <v>1300</v>
      </c>
      <c r="H282" s="375" t="s">
        <v>858</v>
      </c>
      <c r="I282" s="375" t="s">
        <v>859</v>
      </c>
      <c r="J282" s="375">
        <v>152269.40547999999</v>
      </c>
      <c r="K282" s="375">
        <v>-36857.165090000002</v>
      </c>
      <c r="L282" s="375">
        <v>-72642.687189999997</v>
      </c>
      <c r="M282" s="375">
        <v>296437.77873000002</v>
      </c>
      <c r="N282" s="372">
        <v>1.2729999999999999</v>
      </c>
      <c r="O282" s="704">
        <v>101.36236015302811</v>
      </c>
      <c r="P282" s="375" t="s">
        <v>619</v>
      </c>
      <c r="Q282" s="375" t="s">
        <v>619</v>
      </c>
      <c r="R282" s="696">
        <v>20190211</v>
      </c>
      <c r="S282" s="375" t="s">
        <v>2598</v>
      </c>
      <c r="T282" s="697" t="s">
        <v>768</v>
      </c>
      <c r="U282" s="375" t="s">
        <v>2599</v>
      </c>
      <c r="V282" s="722" t="s">
        <v>770</v>
      </c>
      <c r="W282" s="722">
        <v>2.41</v>
      </c>
      <c r="X282" s="722">
        <v>3.97</v>
      </c>
      <c r="Y282" s="722" t="s">
        <v>770</v>
      </c>
      <c r="Z282" s="382">
        <v>0.2114650463000145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1613</v>
      </c>
      <c r="AF282" s="372">
        <v>2531</v>
      </c>
      <c r="AG282" s="372">
        <v>3935.29</v>
      </c>
      <c r="AH282" s="372">
        <v>4389</v>
      </c>
    </row>
    <row r="283" spans="1:34">
      <c r="A283" s="372" t="s">
        <v>2600</v>
      </c>
      <c r="B283" s="373" t="s">
        <v>2601</v>
      </c>
      <c r="C283" s="372" t="s">
        <v>2602</v>
      </c>
      <c r="D283" s="374">
        <v>2101110086548</v>
      </c>
      <c r="E283" s="372" t="s">
        <v>2603</v>
      </c>
      <c r="F283" s="372" t="s">
        <v>2604</v>
      </c>
      <c r="G283" s="375" t="s">
        <v>2604</v>
      </c>
      <c r="H283" s="375" t="s">
        <v>789</v>
      </c>
      <c r="I283" s="375" t="s">
        <v>751</v>
      </c>
      <c r="J283" s="375">
        <v>71576.495160000006</v>
      </c>
      <c r="K283" s="375">
        <v>-9825.0630999999994</v>
      </c>
      <c r="L283" s="375">
        <v>3.9061400000000002</v>
      </c>
      <c r="M283" s="375">
        <v>317112.68628000002</v>
      </c>
      <c r="N283" s="372">
        <v>1.0920000000000001</v>
      </c>
      <c r="O283" s="704">
        <v>3.1065318401490193E-2</v>
      </c>
      <c r="P283" s="375" t="s">
        <v>619</v>
      </c>
      <c r="Q283" s="375" t="s">
        <v>619</v>
      </c>
      <c r="R283" s="696">
        <v>20210901</v>
      </c>
      <c r="S283" s="375" t="s">
        <v>2605</v>
      </c>
      <c r="T283" s="697">
        <v>9.9000000000000005E-2</v>
      </c>
      <c r="U283" s="375" t="s">
        <v>2606</v>
      </c>
      <c r="V283" s="722">
        <v>0</v>
      </c>
      <c r="W283" s="722">
        <v>0</v>
      </c>
      <c r="X283" s="722">
        <v>0</v>
      </c>
      <c r="Y283" s="722">
        <v>0</v>
      </c>
      <c r="Z283" s="382" t="s">
        <v>924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2607</v>
      </c>
      <c r="B284" s="373" t="s">
        <v>2608</v>
      </c>
      <c r="C284" s="372" t="s">
        <v>2609</v>
      </c>
      <c r="D284" s="374">
        <v>1101112611906</v>
      </c>
      <c r="E284" s="372" t="s">
        <v>2610</v>
      </c>
      <c r="F284" s="375" t="s">
        <v>1761</v>
      </c>
      <c r="G284" s="375" t="s">
        <v>2235</v>
      </c>
      <c r="H284" s="375" t="s">
        <v>823</v>
      </c>
      <c r="I284" s="375" t="s">
        <v>751</v>
      </c>
      <c r="J284" s="375">
        <v>1097506.2034700001</v>
      </c>
      <c r="K284" s="375">
        <v>71019.619959999996</v>
      </c>
      <c r="L284" s="375">
        <v>101979.24875</v>
      </c>
      <c r="M284" s="375">
        <v>869340.56475999998</v>
      </c>
      <c r="N284" s="372">
        <v>0.73</v>
      </c>
      <c r="O284" s="704">
        <v>3.6207459837873643</v>
      </c>
      <c r="P284" s="375" t="s">
        <v>619</v>
      </c>
      <c r="Q284" s="372" t="s">
        <v>619</v>
      </c>
      <c r="R284" s="696">
        <v>20021007</v>
      </c>
      <c r="S284" s="372" t="s">
        <v>2611</v>
      </c>
      <c r="T284" s="697">
        <v>0.23100000000000001</v>
      </c>
      <c r="U284" s="372" t="s">
        <v>15840</v>
      </c>
      <c r="V284" s="722">
        <v>7.26</v>
      </c>
      <c r="W284" s="722">
        <v>0.85</v>
      </c>
      <c r="X284" s="722">
        <v>0.72</v>
      </c>
      <c r="Y284" s="722">
        <v>8.75</v>
      </c>
      <c r="Z284" s="382">
        <v>6.7064351986503734E-2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11945.8</v>
      </c>
      <c r="AF284" s="372">
        <v>13069.8</v>
      </c>
      <c r="AG284" s="372">
        <v>13647.8</v>
      </c>
      <c r="AH284" s="372">
        <v>0</v>
      </c>
    </row>
    <row r="285" spans="1:34">
      <c r="A285" s="372" t="s">
        <v>2612</v>
      </c>
      <c r="B285" s="373" t="s">
        <v>2613</v>
      </c>
      <c r="C285" s="372" t="s">
        <v>2614</v>
      </c>
      <c r="D285" s="374">
        <v>1752110017454</v>
      </c>
      <c r="E285" s="372" t="s">
        <v>2615</v>
      </c>
      <c r="F285" s="375" t="s">
        <v>2423</v>
      </c>
      <c r="G285" s="375" t="s">
        <v>2424</v>
      </c>
      <c r="H285" s="375" t="s">
        <v>858</v>
      </c>
      <c r="I285" s="375" t="s">
        <v>859</v>
      </c>
      <c r="J285" s="375">
        <v>874544.92429999996</v>
      </c>
      <c r="K285" s="375">
        <v>132574.06896</v>
      </c>
      <c r="L285" s="375">
        <v>130258.54359</v>
      </c>
      <c r="M285" s="375">
        <v>543963.90500999999</v>
      </c>
      <c r="N285" s="372">
        <v>1.024</v>
      </c>
      <c r="O285" s="704">
        <v>12.901170833333056</v>
      </c>
      <c r="P285" s="375" t="s">
        <v>619</v>
      </c>
      <c r="Q285" s="372" t="s">
        <v>619</v>
      </c>
      <c r="R285" s="696">
        <v>20120706</v>
      </c>
      <c r="S285" s="375" t="s">
        <v>2616</v>
      </c>
      <c r="T285" s="697">
        <v>0.23100000000000001</v>
      </c>
      <c r="U285" s="375" t="s">
        <v>2617</v>
      </c>
      <c r="V285" s="722">
        <v>10.39</v>
      </c>
      <c r="W285" s="722">
        <v>2.67</v>
      </c>
      <c r="X285" s="722">
        <v>1.65</v>
      </c>
      <c r="Y285" s="722">
        <v>14.16</v>
      </c>
      <c r="Z285" s="382">
        <v>0.36184175062764945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9593</v>
      </c>
      <c r="AF285" s="372">
        <v>14151</v>
      </c>
      <c r="AG285" s="372">
        <v>18760</v>
      </c>
      <c r="AH285" s="372">
        <v>0</v>
      </c>
    </row>
    <row r="286" spans="1:34">
      <c r="A286" s="372" t="s">
        <v>2618</v>
      </c>
      <c r="B286" s="373" t="s">
        <v>2619</v>
      </c>
      <c r="C286" s="372" t="s">
        <v>2620</v>
      </c>
      <c r="D286" s="374">
        <v>1101110610083</v>
      </c>
      <c r="E286" s="372" t="s">
        <v>2621</v>
      </c>
      <c r="F286" s="375" t="s">
        <v>2622</v>
      </c>
      <c r="G286" s="375" t="s">
        <v>2623</v>
      </c>
      <c r="H286" s="375" t="s">
        <v>1334</v>
      </c>
      <c r="I286" s="375" t="s">
        <v>859</v>
      </c>
      <c r="J286" s="375">
        <v>532001.54501999996</v>
      </c>
      <c r="K286" s="375">
        <v>103261.55048999999</v>
      </c>
      <c r="L286" s="375">
        <v>95676.496100000004</v>
      </c>
      <c r="M286" s="375">
        <v>1491368.24657</v>
      </c>
      <c r="N286" s="372">
        <v>1.43</v>
      </c>
      <c r="O286" s="704">
        <v>22.28218985658134</v>
      </c>
      <c r="P286" s="375" t="s">
        <v>619</v>
      </c>
      <c r="Q286" s="375" t="s">
        <v>619</v>
      </c>
      <c r="R286" s="696">
        <v>20000114</v>
      </c>
      <c r="S286" s="375" t="s">
        <v>2624</v>
      </c>
      <c r="T286" s="697">
        <v>0.23100000000000001</v>
      </c>
      <c r="U286" s="375" t="s">
        <v>1688</v>
      </c>
      <c r="V286" s="722">
        <v>9.59</v>
      </c>
      <c r="W286" s="722">
        <v>0.88</v>
      </c>
      <c r="X286" s="722">
        <v>2.21</v>
      </c>
      <c r="Y286" s="722">
        <v>14.83</v>
      </c>
      <c r="Z286" s="382" t="s">
        <v>924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2625</v>
      </c>
      <c r="B287" s="373" t="s">
        <v>2626</v>
      </c>
      <c r="C287" s="372" t="s">
        <v>2627</v>
      </c>
      <c r="D287" s="374">
        <v>1101110003155</v>
      </c>
      <c r="E287" s="372" t="s">
        <v>2628</v>
      </c>
      <c r="F287" s="375" t="s">
        <v>1259</v>
      </c>
      <c r="G287" s="375" t="s">
        <v>1260</v>
      </c>
      <c r="H287" s="375" t="s">
        <v>1261</v>
      </c>
      <c r="I287" s="375" t="s">
        <v>751</v>
      </c>
      <c r="J287" s="375">
        <v>255362.16198999999</v>
      </c>
      <c r="K287" s="375">
        <v>-11486.578820000001</v>
      </c>
      <c r="L287" s="375">
        <v>66930.146869999997</v>
      </c>
      <c r="M287" s="375">
        <v>1655481.1072800001</v>
      </c>
      <c r="N287" s="372">
        <v>1.0189999999999999</v>
      </c>
      <c r="O287" s="704">
        <v>920.75934097114589</v>
      </c>
      <c r="P287" s="375" t="s">
        <v>619</v>
      </c>
      <c r="Q287" s="375" t="s">
        <v>619</v>
      </c>
      <c r="R287" s="696">
        <v>19861125</v>
      </c>
      <c r="S287" s="375" t="s">
        <v>2629</v>
      </c>
      <c r="T287" s="697">
        <v>0.23100000000000001</v>
      </c>
      <c r="U287" s="375" t="s">
        <v>2630</v>
      </c>
      <c r="V287" s="722">
        <v>0</v>
      </c>
      <c r="W287" s="722">
        <v>0.44</v>
      </c>
      <c r="X287" s="722">
        <v>0.36</v>
      </c>
      <c r="Y287" s="722">
        <v>15.37</v>
      </c>
      <c r="Z287" s="382" t="s">
        <v>924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2631</v>
      </c>
      <c r="B288" s="373" t="s">
        <v>2632</v>
      </c>
      <c r="C288" s="372" t="s">
        <v>2633</v>
      </c>
      <c r="D288" s="374">
        <v>1601110003931</v>
      </c>
      <c r="E288" s="372" t="s">
        <v>2634</v>
      </c>
      <c r="F288" s="375" t="s">
        <v>890</v>
      </c>
      <c r="G288" s="375" t="s">
        <v>891</v>
      </c>
      <c r="H288" s="375" t="s">
        <v>892</v>
      </c>
      <c r="I288" s="375" t="s">
        <v>859</v>
      </c>
      <c r="J288" s="375">
        <v>11728740.76402</v>
      </c>
      <c r="K288" s="375">
        <v>677859.76858999999</v>
      </c>
      <c r="L288" s="375">
        <v>390852.30219000002</v>
      </c>
      <c r="M288" s="375">
        <v>5524362</v>
      </c>
      <c r="N288" s="372">
        <v>1.06</v>
      </c>
      <c r="O288" s="704">
        <v>1466.4326961160546</v>
      </c>
      <c r="P288" s="375" t="s">
        <v>619</v>
      </c>
      <c r="Q288" s="375" t="s">
        <v>619</v>
      </c>
      <c r="R288" s="696">
        <v>19960701</v>
      </c>
      <c r="S288" s="375" t="s">
        <v>2635</v>
      </c>
      <c r="T288" s="697">
        <v>0.26400000000000001</v>
      </c>
      <c r="U288" s="375" t="s">
        <v>2636</v>
      </c>
      <c r="V288" s="722">
        <v>6.75</v>
      </c>
      <c r="W288" s="722">
        <v>0.22</v>
      </c>
      <c r="X288" s="722">
        <v>0.05</v>
      </c>
      <c r="Y288" s="722">
        <v>5.27</v>
      </c>
      <c r="Z288" s="382">
        <v>-1.2742149665890823E-3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116080</v>
      </c>
      <c r="AF288" s="372">
        <v>117270</v>
      </c>
      <c r="AG288" s="372">
        <v>120010</v>
      </c>
      <c r="AH288" s="372">
        <v>0</v>
      </c>
    </row>
    <row r="289" spans="1:34">
      <c r="A289" s="372" t="s">
        <v>2637</v>
      </c>
      <c r="B289" s="373" t="s">
        <v>2638</v>
      </c>
      <c r="C289" s="372" t="s">
        <v>2639</v>
      </c>
      <c r="D289" s="374">
        <v>1101111516397</v>
      </c>
      <c r="E289" s="372" t="s">
        <v>2640</v>
      </c>
      <c r="F289" s="375" t="s">
        <v>1072</v>
      </c>
      <c r="G289" s="375" t="s">
        <v>1527</v>
      </c>
      <c r="H289" s="375" t="s">
        <v>1528</v>
      </c>
      <c r="I289" s="375" t="s">
        <v>859</v>
      </c>
      <c r="J289" s="375">
        <v>370267.92376999999</v>
      </c>
      <c r="K289" s="375">
        <v>-18421.41445</v>
      </c>
      <c r="L289" s="375">
        <v>8102.5640899999999</v>
      </c>
      <c r="M289" s="375">
        <v>580087.65700999997</v>
      </c>
      <c r="N289" s="372">
        <v>0.81299999999999994</v>
      </c>
      <c r="O289" s="704">
        <v>2.6900844167363909</v>
      </c>
      <c r="P289" s="375" t="s">
        <v>619</v>
      </c>
      <c r="Q289" s="375" t="s">
        <v>619</v>
      </c>
      <c r="R289" s="696">
        <v>20111123</v>
      </c>
      <c r="S289" s="375" t="s">
        <v>2641</v>
      </c>
      <c r="T289" s="697">
        <v>0.20900000000000002</v>
      </c>
      <c r="U289" s="375" t="s">
        <v>2642</v>
      </c>
      <c r="V289" s="722">
        <v>63.07</v>
      </c>
      <c r="W289" s="722">
        <v>1.49</v>
      </c>
      <c r="X289" s="722">
        <v>1.88</v>
      </c>
      <c r="Y289" s="722">
        <v>278.04000000000002</v>
      </c>
      <c r="Z289" s="382">
        <v>2.0886599737135914E-2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3695.47</v>
      </c>
      <c r="AF289" s="372">
        <v>5467.47</v>
      </c>
      <c r="AG289" s="372">
        <v>6182.6</v>
      </c>
      <c r="AH289" s="372">
        <v>8570</v>
      </c>
    </row>
    <row r="290" spans="1:34">
      <c r="A290" s="372" t="s">
        <v>2643</v>
      </c>
      <c r="B290" s="373" t="s">
        <v>2644</v>
      </c>
      <c r="C290" s="372" t="s">
        <v>2645</v>
      </c>
      <c r="D290" s="374">
        <v>1101116799203</v>
      </c>
      <c r="E290" s="372" t="s">
        <v>2646</v>
      </c>
      <c r="F290" s="375" t="s">
        <v>2647</v>
      </c>
      <c r="G290" s="375" t="s">
        <v>2647</v>
      </c>
      <c r="H290" s="375" t="s">
        <v>1465</v>
      </c>
      <c r="I290" s="375" t="s">
        <v>751</v>
      </c>
      <c r="J290" s="375">
        <v>1792988.72575</v>
      </c>
      <c r="K290" s="375">
        <v>300541.01014999999</v>
      </c>
      <c r="L290" s="375">
        <v>288372.77127000003</v>
      </c>
      <c r="M290" s="375">
        <v>1831024.12622</v>
      </c>
      <c r="N290" s="372">
        <v>0.71699999999999997</v>
      </c>
      <c r="O290" s="704">
        <v>79.598319676181575</v>
      </c>
      <c r="P290" s="375" t="s">
        <v>619</v>
      </c>
      <c r="Q290" s="372" t="s">
        <v>619</v>
      </c>
      <c r="R290" s="696">
        <v>20180806</v>
      </c>
      <c r="S290" s="372" t="s">
        <v>2648</v>
      </c>
      <c r="T290" s="697">
        <v>0.23100000000000001</v>
      </c>
      <c r="U290" s="372" t="s">
        <v>2649</v>
      </c>
      <c r="V290" s="722">
        <v>4.05</v>
      </c>
      <c r="W290" s="722">
        <v>0.56000000000000005</v>
      </c>
      <c r="X290" s="722">
        <v>0.53</v>
      </c>
      <c r="Y290" s="722">
        <v>4.45</v>
      </c>
      <c r="Z290" s="382">
        <v>-1.7622209463160621E-3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18407</v>
      </c>
      <c r="AF290" s="372">
        <v>17419.75</v>
      </c>
      <c r="AG290" s="372">
        <v>17868.5</v>
      </c>
      <c r="AH290" s="372">
        <v>0</v>
      </c>
    </row>
    <row r="291" spans="1:34">
      <c r="A291" s="372" t="s">
        <v>2650</v>
      </c>
      <c r="B291" s="373" t="s">
        <v>2651</v>
      </c>
      <c r="C291" s="372" t="s">
        <v>2652</v>
      </c>
      <c r="D291" s="374">
        <v>1311110350139</v>
      </c>
      <c r="E291" s="372" t="s">
        <v>2652</v>
      </c>
      <c r="F291" s="372" t="s">
        <v>1003</v>
      </c>
      <c r="G291" s="375" t="s">
        <v>1212</v>
      </c>
      <c r="H291" s="375" t="s">
        <v>814</v>
      </c>
      <c r="I291" s="375" t="s">
        <v>751</v>
      </c>
      <c r="J291" s="375">
        <v>2410477.8701800001</v>
      </c>
      <c r="K291" s="375">
        <v>-65383.31035</v>
      </c>
      <c r="L291" s="375">
        <v>-119948.08912</v>
      </c>
      <c r="M291" s="375">
        <v>1831344.0083300001</v>
      </c>
      <c r="N291" s="372">
        <v>1.032</v>
      </c>
      <c r="O291" s="704">
        <v>64.97307894392776</v>
      </c>
      <c r="P291" s="375" t="s">
        <v>619</v>
      </c>
      <c r="Q291" s="375" t="s">
        <v>619</v>
      </c>
      <c r="R291" s="696">
        <v>20130829</v>
      </c>
      <c r="S291" s="375" t="s">
        <v>2653</v>
      </c>
      <c r="T291" s="697" t="s">
        <v>768</v>
      </c>
      <c r="U291" s="375" t="s">
        <v>2654</v>
      </c>
      <c r="V291" s="722">
        <v>20.36</v>
      </c>
      <c r="W291" s="722">
        <v>0.37</v>
      </c>
      <c r="X291" s="722">
        <v>0.24</v>
      </c>
      <c r="Y291" s="722" t="s">
        <v>770</v>
      </c>
      <c r="Z291" s="382">
        <v>5.9998661041248846E-2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24697.599999999999</v>
      </c>
      <c r="AF291" s="372">
        <v>26893.599999999999</v>
      </c>
      <c r="AG291" s="372">
        <v>28653.22</v>
      </c>
      <c r="AH291" s="372">
        <v>0</v>
      </c>
    </row>
    <row r="292" spans="1:34">
      <c r="A292" s="372" t="s">
        <v>2655</v>
      </c>
      <c r="B292" s="373" t="s">
        <v>2656</v>
      </c>
      <c r="C292" s="372" t="s">
        <v>2657</v>
      </c>
      <c r="D292" s="374">
        <v>1101110014219</v>
      </c>
      <c r="E292" s="372" t="s">
        <v>2658</v>
      </c>
      <c r="F292" s="372" t="s">
        <v>16102</v>
      </c>
      <c r="G292" s="375" t="s">
        <v>16102</v>
      </c>
      <c r="H292" s="375" t="s">
        <v>823</v>
      </c>
      <c r="I292" s="375" t="s">
        <v>751</v>
      </c>
      <c r="J292" s="375">
        <v>2828480.3703100001</v>
      </c>
      <c r="K292" s="375">
        <v>220785.86600000001</v>
      </c>
      <c r="L292" s="375">
        <v>148518.08467000001</v>
      </c>
      <c r="M292" s="375">
        <v>1799437.86243</v>
      </c>
      <c r="N292" s="372">
        <v>0.76400000000000001</v>
      </c>
      <c r="O292" s="704">
        <v>284.8534755191223</v>
      </c>
      <c r="P292" s="375" t="s">
        <v>619</v>
      </c>
      <c r="Q292" s="372" t="s">
        <v>619</v>
      </c>
      <c r="R292" s="696">
        <v>19760519</v>
      </c>
      <c r="S292" s="372" t="s">
        <v>2659</v>
      </c>
      <c r="T292" s="697">
        <v>0.23100000000000001</v>
      </c>
      <c r="U292" s="372" t="s">
        <v>2660</v>
      </c>
      <c r="V292" s="722">
        <v>5.24</v>
      </c>
      <c r="W292" s="722">
        <v>0.42</v>
      </c>
      <c r="X292" s="722">
        <v>0.26</v>
      </c>
      <c r="Y292" s="722">
        <v>8.39</v>
      </c>
      <c r="Z292" s="382">
        <v>5.1975047610052671E-2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29188.87</v>
      </c>
      <c r="AF292" s="372">
        <v>31524.6</v>
      </c>
      <c r="AG292" s="372">
        <v>33087.360000000001</v>
      </c>
      <c r="AH292" s="372">
        <v>0</v>
      </c>
    </row>
    <row r="293" spans="1:34">
      <c r="A293" s="372" t="s">
        <v>2661</v>
      </c>
      <c r="B293" s="373" t="s">
        <v>2662</v>
      </c>
      <c r="C293" s="372" t="s">
        <v>2663</v>
      </c>
      <c r="D293" s="374">
        <v>1201110484303</v>
      </c>
      <c r="E293" s="372" t="s">
        <v>2664</v>
      </c>
      <c r="F293" s="375" t="s">
        <v>2665</v>
      </c>
      <c r="G293" s="375" t="s">
        <v>2666</v>
      </c>
      <c r="H293" s="375" t="s">
        <v>1536</v>
      </c>
      <c r="I293" s="375" t="s">
        <v>751</v>
      </c>
      <c r="J293" s="375">
        <v>1749370.81176</v>
      </c>
      <c r="K293" s="375">
        <v>153204.89553000001</v>
      </c>
      <c r="L293" s="375">
        <v>127454.84242</v>
      </c>
      <c r="M293" s="375">
        <v>709976.39945000003</v>
      </c>
      <c r="N293" s="372">
        <v>0.56299999999999994</v>
      </c>
      <c r="O293" s="704">
        <v>79.84848428295588</v>
      </c>
      <c r="P293" s="375" t="s">
        <v>619</v>
      </c>
      <c r="Q293" s="375" t="s">
        <v>619</v>
      </c>
      <c r="R293" s="696">
        <v>20090320</v>
      </c>
      <c r="S293" s="375" t="s">
        <v>2667</v>
      </c>
      <c r="T293" s="697">
        <v>0.23100000000000001</v>
      </c>
      <c r="U293" s="375" t="s">
        <v>2668</v>
      </c>
      <c r="V293" s="722">
        <v>5.28</v>
      </c>
      <c r="W293" s="722">
        <v>0.88</v>
      </c>
      <c r="X293" s="722">
        <v>0.37</v>
      </c>
      <c r="Y293" s="722">
        <v>6.75</v>
      </c>
      <c r="Z293" s="382">
        <v>3.1764094406457222E-2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17699.18</v>
      </c>
      <c r="AF293" s="372">
        <v>18472.82</v>
      </c>
      <c r="AG293" s="372">
        <v>19364.3</v>
      </c>
      <c r="AH293" s="372">
        <v>0</v>
      </c>
    </row>
    <row r="294" spans="1:34">
      <c r="A294" s="372" t="s">
        <v>2669</v>
      </c>
      <c r="B294" s="373" t="s">
        <v>2670</v>
      </c>
      <c r="C294" s="372" t="s">
        <v>2671</v>
      </c>
      <c r="D294" s="374">
        <v>1101110094477</v>
      </c>
      <c r="E294" s="372" t="s">
        <v>2672</v>
      </c>
      <c r="F294" s="375" t="s">
        <v>1320</v>
      </c>
      <c r="G294" s="375" t="s">
        <v>16103</v>
      </c>
      <c r="H294" s="375" t="s">
        <v>858</v>
      </c>
      <c r="I294" s="375" t="s">
        <v>859</v>
      </c>
      <c r="J294" s="375">
        <v>789113.59875999996</v>
      </c>
      <c r="K294" s="375">
        <v>83229.681710000004</v>
      </c>
      <c r="L294" s="375">
        <v>82767.554319999996</v>
      </c>
      <c r="M294" s="375">
        <v>657587.90793999995</v>
      </c>
      <c r="N294" s="372">
        <v>0.53700000000000003</v>
      </c>
      <c r="O294" s="704">
        <v>9.6074647230854708</v>
      </c>
      <c r="P294" s="375" t="s">
        <v>619</v>
      </c>
      <c r="Q294" s="375" t="s">
        <v>619</v>
      </c>
      <c r="R294" s="696">
        <v>20070529</v>
      </c>
      <c r="S294" s="372" t="s">
        <v>2673</v>
      </c>
      <c r="T294" s="697">
        <v>0.23100000000000001</v>
      </c>
      <c r="U294" s="375" t="s">
        <v>2674</v>
      </c>
      <c r="V294" s="722">
        <v>7.59</v>
      </c>
      <c r="W294" s="722">
        <v>1.32</v>
      </c>
      <c r="X294" s="722">
        <v>0.97</v>
      </c>
      <c r="Y294" s="722">
        <v>12.43</v>
      </c>
      <c r="Z294" s="382">
        <v>7.3790400823677382E-2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8052.67</v>
      </c>
      <c r="AF294" s="372">
        <v>8872.33</v>
      </c>
      <c r="AG294" s="372">
        <v>9718.33</v>
      </c>
      <c r="AH294" s="372">
        <v>0</v>
      </c>
    </row>
    <row r="295" spans="1:34">
      <c r="A295" s="372" t="s">
        <v>2675</v>
      </c>
      <c r="B295" s="373" t="s">
        <v>2676</v>
      </c>
      <c r="C295" s="372" t="s">
        <v>2677</v>
      </c>
      <c r="D295" s="374">
        <v>2149110058927</v>
      </c>
      <c r="E295" s="372" t="s">
        <v>2678</v>
      </c>
      <c r="F295" s="375" t="s">
        <v>1273</v>
      </c>
      <c r="G295" s="375" t="s">
        <v>1449</v>
      </c>
      <c r="H295" s="375" t="s">
        <v>750</v>
      </c>
      <c r="I295" s="375" t="s">
        <v>751</v>
      </c>
      <c r="J295" s="375">
        <v>509499.48307000002</v>
      </c>
      <c r="K295" s="375">
        <v>-53084.39834</v>
      </c>
      <c r="L295" s="375">
        <v>-111519.65210000001</v>
      </c>
      <c r="M295" s="375">
        <v>1016679.31996</v>
      </c>
      <c r="N295" s="372">
        <v>0.97899999999999998</v>
      </c>
      <c r="O295" s="704">
        <v>77.147850020074685</v>
      </c>
      <c r="P295" s="375" t="s">
        <v>619</v>
      </c>
      <c r="Q295" s="375" t="s">
        <v>619</v>
      </c>
      <c r="R295" s="696">
        <v>20191018</v>
      </c>
      <c r="S295" s="375" t="s">
        <v>2679</v>
      </c>
      <c r="T295" s="697" t="s">
        <v>768</v>
      </c>
      <c r="U295" s="375" t="s">
        <v>2680</v>
      </c>
      <c r="V295" s="722">
        <v>168.73</v>
      </c>
      <c r="W295" s="722">
        <v>1.59</v>
      </c>
      <c r="X295" s="722">
        <v>2.74</v>
      </c>
      <c r="Y295" s="722" t="s">
        <v>770</v>
      </c>
      <c r="Z295" s="382">
        <v>0.2611413754464107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5735.33</v>
      </c>
      <c r="AF295" s="372">
        <v>7675.33</v>
      </c>
      <c r="AG295" s="372">
        <v>10862.75</v>
      </c>
      <c r="AH295" s="372">
        <v>0</v>
      </c>
    </row>
    <row r="296" spans="1:34">
      <c r="A296" s="372" t="s">
        <v>2681</v>
      </c>
      <c r="B296" s="373" t="s">
        <v>2682</v>
      </c>
      <c r="C296" s="372" t="s">
        <v>2683</v>
      </c>
      <c r="D296" s="374">
        <v>1101110202765</v>
      </c>
      <c r="E296" s="372" t="s">
        <v>2684</v>
      </c>
      <c r="F296" s="375" t="s">
        <v>16097</v>
      </c>
      <c r="G296" s="375" t="s">
        <v>16100</v>
      </c>
      <c r="H296" s="375" t="s">
        <v>750</v>
      </c>
      <c r="I296" s="375" t="s">
        <v>751</v>
      </c>
      <c r="J296" s="375">
        <v>1992353.9728900001</v>
      </c>
      <c r="K296" s="375">
        <v>188367.15706</v>
      </c>
      <c r="L296" s="375">
        <v>220892.96916000001</v>
      </c>
      <c r="M296" s="375">
        <v>1474662.14964</v>
      </c>
      <c r="N296" s="372">
        <v>1.03</v>
      </c>
      <c r="O296" s="704">
        <v>23.586137517297999</v>
      </c>
      <c r="P296" s="375" t="s">
        <v>619</v>
      </c>
      <c r="Q296" s="375" t="s">
        <v>619</v>
      </c>
      <c r="R296" s="696">
        <v>19871128</v>
      </c>
      <c r="S296" s="375" t="s">
        <v>2685</v>
      </c>
      <c r="T296" s="697">
        <v>0.23100000000000001</v>
      </c>
      <c r="U296" s="375" t="s">
        <v>2686</v>
      </c>
      <c r="V296" s="722">
        <v>5.08</v>
      </c>
      <c r="W296" s="722">
        <v>0.81</v>
      </c>
      <c r="X296" s="722">
        <v>0.6</v>
      </c>
      <c r="Y296" s="722">
        <v>6.79</v>
      </c>
      <c r="Z296" s="382">
        <v>7.0127252230082648E-2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20782</v>
      </c>
      <c r="AF296" s="372">
        <v>23630</v>
      </c>
      <c r="AG296" s="372">
        <v>22095</v>
      </c>
      <c r="AH296" s="372">
        <v>0</v>
      </c>
    </row>
    <row r="297" spans="1:34">
      <c r="A297" s="372" t="s">
        <v>2687</v>
      </c>
      <c r="B297" s="373" t="s">
        <v>2688</v>
      </c>
      <c r="C297" s="372" t="s">
        <v>2689</v>
      </c>
      <c r="D297" s="374">
        <v>1314110189425</v>
      </c>
      <c r="E297" s="372" t="s">
        <v>2690</v>
      </c>
      <c r="F297" s="372" t="s">
        <v>1595</v>
      </c>
      <c r="G297" s="375" t="s">
        <v>1596</v>
      </c>
      <c r="H297" s="375" t="s">
        <v>823</v>
      </c>
      <c r="I297" s="375" t="s">
        <v>751</v>
      </c>
      <c r="J297" s="375">
        <v>433435.32224000001</v>
      </c>
      <c r="K297" s="375">
        <v>-26046.477640000001</v>
      </c>
      <c r="L297" s="375">
        <v>-69421.373519999994</v>
      </c>
      <c r="M297" s="375">
        <v>412174.58964999998</v>
      </c>
      <c r="N297" s="372">
        <v>1.2290000000000001</v>
      </c>
      <c r="O297" s="704">
        <v>58.404399541853977</v>
      </c>
      <c r="P297" s="375" t="s">
        <v>619</v>
      </c>
      <c r="Q297" s="372" t="s">
        <v>619</v>
      </c>
      <c r="R297" s="696">
        <v>20061222</v>
      </c>
      <c r="S297" s="372" t="s">
        <v>2691</v>
      </c>
      <c r="T297" s="697" t="s">
        <v>768</v>
      </c>
      <c r="U297" s="375" t="s">
        <v>2692</v>
      </c>
      <c r="V297" s="722">
        <v>38.25</v>
      </c>
      <c r="W297" s="722">
        <v>1.76</v>
      </c>
      <c r="X297" s="722">
        <v>1.53</v>
      </c>
      <c r="Y297" s="722" t="s">
        <v>770</v>
      </c>
      <c r="Z297" s="382">
        <v>6.3704589459120164E-2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4688</v>
      </c>
      <c r="AF297" s="372">
        <v>5670</v>
      </c>
      <c r="AG297" s="372">
        <v>6698</v>
      </c>
      <c r="AH297" s="372">
        <v>7873</v>
      </c>
    </row>
    <row r="298" spans="1:34">
      <c r="A298" s="372" t="s">
        <v>2693</v>
      </c>
      <c r="B298" s="373" t="s">
        <v>2694</v>
      </c>
      <c r="C298" s="372" t="s">
        <v>2695</v>
      </c>
      <c r="D298" s="374">
        <v>1101113301457</v>
      </c>
      <c r="E298" s="372" t="s">
        <v>2696</v>
      </c>
      <c r="F298" s="375" t="s">
        <v>1441</v>
      </c>
      <c r="G298" s="375" t="s">
        <v>1442</v>
      </c>
      <c r="H298" s="375" t="s">
        <v>814</v>
      </c>
      <c r="I298" s="375" t="s">
        <v>751</v>
      </c>
      <c r="J298" s="375">
        <v>381243.6372</v>
      </c>
      <c r="K298" s="375">
        <v>31912.121790000001</v>
      </c>
      <c r="L298" s="375">
        <v>36738.979809999997</v>
      </c>
      <c r="M298" s="375">
        <v>413837.33785000001</v>
      </c>
      <c r="N298" s="372">
        <v>0.38800000000000001</v>
      </c>
      <c r="O298" s="704">
        <v>8.5752062970145229</v>
      </c>
      <c r="P298" s="375" t="s">
        <v>619</v>
      </c>
      <c r="Q298" s="375" t="s">
        <v>619</v>
      </c>
      <c r="R298" s="696">
        <v>20091119</v>
      </c>
      <c r="S298" s="375" t="s">
        <v>2262</v>
      </c>
      <c r="T298" s="697">
        <v>0.23100000000000001</v>
      </c>
      <c r="U298" s="375" t="s">
        <v>2697</v>
      </c>
      <c r="V298" s="722">
        <v>12.09</v>
      </c>
      <c r="W298" s="722">
        <v>1.86</v>
      </c>
      <c r="X298" s="722">
        <v>2.02</v>
      </c>
      <c r="Y298" s="722">
        <v>26.32</v>
      </c>
      <c r="Z298" s="382">
        <v>5.0676246899104882E-2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3959.36</v>
      </c>
      <c r="AF298" s="372">
        <v>4440.18</v>
      </c>
      <c r="AG298" s="372">
        <v>4834.2700000000004</v>
      </c>
      <c r="AH298" s="372">
        <v>5320</v>
      </c>
    </row>
    <row r="299" spans="1:34">
      <c r="A299" s="372" t="s">
        <v>2698</v>
      </c>
      <c r="B299" s="373" t="s">
        <v>2699</v>
      </c>
      <c r="C299" s="372" t="s">
        <v>2700</v>
      </c>
      <c r="D299" s="374">
        <v>1101110208383</v>
      </c>
      <c r="E299" s="372" t="s">
        <v>2701</v>
      </c>
      <c r="F299" s="375" t="s">
        <v>2702</v>
      </c>
      <c r="G299" s="375" t="s">
        <v>2702</v>
      </c>
      <c r="H299" s="375" t="s">
        <v>1465</v>
      </c>
      <c r="I299" s="375" t="s">
        <v>751</v>
      </c>
      <c r="J299" s="375">
        <v>1706289.88711</v>
      </c>
      <c r="K299" s="375">
        <v>246280.11410000001</v>
      </c>
      <c r="L299" s="375">
        <v>25331.529589999998</v>
      </c>
      <c r="M299" s="375">
        <v>1777917.35913</v>
      </c>
      <c r="N299" s="372">
        <v>1.1220000000000001</v>
      </c>
      <c r="O299" s="704">
        <v>248.60947919499066</v>
      </c>
      <c r="P299" s="375" t="s">
        <v>619</v>
      </c>
      <c r="Q299" s="375" t="s">
        <v>619</v>
      </c>
      <c r="R299" s="696">
        <v>19860127</v>
      </c>
      <c r="S299" s="375" t="s">
        <v>2703</v>
      </c>
      <c r="T299" s="697">
        <v>0.23100000000000001</v>
      </c>
      <c r="U299" s="375" t="s">
        <v>2704</v>
      </c>
      <c r="V299" s="722">
        <v>6.38</v>
      </c>
      <c r="W299" s="722">
        <v>0.43</v>
      </c>
      <c r="X299" s="722">
        <v>0.4</v>
      </c>
      <c r="Y299" s="722">
        <v>65.59</v>
      </c>
      <c r="Z299" s="382">
        <v>-6.6758993279765311E-2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15701.8</v>
      </c>
      <c r="AF299" s="372">
        <v>14414</v>
      </c>
      <c r="AG299" s="372">
        <v>15394</v>
      </c>
      <c r="AH299" s="372">
        <v>0</v>
      </c>
    </row>
    <row r="300" spans="1:34">
      <c r="A300" s="372" t="s">
        <v>2705</v>
      </c>
      <c r="B300" s="373" t="s">
        <v>2706</v>
      </c>
      <c r="C300" s="372" t="s">
        <v>2707</v>
      </c>
      <c r="D300" s="374">
        <v>1301110007707</v>
      </c>
      <c r="E300" s="372" t="s">
        <v>2708</v>
      </c>
      <c r="F300" s="372" t="s">
        <v>1354</v>
      </c>
      <c r="G300" s="375" t="s">
        <v>1354</v>
      </c>
      <c r="H300" s="375" t="s">
        <v>823</v>
      </c>
      <c r="I300" s="375" t="s">
        <v>751</v>
      </c>
      <c r="J300" s="375">
        <v>427530.89945000003</v>
      </c>
      <c r="K300" s="375">
        <v>65786.584239999996</v>
      </c>
      <c r="L300" s="375">
        <v>61790.75099</v>
      </c>
      <c r="M300" s="375">
        <v>389757.52531</v>
      </c>
      <c r="N300" s="372">
        <v>0.42899999999999999</v>
      </c>
      <c r="O300" s="704">
        <v>3.112993935113912E-2</v>
      </c>
      <c r="P300" s="375" t="s">
        <v>619</v>
      </c>
      <c r="Q300" s="375" t="s">
        <v>619</v>
      </c>
      <c r="R300" s="696">
        <v>19890925</v>
      </c>
      <c r="S300" s="375" t="s">
        <v>2709</v>
      </c>
      <c r="T300" s="697">
        <v>0.23100000000000001</v>
      </c>
      <c r="U300" s="375" t="s">
        <v>2710</v>
      </c>
      <c r="V300" s="722">
        <v>9.69</v>
      </c>
      <c r="W300" s="722">
        <v>2.31</v>
      </c>
      <c r="X300" s="722">
        <v>2.2200000000000002</v>
      </c>
      <c r="Y300" s="722">
        <v>18</v>
      </c>
      <c r="Z300" s="382" t="s">
        <v>924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2711</v>
      </c>
      <c r="B301" s="373" t="s">
        <v>2712</v>
      </c>
      <c r="C301" s="372" t="s">
        <v>2713</v>
      </c>
      <c r="D301" s="374">
        <v>1311110082427</v>
      </c>
      <c r="E301" s="372" t="s">
        <v>2714</v>
      </c>
      <c r="F301" s="372" t="s">
        <v>2715</v>
      </c>
      <c r="G301" s="375" t="s">
        <v>2715</v>
      </c>
      <c r="H301" s="375" t="s">
        <v>1334</v>
      </c>
      <c r="I301" s="375" t="s">
        <v>859</v>
      </c>
      <c r="J301" s="375">
        <v>376030.24576000002</v>
      </c>
      <c r="K301" s="375">
        <v>52442.570749999999</v>
      </c>
      <c r="L301" s="375">
        <v>36830.054450000003</v>
      </c>
      <c r="M301" s="375">
        <v>436812.92466000002</v>
      </c>
      <c r="N301" s="372">
        <v>1.3169999999999999</v>
      </c>
      <c r="O301" s="704">
        <v>68.366373491306021</v>
      </c>
      <c r="P301" s="375" t="s">
        <v>619</v>
      </c>
      <c r="Q301" s="375" t="s">
        <v>619</v>
      </c>
      <c r="R301" s="696">
        <v>20131022</v>
      </c>
      <c r="S301" s="375" t="s">
        <v>2716</v>
      </c>
      <c r="T301" s="697">
        <v>0.23100000000000001</v>
      </c>
      <c r="U301" s="375" t="s">
        <v>15841</v>
      </c>
      <c r="V301" s="722">
        <v>3.35</v>
      </c>
      <c r="W301" s="722">
        <v>1.38</v>
      </c>
      <c r="X301" s="722">
        <v>1.57</v>
      </c>
      <c r="Y301" s="722">
        <v>12.39</v>
      </c>
      <c r="Z301" s="382">
        <v>0.10980294557579118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3944.6</v>
      </c>
      <c r="AF301" s="372">
        <v>4535.8</v>
      </c>
      <c r="AG301" s="372">
        <v>5137.33</v>
      </c>
      <c r="AH301" s="372">
        <v>0</v>
      </c>
    </row>
    <row r="302" spans="1:34">
      <c r="A302" s="372" t="s">
        <v>2717</v>
      </c>
      <c r="B302" s="373" t="s">
        <v>2718</v>
      </c>
      <c r="C302" s="372" t="s">
        <v>2719</v>
      </c>
      <c r="D302" s="374">
        <v>1101110624688</v>
      </c>
      <c r="E302" s="372" t="s">
        <v>2720</v>
      </c>
      <c r="F302" s="375" t="s">
        <v>929</v>
      </c>
      <c r="G302" s="375" t="s">
        <v>929</v>
      </c>
      <c r="H302" s="375" t="s">
        <v>930</v>
      </c>
      <c r="I302" s="375" t="s">
        <v>751</v>
      </c>
      <c r="J302" s="375">
        <v>1166631.4680999999</v>
      </c>
      <c r="K302" s="375">
        <v>409444.00092000002</v>
      </c>
      <c r="L302" s="375">
        <v>419347.28292999999</v>
      </c>
      <c r="M302" s="375">
        <v>2067182.18619</v>
      </c>
      <c r="N302" s="372">
        <v>0.81799999999999995</v>
      </c>
      <c r="O302" s="704">
        <v>0</v>
      </c>
      <c r="P302" s="375" t="s">
        <v>619</v>
      </c>
      <c r="Q302" s="372" t="s">
        <v>619</v>
      </c>
      <c r="R302" s="696">
        <v>20091008</v>
      </c>
      <c r="S302" s="372" t="s">
        <v>1548</v>
      </c>
      <c r="T302" s="697">
        <v>0.26400000000000001</v>
      </c>
      <c r="U302" s="372" t="s">
        <v>2721</v>
      </c>
      <c r="V302" s="722">
        <v>0</v>
      </c>
      <c r="W302" s="722">
        <v>0.41</v>
      </c>
      <c r="X302" s="722">
        <v>0.28000000000000003</v>
      </c>
      <c r="Y302" s="722">
        <v>2.67</v>
      </c>
      <c r="Z302" s="382" t="s">
        <v>924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2722</v>
      </c>
      <c r="B303" s="373" t="s">
        <v>2723</v>
      </c>
      <c r="C303" s="372" t="s">
        <v>2724</v>
      </c>
      <c r="D303" s="374">
        <v>1101110042955</v>
      </c>
      <c r="E303" s="372" t="s">
        <v>2725</v>
      </c>
      <c r="F303" s="375" t="s">
        <v>1259</v>
      </c>
      <c r="G303" s="375" t="s">
        <v>1260</v>
      </c>
      <c r="H303" s="375" t="s">
        <v>1261</v>
      </c>
      <c r="I303" s="375" t="s">
        <v>751</v>
      </c>
      <c r="J303" s="375">
        <v>0</v>
      </c>
      <c r="K303" s="375">
        <v>0</v>
      </c>
      <c r="L303" s="375">
        <v>0</v>
      </c>
      <c r="M303" s="375">
        <v>0</v>
      </c>
      <c r="N303" s="372">
        <v>0.74099999999999999</v>
      </c>
      <c r="O303" s="704" t="s">
        <v>16298</v>
      </c>
      <c r="P303" s="375" t="s">
        <v>619</v>
      </c>
      <c r="Q303" s="375" t="s">
        <v>619</v>
      </c>
      <c r="R303" s="696">
        <v>19751001</v>
      </c>
      <c r="S303" s="375" t="s">
        <v>2726</v>
      </c>
      <c r="T303" s="697" t="s">
        <v>768</v>
      </c>
      <c r="U303" s="375" t="s">
        <v>2727</v>
      </c>
      <c r="V303" s="722">
        <v>0</v>
      </c>
      <c r="W303" s="722">
        <v>0</v>
      </c>
      <c r="X303" s="722">
        <v>0</v>
      </c>
      <c r="Y303" s="722">
        <v>0</v>
      </c>
      <c r="Z303" s="382">
        <v>5.1127360012664935E-2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6845</v>
      </c>
      <c r="AF303" s="372">
        <v>7420</v>
      </c>
      <c r="AG303" s="372">
        <v>8025</v>
      </c>
      <c r="AH303" s="372">
        <v>0</v>
      </c>
    </row>
    <row r="304" spans="1:34">
      <c r="A304" s="372" t="s">
        <v>2728</v>
      </c>
      <c r="B304" s="373" t="s">
        <v>2729</v>
      </c>
      <c r="C304" s="372" t="s">
        <v>2730</v>
      </c>
      <c r="D304" s="374">
        <v>1101110035794</v>
      </c>
      <c r="E304" s="372" t="s">
        <v>2731</v>
      </c>
      <c r="F304" s="375" t="s">
        <v>808</v>
      </c>
      <c r="G304" s="375" t="s">
        <v>808</v>
      </c>
      <c r="H304" s="375" t="s">
        <v>809</v>
      </c>
      <c r="I304" s="375" t="s">
        <v>751</v>
      </c>
      <c r="J304" s="375">
        <v>3694539.7524199998</v>
      </c>
      <c r="K304" s="375">
        <v>110536.49003</v>
      </c>
      <c r="L304" s="375">
        <v>73208.115349999993</v>
      </c>
      <c r="M304" s="375">
        <v>2076256.11579</v>
      </c>
      <c r="N304" s="372">
        <v>1.0780000000000001</v>
      </c>
      <c r="O304" s="704">
        <v>132.73797205337402</v>
      </c>
      <c r="P304" s="375" t="s">
        <v>619</v>
      </c>
      <c r="Q304" s="375" t="s">
        <v>619</v>
      </c>
      <c r="R304" s="696">
        <v>19910312</v>
      </c>
      <c r="S304" s="375" t="s">
        <v>2732</v>
      </c>
      <c r="T304" s="697">
        <v>0.23100000000000001</v>
      </c>
      <c r="U304" s="375" t="s">
        <v>2733</v>
      </c>
      <c r="V304" s="722">
        <v>7</v>
      </c>
      <c r="W304" s="722">
        <v>0.37</v>
      </c>
      <c r="X304" s="722">
        <v>0.2</v>
      </c>
      <c r="Y304" s="722">
        <v>11.46</v>
      </c>
      <c r="Z304" s="382">
        <v>-4.8076419975398021E-3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37276.080000000002</v>
      </c>
      <c r="AF304" s="372">
        <v>38538.75</v>
      </c>
      <c r="AG304" s="372">
        <v>40055.18</v>
      </c>
      <c r="AH304" s="372">
        <v>42940</v>
      </c>
    </row>
    <row r="305" spans="1:34">
      <c r="A305" s="372" t="s">
        <v>2734</v>
      </c>
      <c r="B305" s="373" t="s">
        <v>2735</v>
      </c>
      <c r="C305" s="372" t="s">
        <v>2736</v>
      </c>
      <c r="D305" s="374">
        <v>1101110515275</v>
      </c>
      <c r="E305" s="372" t="s">
        <v>2737</v>
      </c>
      <c r="F305" s="375" t="s">
        <v>904</v>
      </c>
      <c r="G305" s="375" t="s">
        <v>905</v>
      </c>
      <c r="H305" s="375" t="s">
        <v>906</v>
      </c>
      <c r="I305" s="375" t="s">
        <v>751</v>
      </c>
      <c r="J305" s="375">
        <v>180614.23754999999</v>
      </c>
      <c r="K305" s="375">
        <v>27088.562529999999</v>
      </c>
      <c r="L305" s="375">
        <v>36184.873829999997</v>
      </c>
      <c r="M305" s="375">
        <v>195289.06859000001</v>
      </c>
      <c r="N305" s="372">
        <v>0.21</v>
      </c>
      <c r="O305" s="704">
        <v>28.967012949292364</v>
      </c>
      <c r="P305" s="375" t="s">
        <v>619</v>
      </c>
      <c r="Q305" s="375" t="s">
        <v>619</v>
      </c>
      <c r="R305" s="696">
        <v>19760629</v>
      </c>
      <c r="S305" s="375" t="s">
        <v>2738</v>
      </c>
      <c r="T305" s="697">
        <v>0.23100000000000001</v>
      </c>
      <c r="U305" s="375" t="s">
        <v>2739</v>
      </c>
      <c r="V305" s="722">
        <v>14.01</v>
      </c>
      <c r="W305" s="722">
        <v>2.99</v>
      </c>
      <c r="X305" s="722">
        <v>3.15</v>
      </c>
      <c r="Y305" s="722">
        <v>14.94</v>
      </c>
      <c r="Z305" s="382" t="s">
        <v>924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2740</v>
      </c>
      <c r="B306" s="373" t="s">
        <v>2741</v>
      </c>
      <c r="C306" s="372" t="s">
        <v>2742</v>
      </c>
      <c r="D306" s="374">
        <v>1101110393308</v>
      </c>
      <c r="E306" s="372" t="s">
        <v>2743</v>
      </c>
      <c r="F306" s="375" t="s">
        <v>2744</v>
      </c>
      <c r="G306" s="375" t="s">
        <v>2745</v>
      </c>
      <c r="H306" s="375" t="s">
        <v>809</v>
      </c>
      <c r="I306" s="375" t="s">
        <v>751</v>
      </c>
      <c r="J306" s="375">
        <v>3350209.3160399999</v>
      </c>
      <c r="K306" s="375">
        <v>203208.08791</v>
      </c>
      <c r="L306" s="375">
        <v>203308.31662</v>
      </c>
      <c r="M306" s="375">
        <v>1936778.30534</v>
      </c>
      <c r="N306" s="372">
        <v>1.1000000000000001</v>
      </c>
      <c r="O306" s="704">
        <v>145.31123074867989</v>
      </c>
      <c r="P306" s="375" t="s">
        <v>619</v>
      </c>
      <c r="Q306" s="372" t="s">
        <v>619</v>
      </c>
      <c r="R306" s="696">
        <v>19860203</v>
      </c>
      <c r="S306" s="375" t="s">
        <v>2746</v>
      </c>
      <c r="T306" s="697">
        <v>0.23100000000000001</v>
      </c>
      <c r="U306" s="375" t="s">
        <v>15842</v>
      </c>
      <c r="V306" s="722">
        <v>4.88</v>
      </c>
      <c r="W306" s="722">
        <v>0.35</v>
      </c>
      <c r="X306" s="722">
        <v>0.2</v>
      </c>
      <c r="Y306" s="722">
        <v>4.34</v>
      </c>
      <c r="Z306" s="382">
        <v>1.1284147745107775E-2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33073.5</v>
      </c>
      <c r="AF306" s="372">
        <v>34385.5</v>
      </c>
      <c r="AG306" s="372">
        <v>35873</v>
      </c>
      <c r="AH306" s="372">
        <v>34730</v>
      </c>
    </row>
    <row r="307" spans="1:34">
      <c r="A307" s="372" t="s">
        <v>2747</v>
      </c>
      <c r="B307" s="373" t="s">
        <v>2748</v>
      </c>
      <c r="C307" s="372" t="s">
        <v>2749</v>
      </c>
      <c r="D307" s="374">
        <v>1760110035615</v>
      </c>
      <c r="E307" s="372" t="s">
        <v>2750</v>
      </c>
      <c r="F307" s="375" t="s">
        <v>2751</v>
      </c>
      <c r="G307" s="375" t="s">
        <v>2752</v>
      </c>
      <c r="H307" s="375" t="s">
        <v>858</v>
      </c>
      <c r="I307" s="375" t="s">
        <v>859</v>
      </c>
      <c r="J307" s="375">
        <v>876670.95857000002</v>
      </c>
      <c r="K307" s="375">
        <v>107277.30147999999</v>
      </c>
      <c r="L307" s="375">
        <v>75876.674559999999</v>
      </c>
      <c r="M307" s="375">
        <v>564619.39373999997</v>
      </c>
      <c r="N307" s="372">
        <v>1.133</v>
      </c>
      <c r="O307" s="704">
        <v>108.55133581452054</v>
      </c>
      <c r="P307" s="375" t="s">
        <v>619</v>
      </c>
      <c r="Q307" s="375" t="s">
        <v>619</v>
      </c>
      <c r="R307" s="696">
        <v>20031210</v>
      </c>
      <c r="S307" s="375" t="s">
        <v>2753</v>
      </c>
      <c r="T307" s="697">
        <v>0.23100000000000001</v>
      </c>
      <c r="U307" s="375" t="s">
        <v>2754</v>
      </c>
      <c r="V307" s="722">
        <v>8.1</v>
      </c>
      <c r="W307" s="722">
        <v>1.49</v>
      </c>
      <c r="X307" s="722">
        <v>0.77</v>
      </c>
      <c r="Y307" s="722">
        <v>13.9</v>
      </c>
      <c r="Z307" s="382">
        <v>8.0760440248064835E-2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9117</v>
      </c>
      <c r="AF307" s="372">
        <v>10102.33</v>
      </c>
      <c r="AG307" s="372">
        <v>10995.75</v>
      </c>
      <c r="AH307" s="372">
        <v>14443</v>
      </c>
    </row>
    <row r="308" spans="1:34">
      <c r="A308" s="372" t="s">
        <v>2755</v>
      </c>
      <c r="B308" s="373" t="s">
        <v>2756</v>
      </c>
      <c r="C308" s="372" t="s">
        <v>2757</v>
      </c>
      <c r="D308" s="374">
        <v>1101110014459</v>
      </c>
      <c r="E308" s="372" t="s">
        <v>2758</v>
      </c>
      <c r="F308" s="375" t="s">
        <v>955</v>
      </c>
      <c r="G308" s="375" t="s">
        <v>956</v>
      </c>
      <c r="H308" s="375" t="s">
        <v>930</v>
      </c>
      <c r="I308" s="375" t="s">
        <v>751</v>
      </c>
      <c r="J308" s="375">
        <v>1926493.93536</v>
      </c>
      <c r="K308" s="375">
        <v>159212.49127</v>
      </c>
      <c r="L308" s="375">
        <v>161679.27187</v>
      </c>
      <c r="M308" s="375">
        <v>878544.95175000001</v>
      </c>
      <c r="N308" s="372">
        <v>0.61199999999999999</v>
      </c>
      <c r="O308" s="704">
        <v>97.897842758108737</v>
      </c>
      <c r="P308" s="375" t="s">
        <v>619</v>
      </c>
      <c r="Q308" s="372" t="s">
        <v>619</v>
      </c>
      <c r="R308" s="696">
        <v>19710416</v>
      </c>
      <c r="S308" s="375" t="s">
        <v>2759</v>
      </c>
      <c r="T308" s="697">
        <v>0.23100000000000001</v>
      </c>
      <c r="U308" s="372" t="s">
        <v>2760</v>
      </c>
      <c r="V308" s="722">
        <v>0</v>
      </c>
      <c r="W308" s="722">
        <v>0</v>
      </c>
      <c r="X308" s="722">
        <v>0</v>
      </c>
      <c r="Y308" s="722">
        <v>0</v>
      </c>
      <c r="Z308" s="382" t="s">
        <v>924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2761</v>
      </c>
      <c r="B309" s="373" t="s">
        <v>2762</v>
      </c>
      <c r="C309" s="372" t="s">
        <v>2763</v>
      </c>
      <c r="D309" s="374">
        <v>1311110319656</v>
      </c>
      <c r="E309" s="372" t="s">
        <v>2764</v>
      </c>
      <c r="F309" s="375" t="s">
        <v>1653</v>
      </c>
      <c r="G309" s="375" t="s">
        <v>2364</v>
      </c>
      <c r="H309" s="375" t="s">
        <v>858</v>
      </c>
      <c r="I309" s="375" t="s">
        <v>859</v>
      </c>
      <c r="J309" s="375">
        <v>90999.515650000001</v>
      </c>
      <c r="K309" s="375">
        <v>4055.69481</v>
      </c>
      <c r="L309" s="375">
        <v>5057.5000600000003</v>
      </c>
      <c r="M309" s="375">
        <v>65234.062409999999</v>
      </c>
      <c r="N309" s="372">
        <v>1.26</v>
      </c>
      <c r="O309" s="704">
        <v>1.5647983365119058</v>
      </c>
      <c r="P309" s="375" t="s">
        <v>619</v>
      </c>
      <c r="Q309" s="375" t="s">
        <v>619</v>
      </c>
      <c r="R309" s="696">
        <v>20220520</v>
      </c>
      <c r="S309" s="375" t="s">
        <v>2765</v>
      </c>
      <c r="T309" s="697">
        <v>0.20900000000000002</v>
      </c>
      <c r="U309" s="375" t="s">
        <v>2766</v>
      </c>
      <c r="V309" s="722">
        <v>51.08</v>
      </c>
      <c r="W309" s="722">
        <v>7.58</v>
      </c>
      <c r="X309" s="722">
        <v>5.43</v>
      </c>
      <c r="Y309" s="722">
        <v>78.61</v>
      </c>
      <c r="Z309" s="382">
        <v>0.44333623900637464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981.5</v>
      </c>
      <c r="AF309" s="372">
        <v>1599.5</v>
      </c>
      <c r="AG309" s="372">
        <v>2760</v>
      </c>
      <c r="AH309" s="372">
        <v>0</v>
      </c>
    </row>
    <row r="310" spans="1:34">
      <c r="A310" s="372" t="s">
        <v>2767</v>
      </c>
      <c r="B310" s="373" t="s">
        <v>2768</v>
      </c>
      <c r="C310" s="372" t="s">
        <v>2769</v>
      </c>
      <c r="D310" s="374">
        <v>1344110044981</v>
      </c>
      <c r="E310" s="372" t="s">
        <v>2770</v>
      </c>
      <c r="F310" s="372" t="s">
        <v>1182</v>
      </c>
      <c r="G310" s="375" t="s">
        <v>1183</v>
      </c>
      <c r="H310" s="375" t="s">
        <v>858</v>
      </c>
      <c r="I310" s="375" t="s">
        <v>859</v>
      </c>
      <c r="J310" s="375">
        <v>102603.7692</v>
      </c>
      <c r="K310" s="375">
        <v>39646.918700000002</v>
      </c>
      <c r="L310" s="375">
        <v>39645.15324</v>
      </c>
      <c r="M310" s="375">
        <v>147910.69424000001</v>
      </c>
      <c r="N310" s="372">
        <v>1.131</v>
      </c>
      <c r="O310" s="704">
        <v>1.5639639196025723</v>
      </c>
      <c r="P310" s="375" t="s">
        <v>619</v>
      </c>
      <c r="Q310" s="375" t="s">
        <v>619</v>
      </c>
      <c r="R310" s="696">
        <v>20201008</v>
      </c>
      <c r="S310" s="375" t="s">
        <v>2771</v>
      </c>
      <c r="T310" s="697">
        <v>0.23100000000000001</v>
      </c>
      <c r="U310" s="375" t="s">
        <v>2772</v>
      </c>
      <c r="V310" s="722">
        <v>12.46</v>
      </c>
      <c r="W310" s="722">
        <v>3.56</v>
      </c>
      <c r="X310" s="722">
        <v>5.27</v>
      </c>
      <c r="Y310" s="722">
        <v>17.97</v>
      </c>
      <c r="Z310" s="382">
        <v>0.20671753493729939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1015.4</v>
      </c>
      <c r="AF310" s="372">
        <v>1454</v>
      </c>
      <c r="AG310" s="372">
        <v>1864.5</v>
      </c>
      <c r="AH310" s="372">
        <v>2350</v>
      </c>
    </row>
    <row r="311" spans="1:34">
      <c r="A311" s="372" t="s">
        <v>2773</v>
      </c>
      <c r="B311" s="373" t="s">
        <v>2774</v>
      </c>
      <c r="C311" s="372" t="s">
        <v>2775</v>
      </c>
      <c r="D311" s="374">
        <v>1101111906887</v>
      </c>
      <c r="E311" s="372" t="s">
        <v>2776</v>
      </c>
      <c r="F311" s="375" t="s">
        <v>1367</v>
      </c>
      <c r="G311" s="375" t="s">
        <v>1367</v>
      </c>
      <c r="H311" s="375" t="s">
        <v>858</v>
      </c>
      <c r="I311" s="375" t="s">
        <v>859</v>
      </c>
      <c r="J311" s="375">
        <v>74426.834839999996</v>
      </c>
      <c r="K311" s="375">
        <v>7271.8966499999997</v>
      </c>
      <c r="L311" s="375">
        <v>15337.70348</v>
      </c>
      <c r="M311" s="375">
        <v>79753.773879999993</v>
      </c>
      <c r="N311" s="372">
        <v>0.97699999999999998</v>
      </c>
      <c r="O311" s="704">
        <v>0.2892187590376824</v>
      </c>
      <c r="P311" s="375" t="s">
        <v>619</v>
      </c>
      <c r="Q311" s="375" t="s">
        <v>619</v>
      </c>
      <c r="R311" s="696">
        <v>20160428</v>
      </c>
      <c r="S311" s="375" t="s">
        <v>2777</v>
      </c>
      <c r="T311" s="697">
        <v>0.20900000000000002</v>
      </c>
      <c r="U311" s="372" t="s">
        <v>2778</v>
      </c>
      <c r="V311" s="722">
        <v>60.27</v>
      </c>
      <c r="W311" s="722">
        <v>7.86</v>
      </c>
      <c r="X311" s="722">
        <v>8.15</v>
      </c>
      <c r="Y311" s="722">
        <v>57.82</v>
      </c>
      <c r="Z311" s="382">
        <v>0.20154301820500087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843.51</v>
      </c>
      <c r="AF311" s="372">
        <v>1096.03</v>
      </c>
      <c r="AG311" s="372">
        <v>1316.72</v>
      </c>
      <c r="AH311" s="372">
        <v>0</v>
      </c>
    </row>
    <row r="312" spans="1:34">
      <c r="A312" s="372" t="s">
        <v>2779</v>
      </c>
      <c r="B312" s="373" t="s">
        <v>2780</v>
      </c>
      <c r="C312" s="372" t="s">
        <v>2781</v>
      </c>
      <c r="D312" s="374">
        <v>1101110019342</v>
      </c>
      <c r="E312" s="372" t="s">
        <v>2782</v>
      </c>
      <c r="F312" s="375" t="s">
        <v>1320</v>
      </c>
      <c r="G312" s="375" t="s">
        <v>16103</v>
      </c>
      <c r="H312" s="375" t="s">
        <v>781</v>
      </c>
      <c r="I312" s="375" t="s">
        <v>751</v>
      </c>
      <c r="J312" s="375">
        <v>736542.61635000003</v>
      </c>
      <c r="K312" s="375">
        <v>97724.087679999997</v>
      </c>
      <c r="L312" s="375">
        <v>89194.993669999996</v>
      </c>
      <c r="M312" s="375">
        <v>303766.50378999999</v>
      </c>
      <c r="N312" s="372">
        <v>1.1040000000000001</v>
      </c>
      <c r="O312" s="704">
        <v>21.750376493058603</v>
      </c>
      <c r="P312" s="375" t="s">
        <v>619</v>
      </c>
      <c r="Q312" s="372" t="s">
        <v>619</v>
      </c>
      <c r="R312" s="696">
        <v>19760614</v>
      </c>
      <c r="S312" s="372" t="s">
        <v>15982</v>
      </c>
      <c r="T312" s="697">
        <v>0.23100000000000001</v>
      </c>
      <c r="U312" s="375" t="s">
        <v>2783</v>
      </c>
      <c r="V312" s="722">
        <v>5.99</v>
      </c>
      <c r="W312" s="722">
        <v>2.17</v>
      </c>
      <c r="X312" s="722">
        <v>0.93</v>
      </c>
      <c r="Y312" s="722">
        <v>9.3699999999999992</v>
      </c>
      <c r="Z312" s="382">
        <v>5.3655395170325804E-2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7728.75</v>
      </c>
      <c r="AF312" s="372">
        <v>8489.75</v>
      </c>
      <c r="AG312" s="372">
        <v>9225.75</v>
      </c>
      <c r="AH312" s="372">
        <v>0</v>
      </c>
    </row>
    <row r="313" spans="1:34">
      <c r="A313" s="372" t="s">
        <v>2784</v>
      </c>
      <c r="B313" s="373" t="s">
        <v>2785</v>
      </c>
      <c r="C313" s="372" t="s">
        <v>2786</v>
      </c>
      <c r="D313" s="374">
        <v>1101116450615</v>
      </c>
      <c r="E313" s="372" t="s">
        <v>2787</v>
      </c>
      <c r="F313" s="375" t="s">
        <v>1793</v>
      </c>
      <c r="G313" s="375" t="s">
        <v>1794</v>
      </c>
      <c r="H313" s="375" t="s">
        <v>858</v>
      </c>
      <c r="I313" s="375" t="s">
        <v>859</v>
      </c>
      <c r="J313" s="375">
        <v>0</v>
      </c>
      <c r="K313" s="375">
        <v>0</v>
      </c>
      <c r="L313" s="375">
        <v>0</v>
      </c>
      <c r="M313" s="375">
        <v>189193.06763000001</v>
      </c>
      <c r="N313" s="372">
        <v>0.95399999999999996</v>
      </c>
      <c r="O313" s="704">
        <v>0.50767446796400884</v>
      </c>
      <c r="P313" s="375" t="s">
        <v>619</v>
      </c>
      <c r="Q313" s="375" t="s">
        <v>619</v>
      </c>
      <c r="R313" s="696">
        <v>20211110</v>
      </c>
      <c r="S313" s="375" t="s">
        <v>2788</v>
      </c>
      <c r="T313" s="697" t="s">
        <v>768</v>
      </c>
      <c r="U313" s="375" t="s">
        <v>2789</v>
      </c>
      <c r="V313" s="722">
        <v>0</v>
      </c>
      <c r="W313" s="722">
        <v>2.5099999999999998</v>
      </c>
      <c r="X313" s="722">
        <v>0</v>
      </c>
      <c r="Y313" s="722">
        <v>0</v>
      </c>
      <c r="Z313" s="382">
        <v>0.10691381383385323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773.75</v>
      </c>
      <c r="AF313" s="372">
        <v>998.25</v>
      </c>
      <c r="AG313" s="372">
        <v>1136.33</v>
      </c>
      <c r="AH313" s="372">
        <v>0</v>
      </c>
    </row>
    <row r="314" spans="1:34">
      <c r="A314" s="372" t="s">
        <v>2790</v>
      </c>
      <c r="B314" s="373" t="s">
        <v>2791</v>
      </c>
      <c r="C314" s="372" t="s">
        <v>2792</v>
      </c>
      <c r="D314" s="374">
        <v>1101111138985</v>
      </c>
      <c r="E314" s="372" t="s">
        <v>2793</v>
      </c>
      <c r="F314" s="372" t="s">
        <v>1793</v>
      </c>
      <c r="G314" s="375" t="s">
        <v>2794</v>
      </c>
      <c r="H314" s="375" t="s">
        <v>858</v>
      </c>
      <c r="I314" s="375" t="s">
        <v>859</v>
      </c>
      <c r="J314" s="375">
        <v>246603.87031</v>
      </c>
      <c r="K314" s="375">
        <v>23707.066159999998</v>
      </c>
      <c r="L314" s="375">
        <v>39746.348749999997</v>
      </c>
      <c r="M314" s="375">
        <v>363339.36521000002</v>
      </c>
      <c r="N314" s="372">
        <v>0.753</v>
      </c>
      <c r="O314" s="704">
        <v>0.14620904723619552</v>
      </c>
      <c r="P314" s="375" t="s">
        <v>619</v>
      </c>
      <c r="Q314" s="372" t="s">
        <v>619</v>
      </c>
      <c r="R314" s="696">
        <v>20010911</v>
      </c>
      <c r="S314" s="372" t="s">
        <v>2795</v>
      </c>
      <c r="T314" s="697">
        <v>0.23100000000000001</v>
      </c>
      <c r="U314" s="375" t="s">
        <v>2796</v>
      </c>
      <c r="V314" s="722">
        <v>16.8</v>
      </c>
      <c r="W314" s="722">
        <v>1.57</v>
      </c>
      <c r="X314" s="722">
        <v>2.19</v>
      </c>
      <c r="Y314" s="722">
        <v>16.05</v>
      </c>
      <c r="Z314" s="382" t="s">
        <v>924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2797</v>
      </c>
      <c r="B315" s="373" t="s">
        <v>2798</v>
      </c>
      <c r="C315" s="372" t="s">
        <v>2799</v>
      </c>
      <c r="D315" s="374">
        <v>1615110028691</v>
      </c>
      <c r="E315" s="372" t="s">
        <v>2800</v>
      </c>
      <c r="F315" s="375" t="s">
        <v>1320</v>
      </c>
      <c r="G315" s="375" t="s">
        <v>16103</v>
      </c>
      <c r="H315" s="375" t="s">
        <v>858</v>
      </c>
      <c r="I315" s="375" t="s">
        <v>859</v>
      </c>
      <c r="J315" s="375">
        <v>31977.36665</v>
      </c>
      <c r="K315" s="375">
        <v>-5865.9182099999998</v>
      </c>
      <c r="L315" s="375">
        <v>-10059.89589</v>
      </c>
      <c r="M315" s="375">
        <v>138037.61892000001</v>
      </c>
      <c r="N315" s="372">
        <v>1.1379999999999999</v>
      </c>
      <c r="O315" s="704">
        <v>1.1517333534445859</v>
      </c>
      <c r="P315" s="375" t="s">
        <v>619</v>
      </c>
      <c r="Q315" s="375" t="s">
        <v>619</v>
      </c>
      <c r="R315" s="696">
        <v>20070117</v>
      </c>
      <c r="S315" s="375" t="s">
        <v>2801</v>
      </c>
      <c r="T315" s="697" t="s">
        <v>768</v>
      </c>
      <c r="U315" s="375" t="s">
        <v>2802</v>
      </c>
      <c r="V315" s="722" t="s">
        <v>770</v>
      </c>
      <c r="W315" s="722">
        <v>10.050000000000001</v>
      </c>
      <c r="X315" s="722">
        <v>41.44</v>
      </c>
      <c r="Y315" s="722" t="s">
        <v>770</v>
      </c>
      <c r="Z315" s="382">
        <v>1.1628106339348254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333.33</v>
      </c>
      <c r="AF315" s="372">
        <v>760</v>
      </c>
      <c r="AG315" s="372">
        <v>1083.33</v>
      </c>
      <c r="AH315" s="372">
        <v>0</v>
      </c>
    </row>
    <row r="316" spans="1:34">
      <c r="A316" s="372" t="s">
        <v>2803</v>
      </c>
      <c r="B316" s="373" t="s">
        <v>2804</v>
      </c>
      <c r="C316" s="372" t="s">
        <v>2805</v>
      </c>
      <c r="D316" s="374">
        <v>1301110005727</v>
      </c>
      <c r="E316" s="372" t="s">
        <v>2806</v>
      </c>
      <c r="F316" s="372" t="s">
        <v>890</v>
      </c>
      <c r="G316" s="375" t="s">
        <v>891</v>
      </c>
      <c r="H316" s="375" t="s">
        <v>852</v>
      </c>
      <c r="I316" s="375" t="s">
        <v>751</v>
      </c>
      <c r="J316" s="375">
        <v>8587803.7970800009</v>
      </c>
      <c r="K316" s="375">
        <v>49346.397920000003</v>
      </c>
      <c r="L316" s="375">
        <v>65258.640780000002</v>
      </c>
      <c r="M316" s="375">
        <v>6103243.0626499997</v>
      </c>
      <c r="N316" s="372">
        <v>0.83899999999999997</v>
      </c>
      <c r="O316" s="704">
        <v>961.76076802952332</v>
      </c>
      <c r="P316" s="375" t="s">
        <v>619</v>
      </c>
      <c r="Q316" s="375" t="s">
        <v>619</v>
      </c>
      <c r="R316" s="696">
        <v>19760629</v>
      </c>
      <c r="S316" s="375" t="s">
        <v>2807</v>
      </c>
      <c r="T316" s="697">
        <v>0.23100000000000001</v>
      </c>
      <c r="U316" s="375" t="s">
        <v>2808</v>
      </c>
      <c r="V316" s="722">
        <v>16.66</v>
      </c>
      <c r="W316" s="722">
        <v>0.23</v>
      </c>
      <c r="X316" s="722">
        <v>0.08</v>
      </c>
      <c r="Y316" s="722">
        <v>24.61</v>
      </c>
      <c r="Z316" s="382" t="s">
        <v>924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2809</v>
      </c>
      <c r="B317" s="373" t="s">
        <v>2810</v>
      </c>
      <c r="C317" s="372" t="s">
        <v>2811</v>
      </c>
      <c r="D317" s="374">
        <v>1201110002957</v>
      </c>
      <c r="E317" s="372" t="s">
        <v>2812</v>
      </c>
      <c r="F317" s="375" t="s">
        <v>1753</v>
      </c>
      <c r="G317" s="375" t="s">
        <v>1754</v>
      </c>
      <c r="H317" s="375" t="s">
        <v>750</v>
      </c>
      <c r="I317" s="375" t="s">
        <v>751</v>
      </c>
      <c r="J317" s="375">
        <v>1451065.8501200001</v>
      </c>
      <c r="K317" s="375">
        <v>164998.16094999999</v>
      </c>
      <c r="L317" s="375">
        <v>165152.57251999999</v>
      </c>
      <c r="M317" s="375">
        <v>1041889.96785</v>
      </c>
      <c r="N317" s="372">
        <v>0.85499999999999998</v>
      </c>
      <c r="O317" s="704">
        <v>18.110208929849961</v>
      </c>
      <c r="P317" s="375" t="s">
        <v>619</v>
      </c>
      <c r="Q317" s="375" t="s">
        <v>619</v>
      </c>
      <c r="R317" s="696">
        <v>19961016</v>
      </c>
      <c r="S317" s="375" t="s">
        <v>2813</v>
      </c>
      <c r="T317" s="697">
        <v>0.23100000000000001</v>
      </c>
      <c r="U317" s="375" t="s">
        <v>2814</v>
      </c>
      <c r="V317" s="722">
        <v>3.06</v>
      </c>
      <c r="W317" s="722">
        <v>0.7</v>
      </c>
      <c r="X317" s="722">
        <v>0.5</v>
      </c>
      <c r="Y317" s="722">
        <v>5.83</v>
      </c>
      <c r="Z317" s="382">
        <v>7.0232218136281332E-2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14896</v>
      </c>
      <c r="AF317" s="372">
        <v>16146</v>
      </c>
      <c r="AG317" s="372">
        <v>17015</v>
      </c>
      <c r="AH317" s="372">
        <v>0</v>
      </c>
    </row>
    <row r="318" spans="1:34">
      <c r="A318" s="372" t="s">
        <v>2815</v>
      </c>
      <c r="B318" s="373" t="s">
        <v>2816</v>
      </c>
      <c r="C318" s="372" t="s">
        <v>2817</v>
      </c>
      <c r="D318" s="374">
        <v>1746110004644</v>
      </c>
      <c r="E318" s="372" t="s">
        <v>2818</v>
      </c>
      <c r="F318" s="372" t="s">
        <v>1273</v>
      </c>
      <c r="G318" s="375" t="s">
        <v>1449</v>
      </c>
      <c r="H318" s="375" t="s">
        <v>858</v>
      </c>
      <c r="I318" s="375" t="s">
        <v>859</v>
      </c>
      <c r="J318" s="375">
        <v>251168.3064</v>
      </c>
      <c r="K318" s="375">
        <v>22052.374589999999</v>
      </c>
      <c r="L318" s="375">
        <v>22257.86721</v>
      </c>
      <c r="M318" s="375">
        <v>150306.62883</v>
      </c>
      <c r="N318" s="372">
        <v>0.97799999999999998</v>
      </c>
      <c r="O318" s="704">
        <v>5.7439382613197489</v>
      </c>
      <c r="P318" s="375" t="s">
        <v>619</v>
      </c>
      <c r="Q318" s="375" t="s">
        <v>619</v>
      </c>
      <c r="R318" s="696">
        <v>19950413</v>
      </c>
      <c r="S318" s="375" t="s">
        <v>2819</v>
      </c>
      <c r="T318" s="697">
        <v>0.23100000000000001</v>
      </c>
      <c r="U318" s="372" t="s">
        <v>2820</v>
      </c>
      <c r="V318" s="722">
        <v>15.85</v>
      </c>
      <c r="W318" s="722">
        <v>4.08</v>
      </c>
      <c r="X318" s="722">
        <v>2.48</v>
      </c>
      <c r="Y318" s="722">
        <v>32.33</v>
      </c>
      <c r="Z318" s="382">
        <v>8.624121091759851E-2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2684</v>
      </c>
      <c r="AF318" s="372">
        <v>3000</v>
      </c>
      <c r="AG318" s="372">
        <v>3650</v>
      </c>
      <c r="AH318" s="372">
        <v>0</v>
      </c>
    </row>
    <row r="319" spans="1:34">
      <c r="A319" s="372" t="s">
        <v>2821</v>
      </c>
      <c r="B319" s="373" t="s">
        <v>2822</v>
      </c>
      <c r="C319" s="372" t="s">
        <v>2823</v>
      </c>
      <c r="D319" s="374">
        <v>1101111960924</v>
      </c>
      <c r="E319" s="372" t="s">
        <v>2824</v>
      </c>
      <c r="F319" s="372" t="s">
        <v>2051</v>
      </c>
      <c r="G319" s="375" t="s">
        <v>2052</v>
      </c>
      <c r="H319" s="375" t="s">
        <v>858</v>
      </c>
      <c r="I319" s="375" t="s">
        <v>859</v>
      </c>
      <c r="J319" s="375">
        <v>284766.96838999999</v>
      </c>
      <c r="K319" s="375">
        <v>9640.1943699999993</v>
      </c>
      <c r="L319" s="375">
        <v>-898.31973000000005</v>
      </c>
      <c r="M319" s="375">
        <v>312244.49234</v>
      </c>
      <c r="N319" s="372">
        <v>0.76200000000000001</v>
      </c>
      <c r="O319" s="704">
        <v>32.718371138700292</v>
      </c>
      <c r="P319" s="375" t="s">
        <v>619</v>
      </c>
      <c r="Q319" s="375" t="s">
        <v>619</v>
      </c>
      <c r="R319" s="696">
        <v>20130130</v>
      </c>
      <c r="S319" s="375" t="s">
        <v>2825</v>
      </c>
      <c r="T319" s="697" t="s">
        <v>768</v>
      </c>
      <c r="U319" s="372" t="s">
        <v>2826</v>
      </c>
      <c r="V319" s="722">
        <v>22.21</v>
      </c>
      <c r="W319" s="722">
        <v>1.63</v>
      </c>
      <c r="X319" s="722">
        <v>1.69</v>
      </c>
      <c r="Y319" s="722" t="s">
        <v>770</v>
      </c>
      <c r="Z319" s="382">
        <v>7.9892799946016613E-2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2872</v>
      </c>
      <c r="AF319" s="372">
        <v>3206</v>
      </c>
      <c r="AG319" s="372">
        <v>3605.5</v>
      </c>
      <c r="AH319" s="372">
        <v>4263</v>
      </c>
    </row>
    <row r="320" spans="1:34">
      <c r="A320" s="372" t="s">
        <v>2827</v>
      </c>
      <c r="B320" s="373" t="s">
        <v>2828</v>
      </c>
      <c r="C320" s="372" t="s">
        <v>2829</v>
      </c>
      <c r="D320" s="374">
        <v>1201110447781</v>
      </c>
      <c r="E320" s="372" t="s">
        <v>2830</v>
      </c>
      <c r="F320" s="372" t="s">
        <v>5684</v>
      </c>
      <c r="G320" s="375" t="s">
        <v>5684</v>
      </c>
      <c r="H320" s="375" t="s">
        <v>858</v>
      </c>
      <c r="I320" s="375" t="s">
        <v>859</v>
      </c>
      <c r="J320" s="375">
        <v>1207670.65234</v>
      </c>
      <c r="K320" s="375">
        <v>142872.16946</v>
      </c>
      <c r="L320" s="375">
        <v>105717.78320999999</v>
      </c>
      <c r="M320" s="375">
        <v>812481.93050999998</v>
      </c>
      <c r="N320" s="372">
        <v>0.49099999999999999</v>
      </c>
      <c r="O320" s="704">
        <v>39.339999055656008</v>
      </c>
      <c r="P320" s="375" t="s">
        <v>619</v>
      </c>
      <c r="Q320" s="375" t="s">
        <v>619</v>
      </c>
      <c r="R320" s="696">
        <v>20170327</v>
      </c>
      <c r="S320" s="375" t="s">
        <v>2833</v>
      </c>
      <c r="T320" s="697">
        <v>0.23100000000000001</v>
      </c>
      <c r="U320" s="375" t="s">
        <v>2834</v>
      </c>
      <c r="V320" s="722">
        <v>9.1</v>
      </c>
      <c r="W320" s="722">
        <v>1.85</v>
      </c>
      <c r="X320" s="722">
        <v>1.25</v>
      </c>
      <c r="Y320" s="722">
        <v>16.350000000000001</v>
      </c>
      <c r="Z320" s="382">
        <v>0.35247184789164665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13371.2</v>
      </c>
      <c r="AF320" s="372">
        <v>19317.75</v>
      </c>
      <c r="AG320" s="372">
        <v>26054.33</v>
      </c>
      <c r="AH320" s="372">
        <v>0</v>
      </c>
    </row>
    <row r="321" spans="1:34">
      <c r="A321" s="372" t="s">
        <v>2835</v>
      </c>
      <c r="B321" s="373" t="s">
        <v>2836</v>
      </c>
      <c r="C321" s="372" t="s">
        <v>2837</v>
      </c>
      <c r="D321" s="374">
        <v>1101110145147</v>
      </c>
      <c r="E321" s="372" t="s">
        <v>2838</v>
      </c>
      <c r="F321" s="375" t="s">
        <v>2839</v>
      </c>
      <c r="G321" s="375" t="s">
        <v>2840</v>
      </c>
      <c r="H321" s="375" t="s">
        <v>823</v>
      </c>
      <c r="I321" s="375" t="s">
        <v>751</v>
      </c>
      <c r="J321" s="375">
        <v>443980.36914999998</v>
      </c>
      <c r="K321" s="375">
        <v>-14238.731760000001</v>
      </c>
      <c r="L321" s="375">
        <v>-26640.544320000001</v>
      </c>
      <c r="M321" s="375">
        <v>317085.19893999997</v>
      </c>
      <c r="N321" s="372">
        <v>1.349</v>
      </c>
      <c r="O321" s="704">
        <v>34.621699252557043</v>
      </c>
      <c r="P321" s="375" t="s">
        <v>619</v>
      </c>
      <c r="Q321" s="375" t="s">
        <v>619</v>
      </c>
      <c r="R321" s="696">
        <v>19880830</v>
      </c>
      <c r="S321" s="375" t="s">
        <v>2841</v>
      </c>
      <c r="T321" s="697" t="s">
        <v>768</v>
      </c>
      <c r="U321" s="375" t="s">
        <v>2842</v>
      </c>
      <c r="V321" s="722">
        <v>57.5</v>
      </c>
      <c r="W321" s="722">
        <v>1.78</v>
      </c>
      <c r="X321" s="722">
        <v>1.27</v>
      </c>
      <c r="Y321" s="722">
        <v>93.99</v>
      </c>
      <c r="Z321" s="382" t="s">
        <v>924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2843</v>
      </c>
      <c r="B322" s="373" t="s">
        <v>2844</v>
      </c>
      <c r="C322" s="372" t="s">
        <v>2845</v>
      </c>
      <c r="D322" s="374">
        <v>1101117232799</v>
      </c>
      <c r="E322" s="372" t="s">
        <v>2846</v>
      </c>
      <c r="F322" s="375" t="s">
        <v>1747</v>
      </c>
      <c r="G322" s="375" t="s">
        <v>1747</v>
      </c>
      <c r="H322" s="375" t="s">
        <v>858</v>
      </c>
      <c r="I322" s="375" t="s">
        <v>859</v>
      </c>
      <c r="J322" s="375">
        <v>108656.45858000001</v>
      </c>
      <c r="K322" s="375">
        <v>31493.504420000001</v>
      </c>
      <c r="L322" s="375">
        <v>33816.928290000003</v>
      </c>
      <c r="M322" s="375">
        <v>113445.92008</v>
      </c>
      <c r="N322" s="372">
        <v>0.22500000000000001</v>
      </c>
      <c r="O322" s="704">
        <v>3.779598075934802</v>
      </c>
      <c r="P322" s="375" t="s">
        <v>619</v>
      </c>
      <c r="Q322" s="372" t="s">
        <v>619</v>
      </c>
      <c r="R322" s="696">
        <v>20191219</v>
      </c>
      <c r="S322" s="372" t="s">
        <v>2847</v>
      </c>
      <c r="T322" s="697">
        <v>0.23100000000000001</v>
      </c>
      <c r="U322" s="372" t="s">
        <v>2848</v>
      </c>
      <c r="V322" s="722">
        <v>18.54</v>
      </c>
      <c r="W322" s="722">
        <v>5.51</v>
      </c>
      <c r="X322" s="722">
        <v>5.72</v>
      </c>
      <c r="Y322" s="722">
        <v>25.41</v>
      </c>
      <c r="Z322" s="382">
        <v>0.13133168507842496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1179.17</v>
      </c>
      <c r="AF322" s="372">
        <v>1523</v>
      </c>
      <c r="AG322" s="372">
        <v>1894.2</v>
      </c>
      <c r="AH322" s="372">
        <v>2610</v>
      </c>
    </row>
    <row r="323" spans="1:34">
      <c r="A323" s="372" t="s">
        <v>2849</v>
      </c>
      <c r="B323" s="373" t="s">
        <v>2850</v>
      </c>
      <c r="C323" s="372" t="s">
        <v>2851</v>
      </c>
      <c r="D323" s="374">
        <v>1101115685966</v>
      </c>
      <c r="E323" s="372" t="s">
        <v>2852</v>
      </c>
      <c r="F323" s="375" t="s">
        <v>2853</v>
      </c>
      <c r="G323" s="375" t="s">
        <v>2854</v>
      </c>
      <c r="H323" s="375" t="s">
        <v>1334</v>
      </c>
      <c r="I323" s="375" t="s">
        <v>859</v>
      </c>
      <c r="J323" s="375">
        <v>929053.60548000003</v>
      </c>
      <c r="K323" s="375">
        <v>108212.7298</v>
      </c>
      <c r="L323" s="375">
        <v>109453.99016</v>
      </c>
      <c r="M323" s="375">
        <v>502385.01814</v>
      </c>
      <c r="N323" s="372">
        <v>0.19900000000000001</v>
      </c>
      <c r="O323" s="704">
        <v>16.064913692653139</v>
      </c>
      <c r="P323" s="375" t="s">
        <v>619</v>
      </c>
      <c r="Q323" s="372" t="s">
        <v>619</v>
      </c>
      <c r="R323" s="696">
        <v>20150504</v>
      </c>
      <c r="S323" s="375" t="s">
        <v>2855</v>
      </c>
      <c r="T323" s="697">
        <v>0.23100000000000001</v>
      </c>
      <c r="U323" s="375" t="s">
        <v>2856</v>
      </c>
      <c r="V323" s="722">
        <v>2.92</v>
      </c>
      <c r="W323" s="722">
        <v>0.97</v>
      </c>
      <c r="X323" s="722">
        <v>0.56000000000000005</v>
      </c>
      <c r="Y323" s="722">
        <v>6.43</v>
      </c>
      <c r="Z323" s="382">
        <v>1.3493276033011314E-2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9291.83</v>
      </c>
      <c r="AF323" s="372">
        <v>9560.25</v>
      </c>
      <c r="AG323" s="372">
        <v>9867.33</v>
      </c>
      <c r="AH323" s="372">
        <v>0</v>
      </c>
    </row>
    <row r="324" spans="1:34">
      <c r="A324" s="372" t="s">
        <v>2857</v>
      </c>
      <c r="B324" s="373" t="s">
        <v>2858</v>
      </c>
      <c r="C324" s="372" t="s">
        <v>2859</v>
      </c>
      <c r="D324" s="374">
        <v>1543110022729</v>
      </c>
      <c r="E324" s="372" t="s">
        <v>2860</v>
      </c>
      <c r="F324" s="375" t="s">
        <v>2861</v>
      </c>
      <c r="G324" s="375" t="s">
        <v>2862</v>
      </c>
      <c r="H324" s="375" t="s">
        <v>823</v>
      </c>
      <c r="I324" s="375" t="s">
        <v>751</v>
      </c>
      <c r="J324" s="375">
        <v>249569.15388</v>
      </c>
      <c r="K324" s="375">
        <v>33338.05156</v>
      </c>
      <c r="L324" s="375">
        <v>27467.022400000002</v>
      </c>
      <c r="M324" s="375">
        <v>336329.09334999998</v>
      </c>
      <c r="N324" s="372">
        <v>1.19</v>
      </c>
      <c r="O324" s="704">
        <v>23.383614150367158</v>
      </c>
      <c r="P324" s="375" t="s">
        <v>619</v>
      </c>
      <c r="Q324" s="375" t="s">
        <v>619</v>
      </c>
      <c r="R324" s="696">
        <v>20141208</v>
      </c>
      <c r="S324" s="375" t="s">
        <v>2863</v>
      </c>
      <c r="T324" s="697">
        <v>0.23100000000000001</v>
      </c>
      <c r="U324" s="375" t="s">
        <v>2864</v>
      </c>
      <c r="V324" s="722">
        <v>0</v>
      </c>
      <c r="W324" s="722">
        <v>0</v>
      </c>
      <c r="X324" s="722">
        <v>0</v>
      </c>
      <c r="Y324" s="722">
        <v>0</v>
      </c>
      <c r="Z324" s="382" t="s">
        <v>924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2865</v>
      </c>
      <c r="B325" s="373" t="s">
        <v>2866</v>
      </c>
      <c r="C325" s="372" t="s">
        <v>15843</v>
      </c>
      <c r="D325" s="374">
        <v>1101116557114</v>
      </c>
      <c r="E325" s="372" t="s">
        <v>15844</v>
      </c>
      <c r="F325" s="375" t="s">
        <v>972</v>
      </c>
      <c r="G325" s="375" t="s">
        <v>973</v>
      </c>
      <c r="H325" s="375" t="s">
        <v>814</v>
      </c>
      <c r="I325" s="375" t="s">
        <v>751</v>
      </c>
      <c r="J325" s="375">
        <v>1197484.3199799999</v>
      </c>
      <c r="K325" s="375">
        <v>41127.280010000002</v>
      </c>
      <c r="L325" s="375">
        <v>34291.538890000003</v>
      </c>
      <c r="M325" s="375">
        <v>444680.67450000002</v>
      </c>
      <c r="N325" s="372">
        <v>0.504</v>
      </c>
      <c r="O325" s="704">
        <v>55.366265372874757</v>
      </c>
      <c r="P325" s="375" t="s">
        <v>619</v>
      </c>
      <c r="Q325" s="372" t="s">
        <v>619</v>
      </c>
      <c r="R325" s="696">
        <v>20180727</v>
      </c>
      <c r="S325" s="375" t="s">
        <v>2867</v>
      </c>
      <c r="T325" s="697">
        <v>0.23100000000000001</v>
      </c>
      <c r="U325" s="372" t="s">
        <v>2868</v>
      </c>
      <c r="V325" s="722">
        <v>4.9000000000000004</v>
      </c>
      <c r="W325" s="722">
        <v>0.89</v>
      </c>
      <c r="X325" s="722">
        <v>0.31</v>
      </c>
      <c r="Y325" s="722">
        <v>12.97</v>
      </c>
      <c r="Z325" s="382">
        <v>6.5531190647327708E-2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12474.43</v>
      </c>
      <c r="AF325" s="372">
        <v>13906.29</v>
      </c>
      <c r="AG325" s="372">
        <v>15426.17</v>
      </c>
      <c r="AH325" s="372">
        <v>0</v>
      </c>
    </row>
    <row r="326" spans="1:34">
      <c r="A326" s="372" t="s">
        <v>2869</v>
      </c>
      <c r="B326" s="373" t="s">
        <v>2870</v>
      </c>
      <c r="C326" s="372" t="s">
        <v>2871</v>
      </c>
      <c r="D326" s="374">
        <v>1345110000014</v>
      </c>
      <c r="E326" s="372" t="s">
        <v>2872</v>
      </c>
      <c r="F326" s="375" t="s">
        <v>2622</v>
      </c>
      <c r="G326" s="375" t="s">
        <v>2623</v>
      </c>
      <c r="H326" s="375" t="s">
        <v>814</v>
      </c>
      <c r="I326" s="375" t="s">
        <v>751</v>
      </c>
      <c r="J326" s="375">
        <v>2181324.6416699998</v>
      </c>
      <c r="K326" s="375">
        <v>-3418.2175000000002</v>
      </c>
      <c r="L326" s="375">
        <v>-109964.0413</v>
      </c>
      <c r="M326" s="375">
        <v>1790847.9830700001</v>
      </c>
      <c r="N326" s="372">
        <v>0.94199999999999995</v>
      </c>
      <c r="O326" s="704">
        <v>208.04065582291139</v>
      </c>
      <c r="P326" s="375" t="s">
        <v>619</v>
      </c>
      <c r="Q326" s="375" t="s">
        <v>619</v>
      </c>
      <c r="R326" s="696">
        <v>19780828</v>
      </c>
      <c r="S326" s="375" t="s">
        <v>2873</v>
      </c>
      <c r="T326" s="697" t="s">
        <v>768</v>
      </c>
      <c r="U326" s="375" t="s">
        <v>2148</v>
      </c>
      <c r="V326" s="722">
        <v>30</v>
      </c>
      <c r="W326" s="722">
        <v>0.82</v>
      </c>
      <c r="X326" s="722">
        <v>0.35</v>
      </c>
      <c r="Y326" s="722" t="s">
        <v>770</v>
      </c>
      <c r="Z326" s="382" t="s">
        <v>924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2874</v>
      </c>
      <c r="B327" s="373" t="s">
        <v>2875</v>
      </c>
      <c r="C327" s="372" t="s">
        <v>2876</v>
      </c>
      <c r="D327" s="374">
        <v>1347110001159</v>
      </c>
      <c r="E327" s="372" t="s">
        <v>2877</v>
      </c>
      <c r="F327" s="375" t="s">
        <v>2878</v>
      </c>
      <c r="G327" s="375" t="s">
        <v>2878</v>
      </c>
      <c r="H327" s="375" t="s">
        <v>750</v>
      </c>
      <c r="I327" s="375" t="s">
        <v>751</v>
      </c>
      <c r="J327" s="375">
        <v>1328848.6605400001</v>
      </c>
      <c r="K327" s="375">
        <v>133701.30189</v>
      </c>
      <c r="L327" s="375">
        <v>125836.13351</v>
      </c>
      <c r="M327" s="375">
        <v>651035.01407000003</v>
      </c>
      <c r="N327" s="372">
        <v>0.79600000000000004</v>
      </c>
      <c r="O327" s="704">
        <v>20.301368022351824</v>
      </c>
      <c r="P327" s="375" t="s">
        <v>619</v>
      </c>
      <c r="Q327" s="375" t="s">
        <v>619</v>
      </c>
      <c r="R327" s="696">
        <v>19930831</v>
      </c>
      <c r="S327" s="375" t="s">
        <v>2879</v>
      </c>
      <c r="T327" s="697">
        <v>0.23100000000000001</v>
      </c>
      <c r="U327" s="372" t="s">
        <v>2880</v>
      </c>
      <c r="V327" s="722">
        <v>6.65</v>
      </c>
      <c r="W327" s="722">
        <v>1.59</v>
      </c>
      <c r="X327" s="722">
        <v>0.78</v>
      </c>
      <c r="Y327" s="722">
        <v>10.57</v>
      </c>
      <c r="Z327" s="382">
        <v>0.11307125805117968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13960.5</v>
      </c>
      <c r="AF327" s="372">
        <v>16083</v>
      </c>
      <c r="AG327" s="372">
        <v>18485.5</v>
      </c>
      <c r="AH327" s="372">
        <v>0</v>
      </c>
    </row>
    <row r="328" spans="1:34">
      <c r="A328" s="372" t="s">
        <v>2881</v>
      </c>
      <c r="B328" s="373" t="s">
        <v>2882</v>
      </c>
      <c r="C328" s="372" t="s">
        <v>2883</v>
      </c>
      <c r="D328" s="374">
        <v>1358110238402</v>
      </c>
      <c r="E328" s="372" t="s">
        <v>2884</v>
      </c>
      <c r="F328" s="375" t="s">
        <v>1093</v>
      </c>
      <c r="G328" s="375" t="s">
        <v>1094</v>
      </c>
      <c r="H328" s="375" t="s">
        <v>858</v>
      </c>
      <c r="I328" s="375" t="s">
        <v>859</v>
      </c>
      <c r="J328" s="375">
        <v>289760.71941999998</v>
      </c>
      <c r="K328" s="375">
        <v>37997.763010000002</v>
      </c>
      <c r="L328" s="375">
        <v>45787.085379999997</v>
      </c>
      <c r="M328" s="375">
        <v>202197.09323999999</v>
      </c>
      <c r="N328" s="372">
        <v>1.2999999999999999E-2</v>
      </c>
      <c r="O328" s="704">
        <v>8.6972034877419908</v>
      </c>
      <c r="P328" s="375" t="s">
        <v>619</v>
      </c>
      <c r="Q328" s="375" t="s">
        <v>619</v>
      </c>
      <c r="R328" s="696">
        <v>20210517</v>
      </c>
      <c r="S328" s="375" t="s">
        <v>2885</v>
      </c>
      <c r="T328" s="697">
        <v>0.23100000000000001</v>
      </c>
      <c r="U328" s="375" t="s">
        <v>2886</v>
      </c>
      <c r="V328" s="722">
        <v>19.98</v>
      </c>
      <c r="W328" s="722">
        <v>4.6500000000000004</v>
      </c>
      <c r="X328" s="722">
        <v>3.25</v>
      </c>
      <c r="Y328" s="722">
        <v>24.74</v>
      </c>
      <c r="Z328" s="382">
        <v>0.18420606251169747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3099.3</v>
      </c>
      <c r="AF328" s="372">
        <v>3784.1</v>
      </c>
      <c r="AG328" s="372">
        <v>4332.8900000000003</v>
      </c>
      <c r="AH328" s="372">
        <v>5410</v>
      </c>
    </row>
    <row r="329" spans="1:34">
      <c r="A329" s="372" t="s">
        <v>2887</v>
      </c>
      <c r="B329" s="373" t="s">
        <v>2888</v>
      </c>
      <c r="C329" s="372" t="s">
        <v>2889</v>
      </c>
      <c r="D329" s="374">
        <v>1101118626793</v>
      </c>
      <c r="E329" s="372" t="s">
        <v>2889</v>
      </c>
      <c r="F329" s="375" t="s">
        <v>1300</v>
      </c>
      <c r="G329" s="375" t="s">
        <v>1300</v>
      </c>
      <c r="H329" s="375" t="s">
        <v>823</v>
      </c>
      <c r="I329" s="375" t="s">
        <v>751</v>
      </c>
      <c r="J329" s="375">
        <v>2190051.9240000001</v>
      </c>
      <c r="K329" s="375">
        <v>110322.42600000001</v>
      </c>
      <c r="L329" s="375">
        <v>118666.961</v>
      </c>
      <c r="M329" s="375">
        <v>1227687.4750000001</v>
      </c>
      <c r="N329" s="372" t="s">
        <v>1023</v>
      </c>
      <c r="O329" s="704">
        <v>104.67468136526196</v>
      </c>
      <c r="P329" s="375" t="s">
        <v>619</v>
      </c>
      <c r="Q329" s="372" t="s">
        <v>619</v>
      </c>
      <c r="R329" s="696">
        <v>20230530</v>
      </c>
      <c r="S329" s="375" t="s">
        <v>2890</v>
      </c>
      <c r="T329" s="697">
        <v>0.23100000000000001</v>
      </c>
      <c r="U329" s="375" t="s">
        <v>1729</v>
      </c>
      <c r="V329" s="722">
        <v>5.85</v>
      </c>
      <c r="W329" s="722">
        <v>0.61</v>
      </c>
      <c r="X329" s="722">
        <v>0.32</v>
      </c>
      <c r="Y329" s="722">
        <v>7.3</v>
      </c>
      <c r="Z329" s="382" t="s">
        <v>924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2891</v>
      </c>
      <c r="B330" s="373" t="s">
        <v>2892</v>
      </c>
      <c r="C330" s="372" t="s">
        <v>2893</v>
      </c>
      <c r="D330" s="374">
        <v>1101110019219</v>
      </c>
      <c r="E330" s="372" t="s">
        <v>2894</v>
      </c>
      <c r="F330" s="375" t="s">
        <v>1066</v>
      </c>
      <c r="G330" s="375" t="s">
        <v>2895</v>
      </c>
      <c r="H330" s="375" t="s">
        <v>843</v>
      </c>
      <c r="I330" s="375" t="s">
        <v>751</v>
      </c>
      <c r="J330" s="375">
        <v>655281.39671</v>
      </c>
      <c r="K330" s="375">
        <v>7787.1257699999996</v>
      </c>
      <c r="L330" s="375">
        <v>7111.2591000000002</v>
      </c>
      <c r="M330" s="375">
        <v>602999.43183000002</v>
      </c>
      <c r="N330" s="372">
        <v>0.83</v>
      </c>
      <c r="O330" s="704">
        <v>35.180445800088087</v>
      </c>
      <c r="P330" s="375" t="s">
        <v>619</v>
      </c>
      <c r="Q330" s="372" t="s">
        <v>619</v>
      </c>
      <c r="R330" s="696">
        <v>19640104</v>
      </c>
      <c r="S330" s="372" t="s">
        <v>2896</v>
      </c>
      <c r="T330" s="697">
        <v>0.20900000000000002</v>
      </c>
      <c r="U330" s="372" t="s">
        <v>2897</v>
      </c>
      <c r="V330" s="722">
        <v>39.81</v>
      </c>
      <c r="W330" s="722">
        <v>1.49</v>
      </c>
      <c r="X330" s="722">
        <v>1.42</v>
      </c>
      <c r="Y330" s="722">
        <v>144.53</v>
      </c>
      <c r="Z330" s="382">
        <v>5.42950455872937E-2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6711.67</v>
      </c>
      <c r="AF330" s="372">
        <v>7403</v>
      </c>
      <c r="AG330" s="372">
        <v>8437</v>
      </c>
      <c r="AH330" s="372">
        <v>9780</v>
      </c>
    </row>
    <row r="331" spans="1:34">
      <c r="A331" s="372" t="s">
        <v>2898</v>
      </c>
      <c r="B331" s="373" t="s">
        <v>2899</v>
      </c>
      <c r="C331" s="372" t="s">
        <v>2900</v>
      </c>
      <c r="D331" s="374">
        <v>1101110115504</v>
      </c>
      <c r="E331" s="372" t="s">
        <v>2901</v>
      </c>
      <c r="F331" s="375" t="s">
        <v>2438</v>
      </c>
      <c r="G331" s="375" t="s">
        <v>2438</v>
      </c>
      <c r="H331" s="375" t="s">
        <v>814</v>
      </c>
      <c r="I331" s="375" t="s">
        <v>751</v>
      </c>
      <c r="J331" s="375">
        <v>454183.27535000001</v>
      </c>
      <c r="K331" s="375">
        <v>27547.262500000001</v>
      </c>
      <c r="L331" s="375">
        <v>-121552.62523999999</v>
      </c>
      <c r="M331" s="375">
        <v>362790.69416999997</v>
      </c>
      <c r="N331" s="372">
        <v>0.4</v>
      </c>
      <c r="O331" s="704">
        <v>178.73205764687691</v>
      </c>
      <c r="P331" s="375" t="s">
        <v>619</v>
      </c>
      <c r="Q331" s="375" t="s">
        <v>619</v>
      </c>
      <c r="R331" s="696">
        <v>20060608</v>
      </c>
      <c r="S331" s="375" t="s">
        <v>2902</v>
      </c>
      <c r="T331" s="697" t="s">
        <v>768</v>
      </c>
      <c r="U331" s="375" t="s">
        <v>2903</v>
      </c>
      <c r="V331" s="722">
        <v>18</v>
      </c>
      <c r="W331" s="722">
        <v>2.12</v>
      </c>
      <c r="X331" s="722">
        <v>1.71</v>
      </c>
      <c r="Y331" s="722" t="s">
        <v>770</v>
      </c>
      <c r="Z331" s="382">
        <v>0.17839510994748675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4845.13</v>
      </c>
      <c r="AF331" s="372">
        <v>5578</v>
      </c>
      <c r="AG331" s="372">
        <v>6046</v>
      </c>
      <c r="AH331" s="372">
        <v>5570</v>
      </c>
    </row>
    <row r="332" spans="1:34">
      <c r="A332" s="372" t="s">
        <v>2904</v>
      </c>
      <c r="B332" s="373" t="s">
        <v>2905</v>
      </c>
      <c r="C332" s="372" t="s">
        <v>2906</v>
      </c>
      <c r="D332" s="374">
        <v>1201110454976</v>
      </c>
      <c r="E332" s="372" t="s">
        <v>2907</v>
      </c>
      <c r="F332" s="375" t="s">
        <v>1086</v>
      </c>
      <c r="G332" s="375" t="s">
        <v>1086</v>
      </c>
      <c r="H332" s="375" t="s">
        <v>906</v>
      </c>
      <c r="I332" s="375" t="s">
        <v>751</v>
      </c>
      <c r="J332" s="375">
        <v>1446236.4679099999</v>
      </c>
      <c r="K332" s="375">
        <v>186370.99612</v>
      </c>
      <c r="L332" s="375">
        <v>190549.78924000001</v>
      </c>
      <c r="M332" s="375">
        <v>243727.61192</v>
      </c>
      <c r="N332" s="372">
        <v>0.54700000000000004</v>
      </c>
      <c r="O332" s="704">
        <v>57.902398486965225</v>
      </c>
      <c r="P332" s="375" t="s">
        <v>619</v>
      </c>
      <c r="Q332" s="375" t="s">
        <v>619</v>
      </c>
      <c r="R332" s="696">
        <v>20171208</v>
      </c>
      <c r="S332" s="375" t="s">
        <v>2908</v>
      </c>
      <c r="T332" s="697">
        <v>0.23100000000000001</v>
      </c>
      <c r="U332" s="375" t="s">
        <v>2909</v>
      </c>
      <c r="V332" s="722">
        <v>0</v>
      </c>
      <c r="W332" s="722">
        <v>0</v>
      </c>
      <c r="X332" s="722">
        <v>0</v>
      </c>
      <c r="Y332" s="722">
        <v>0</v>
      </c>
      <c r="Z332" s="382" t="s">
        <v>924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2910</v>
      </c>
      <c r="B333" s="373" t="s">
        <v>2911</v>
      </c>
      <c r="C333" s="372" t="s">
        <v>2912</v>
      </c>
      <c r="D333" s="374">
        <v>1101115731032</v>
      </c>
      <c r="E333" s="372" t="s">
        <v>2913</v>
      </c>
      <c r="F333" s="375" t="s">
        <v>1959</v>
      </c>
      <c r="G333" s="375" t="s">
        <v>1959</v>
      </c>
      <c r="H333" s="375" t="s">
        <v>858</v>
      </c>
      <c r="I333" s="375" t="s">
        <v>859</v>
      </c>
      <c r="J333" s="375">
        <v>599357.73858</v>
      </c>
      <c r="K333" s="375">
        <v>65528.746299999999</v>
      </c>
      <c r="L333" s="375">
        <v>63220.048419999999</v>
      </c>
      <c r="M333" s="375">
        <v>304560.22911999997</v>
      </c>
      <c r="N333" s="372">
        <v>1.353</v>
      </c>
      <c r="O333" s="704">
        <v>1.7132825173700319</v>
      </c>
      <c r="P333" s="375" t="s">
        <v>619</v>
      </c>
      <c r="Q333" s="372" t="s">
        <v>619</v>
      </c>
      <c r="R333" s="696">
        <v>20150902</v>
      </c>
      <c r="S333" s="372" t="s">
        <v>2914</v>
      </c>
      <c r="T333" s="697">
        <v>0.23100000000000001</v>
      </c>
      <c r="U333" s="372" t="s">
        <v>2915</v>
      </c>
      <c r="V333" s="722">
        <v>10.119999999999999</v>
      </c>
      <c r="W333" s="722">
        <v>2.3199999999999998</v>
      </c>
      <c r="X333" s="722">
        <v>1.17</v>
      </c>
      <c r="Y333" s="722">
        <v>13.82</v>
      </c>
      <c r="Z333" s="382" t="s">
        <v>924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4490</v>
      </c>
      <c r="AF333" s="372">
        <v>5910</v>
      </c>
      <c r="AG333" s="372">
        <v>0</v>
      </c>
      <c r="AH333" s="372">
        <v>0</v>
      </c>
    </row>
    <row r="334" spans="1:34">
      <c r="A334" s="372" t="s">
        <v>2916</v>
      </c>
      <c r="B334" s="373" t="s">
        <v>2917</v>
      </c>
      <c r="C334" s="372" t="s">
        <v>2918</v>
      </c>
      <c r="D334" s="374">
        <v>1101110017990</v>
      </c>
      <c r="E334" s="372" t="s">
        <v>2919</v>
      </c>
      <c r="F334" s="375" t="s">
        <v>890</v>
      </c>
      <c r="G334" s="375" t="s">
        <v>891</v>
      </c>
      <c r="H334" s="375" t="s">
        <v>852</v>
      </c>
      <c r="I334" s="375" t="s">
        <v>751</v>
      </c>
      <c r="J334" s="375">
        <v>1288650.2388800001</v>
      </c>
      <c r="K334" s="375">
        <v>76412.407359999997</v>
      </c>
      <c r="L334" s="375">
        <v>66837.368069999997</v>
      </c>
      <c r="M334" s="375">
        <v>1068823.07917</v>
      </c>
      <c r="N334" s="372">
        <v>0.75600000000000001</v>
      </c>
      <c r="O334" s="704">
        <v>94.106575467105586</v>
      </c>
      <c r="P334" s="375" t="s">
        <v>619</v>
      </c>
      <c r="Q334" s="375" t="s">
        <v>619</v>
      </c>
      <c r="R334" s="696">
        <v>19700210</v>
      </c>
      <c r="S334" s="375" t="s">
        <v>2920</v>
      </c>
      <c r="T334" s="697">
        <v>0.23100000000000001</v>
      </c>
      <c r="U334" s="375" t="s">
        <v>2921</v>
      </c>
      <c r="V334" s="722">
        <v>9.0299999999999994</v>
      </c>
      <c r="W334" s="722">
        <v>0.7</v>
      </c>
      <c r="X334" s="722">
        <v>0.57999999999999996</v>
      </c>
      <c r="Y334" s="722">
        <v>13.52</v>
      </c>
      <c r="Z334" s="382">
        <v>7.90120737825315E-2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12887.5</v>
      </c>
      <c r="AF334" s="372">
        <v>13980.25</v>
      </c>
      <c r="AG334" s="372">
        <v>15344.5</v>
      </c>
      <c r="AH334" s="372">
        <v>0</v>
      </c>
    </row>
    <row r="335" spans="1:34">
      <c r="A335" s="372" t="s">
        <v>2922</v>
      </c>
      <c r="B335" s="373" t="s">
        <v>2923</v>
      </c>
      <c r="C335" s="372" t="s">
        <v>2924</v>
      </c>
      <c r="D335" s="374">
        <v>1101111673220</v>
      </c>
      <c r="E335" s="372" t="s">
        <v>2924</v>
      </c>
      <c r="F335" s="375" t="s">
        <v>2925</v>
      </c>
      <c r="G335" s="375" t="s">
        <v>2926</v>
      </c>
      <c r="H335" s="375" t="s">
        <v>814</v>
      </c>
      <c r="I335" s="375" t="s">
        <v>751</v>
      </c>
      <c r="J335" s="375">
        <v>1718294.5938500001</v>
      </c>
      <c r="K335" s="375">
        <v>73055.464240000001</v>
      </c>
      <c r="L335" s="375">
        <v>-91515.876409999997</v>
      </c>
      <c r="M335" s="375">
        <v>826905.06238000002</v>
      </c>
      <c r="N335" s="372">
        <v>0.94899999999999995</v>
      </c>
      <c r="O335" s="704">
        <v>267.63551101178678</v>
      </c>
      <c r="P335" s="375" t="s">
        <v>619</v>
      </c>
      <c r="Q335" s="375" t="s">
        <v>619</v>
      </c>
      <c r="R335" s="696">
        <v>20041224</v>
      </c>
      <c r="S335" s="375" t="s">
        <v>2927</v>
      </c>
      <c r="T335" s="697" t="s">
        <v>768</v>
      </c>
      <c r="U335" s="375" t="s">
        <v>2928</v>
      </c>
      <c r="V335" s="722">
        <v>8.23</v>
      </c>
      <c r="W335" s="722">
        <v>0.97</v>
      </c>
      <c r="X335" s="722">
        <v>0.46</v>
      </c>
      <c r="Y335" s="722" t="s">
        <v>770</v>
      </c>
      <c r="Z335" s="382">
        <v>0.12531840444422415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19596</v>
      </c>
      <c r="AF335" s="372">
        <v>23562.6</v>
      </c>
      <c r="AG335" s="372">
        <v>24789.4</v>
      </c>
      <c r="AH335" s="372">
        <v>0</v>
      </c>
    </row>
    <row r="336" spans="1:34">
      <c r="A336" s="372" t="s">
        <v>2929</v>
      </c>
      <c r="B336" s="373" t="s">
        <v>2930</v>
      </c>
      <c r="C336" s="372" t="s">
        <v>2931</v>
      </c>
      <c r="D336" s="374">
        <v>1243110031213</v>
      </c>
      <c r="E336" s="372" t="s">
        <v>2932</v>
      </c>
      <c r="F336" s="375" t="s">
        <v>2072</v>
      </c>
      <c r="G336" s="375" t="s">
        <v>2073</v>
      </c>
      <c r="H336" s="375" t="s">
        <v>858</v>
      </c>
      <c r="I336" s="375" t="s">
        <v>859</v>
      </c>
      <c r="J336" s="375">
        <v>387339.73674000002</v>
      </c>
      <c r="K336" s="375">
        <v>12495.74525</v>
      </c>
      <c r="L336" s="375">
        <v>12591.73604</v>
      </c>
      <c r="M336" s="375">
        <v>241628.66613999999</v>
      </c>
      <c r="N336" s="372">
        <v>0.81799999999999995</v>
      </c>
      <c r="O336" s="704">
        <v>14.574210396510537</v>
      </c>
      <c r="P336" s="375" t="s">
        <v>619</v>
      </c>
      <c r="Q336" s="372" t="s">
        <v>619</v>
      </c>
      <c r="R336" s="696">
        <v>20020719</v>
      </c>
      <c r="S336" s="372" t="s">
        <v>2933</v>
      </c>
      <c r="T336" s="697">
        <v>0.20900000000000002</v>
      </c>
      <c r="U336" s="372" t="s">
        <v>2934</v>
      </c>
      <c r="V336" s="722">
        <v>29.65</v>
      </c>
      <c r="W336" s="722">
        <v>2.21</v>
      </c>
      <c r="X336" s="722">
        <v>1.38</v>
      </c>
      <c r="Y336" s="722">
        <v>47.86</v>
      </c>
      <c r="Z336" s="382">
        <v>7.7348852217602238E-2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4358</v>
      </c>
      <c r="AF336" s="372">
        <v>4820</v>
      </c>
      <c r="AG336" s="372">
        <v>5305</v>
      </c>
      <c r="AH336" s="372">
        <v>0</v>
      </c>
    </row>
    <row r="337" spans="1:34">
      <c r="A337" s="372" t="s">
        <v>2935</v>
      </c>
      <c r="B337" s="373" t="s">
        <v>2936</v>
      </c>
      <c r="C337" s="372" t="s">
        <v>2937</v>
      </c>
      <c r="D337" s="374">
        <v>2101110123944</v>
      </c>
      <c r="E337" s="372" t="s">
        <v>2938</v>
      </c>
      <c r="F337" s="375" t="s">
        <v>1300</v>
      </c>
      <c r="G337" s="375" t="s">
        <v>1300</v>
      </c>
      <c r="H337" s="375" t="s">
        <v>823</v>
      </c>
      <c r="I337" s="375" t="s">
        <v>751</v>
      </c>
      <c r="J337" s="375">
        <v>484329.80151000002</v>
      </c>
      <c r="K337" s="375">
        <v>51800.487860000001</v>
      </c>
      <c r="L337" s="375">
        <v>56836.990489999996</v>
      </c>
      <c r="M337" s="375">
        <v>397615.88522</v>
      </c>
      <c r="N337" s="372">
        <v>0.24199999999999999</v>
      </c>
      <c r="O337" s="704">
        <v>4.5753105846345505</v>
      </c>
      <c r="P337" s="375" t="s">
        <v>619</v>
      </c>
      <c r="Q337" s="372" t="s">
        <v>619</v>
      </c>
      <c r="R337" s="696">
        <v>20170522</v>
      </c>
      <c r="S337" s="372" t="s">
        <v>2939</v>
      </c>
      <c r="T337" s="697">
        <v>0.23100000000000001</v>
      </c>
      <c r="U337" s="372" t="s">
        <v>2940</v>
      </c>
      <c r="V337" s="722">
        <v>8.57</v>
      </c>
      <c r="W337" s="722">
        <v>1.63</v>
      </c>
      <c r="X337" s="722">
        <v>1.39</v>
      </c>
      <c r="Y337" s="722">
        <v>15.1</v>
      </c>
      <c r="Z337" s="382" t="s">
        <v>924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2941</v>
      </c>
      <c r="B338" s="373" t="s">
        <v>2942</v>
      </c>
      <c r="C338" s="372" t="s">
        <v>16269</v>
      </c>
      <c r="D338" s="374">
        <v>1101112551996</v>
      </c>
      <c r="E338" s="372" t="s">
        <v>2943</v>
      </c>
      <c r="F338" s="372" t="s">
        <v>1793</v>
      </c>
      <c r="G338" s="375" t="s">
        <v>2794</v>
      </c>
      <c r="H338" s="375" t="s">
        <v>858</v>
      </c>
      <c r="I338" s="375" t="s">
        <v>4410</v>
      </c>
      <c r="J338" s="375">
        <v>420461.70136000001</v>
      </c>
      <c r="K338" s="375">
        <v>28146.04941</v>
      </c>
      <c r="L338" s="375">
        <v>-2357.4592400000001</v>
      </c>
      <c r="M338" s="375">
        <v>589638.35704000003</v>
      </c>
      <c r="N338" s="372">
        <v>0.84599999999999997</v>
      </c>
      <c r="O338" s="704" t="e">
        <v>#DIV/0!</v>
      </c>
      <c r="P338" s="375" t="s">
        <v>619</v>
      </c>
      <c r="Q338" s="372" t="s">
        <v>619</v>
      </c>
      <c r="R338" s="696">
        <v>20110124</v>
      </c>
      <c r="S338" s="372" t="e">
        <v>#N/A</v>
      </c>
      <c r="T338" s="697" t="s">
        <v>768</v>
      </c>
      <c r="U338" s="372" t="s">
        <v>2944</v>
      </c>
      <c r="V338" s="722">
        <v>14.8</v>
      </c>
      <c r="W338" s="722">
        <v>1.24</v>
      </c>
      <c r="X338" s="722">
        <v>1.96</v>
      </c>
      <c r="Y338" s="722" t="s">
        <v>770</v>
      </c>
      <c r="Z338" s="382" t="s">
        <v>924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2945</v>
      </c>
      <c r="B339" s="373" t="s">
        <v>2946</v>
      </c>
      <c r="C339" s="372" t="s">
        <v>2947</v>
      </c>
      <c r="D339" s="374">
        <v>1346110062393</v>
      </c>
      <c r="E339" s="372" t="s">
        <v>2948</v>
      </c>
      <c r="F339" s="375" t="s">
        <v>1182</v>
      </c>
      <c r="G339" s="375" t="s">
        <v>1183</v>
      </c>
      <c r="H339" s="375" t="s">
        <v>858</v>
      </c>
      <c r="I339" s="375" t="s">
        <v>859</v>
      </c>
      <c r="J339" s="375">
        <v>469300.27784</v>
      </c>
      <c r="K339" s="375">
        <v>101804.72741000001</v>
      </c>
      <c r="L339" s="375">
        <v>110747.41971</v>
      </c>
      <c r="M339" s="375">
        <v>338976.03382999997</v>
      </c>
      <c r="N339" s="372">
        <v>1.2849999999999999</v>
      </c>
      <c r="O339" s="704">
        <v>49.889936598018494</v>
      </c>
      <c r="P339" s="375" t="s">
        <v>619</v>
      </c>
      <c r="Q339" s="372" t="s">
        <v>619</v>
      </c>
      <c r="R339" s="696">
        <v>20170323</v>
      </c>
      <c r="S339" s="375" t="s">
        <v>2949</v>
      </c>
      <c r="T339" s="697">
        <v>0.23100000000000001</v>
      </c>
      <c r="U339" s="375" t="s">
        <v>2950</v>
      </c>
      <c r="V339" s="722">
        <v>5.27</v>
      </c>
      <c r="W339" s="722">
        <v>2.46</v>
      </c>
      <c r="X339" s="722">
        <v>1.28</v>
      </c>
      <c r="Y339" s="722">
        <v>12.83</v>
      </c>
      <c r="Z339" s="382">
        <v>0.21061775846423436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5200</v>
      </c>
      <c r="AF339" s="372">
        <v>6122.25</v>
      </c>
      <c r="AG339" s="372">
        <v>6600</v>
      </c>
      <c r="AH339" s="372">
        <v>0</v>
      </c>
    </row>
    <row r="340" spans="1:34">
      <c r="A340" s="372" t="s">
        <v>2951</v>
      </c>
      <c r="B340" s="373" t="s">
        <v>2952</v>
      </c>
      <c r="C340" s="372" t="s">
        <v>2953</v>
      </c>
      <c r="D340" s="374">
        <v>1601110032542</v>
      </c>
      <c r="E340" s="372" t="s">
        <v>2954</v>
      </c>
      <c r="F340" s="375" t="s">
        <v>1052</v>
      </c>
      <c r="G340" s="375" t="s">
        <v>16101</v>
      </c>
      <c r="H340" s="375" t="s">
        <v>858</v>
      </c>
      <c r="I340" s="375" t="s">
        <v>859</v>
      </c>
      <c r="J340" s="375">
        <v>287658.38410000002</v>
      </c>
      <c r="K340" s="375">
        <v>-14254.953579999999</v>
      </c>
      <c r="L340" s="375">
        <v>-16889.894199999999</v>
      </c>
      <c r="M340" s="375">
        <v>223922.36934</v>
      </c>
      <c r="N340" s="372">
        <v>0.88800000000000001</v>
      </c>
      <c r="O340" s="704">
        <v>11.64366248745193</v>
      </c>
      <c r="P340" s="375" t="s">
        <v>619</v>
      </c>
      <c r="Q340" s="372" t="s">
        <v>619</v>
      </c>
      <c r="R340" s="696">
        <v>20051229</v>
      </c>
      <c r="S340" s="372" t="s">
        <v>2955</v>
      </c>
      <c r="T340" s="697" t="s">
        <v>768</v>
      </c>
      <c r="U340" s="372" t="s">
        <v>2956</v>
      </c>
      <c r="V340" s="722" t="s">
        <v>770</v>
      </c>
      <c r="W340" s="722">
        <v>3.36</v>
      </c>
      <c r="X340" s="722">
        <v>2.4500000000000002</v>
      </c>
      <c r="Y340" s="722" t="s">
        <v>770</v>
      </c>
      <c r="Z340" s="382">
        <v>0.18336262436418771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3219</v>
      </c>
      <c r="AF340" s="372">
        <v>4432</v>
      </c>
      <c r="AG340" s="372">
        <v>5162</v>
      </c>
      <c r="AH340" s="372">
        <v>0</v>
      </c>
    </row>
    <row r="341" spans="1:34">
      <c r="A341" s="372" t="s">
        <v>2957</v>
      </c>
      <c r="B341" s="373" t="s">
        <v>2958</v>
      </c>
      <c r="C341" s="372" t="s">
        <v>16299</v>
      </c>
      <c r="D341" s="374">
        <v>1101116585826</v>
      </c>
      <c r="E341" s="372" t="s">
        <v>2959</v>
      </c>
      <c r="F341" s="372" t="s">
        <v>1747</v>
      </c>
      <c r="G341" s="375" t="s">
        <v>1747</v>
      </c>
      <c r="H341" s="375" t="s">
        <v>858</v>
      </c>
      <c r="I341" s="375" t="s">
        <v>859</v>
      </c>
      <c r="J341" s="375">
        <v>0</v>
      </c>
      <c r="K341" s="375">
        <v>0</v>
      </c>
      <c r="L341" s="375">
        <v>0</v>
      </c>
      <c r="M341" s="375">
        <v>0</v>
      </c>
      <c r="N341" s="372">
        <v>0.26400000000000001</v>
      </c>
      <c r="O341" s="704" t="s">
        <v>16298</v>
      </c>
      <c r="P341" s="375" t="s">
        <v>16112</v>
      </c>
      <c r="Q341" s="372" t="s">
        <v>16113</v>
      </c>
      <c r="R341" s="696">
        <v>20180508</v>
      </c>
      <c r="S341" s="372" t="e">
        <v>#N/A</v>
      </c>
      <c r="T341" s="697" t="s">
        <v>768</v>
      </c>
      <c r="U341" s="372" t="s">
        <v>2960</v>
      </c>
      <c r="V341" s="722">
        <v>0</v>
      </c>
      <c r="W341" s="722">
        <v>0</v>
      </c>
      <c r="X341" s="722">
        <v>0</v>
      </c>
      <c r="Y341" s="722">
        <v>0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1951.25</v>
      </c>
      <c r="AF341" s="372">
        <v>2339</v>
      </c>
      <c r="AG341" s="372">
        <v>2729.33</v>
      </c>
      <c r="AH341" s="372">
        <v>2720</v>
      </c>
    </row>
    <row r="342" spans="1:34">
      <c r="A342" s="372" t="s">
        <v>2961</v>
      </c>
      <c r="B342" s="373" t="s">
        <v>2962</v>
      </c>
      <c r="C342" s="372" t="s">
        <v>2963</v>
      </c>
      <c r="D342" s="374">
        <v>1801110348945</v>
      </c>
      <c r="E342" s="372" t="s">
        <v>2964</v>
      </c>
      <c r="F342" s="372" t="s">
        <v>1272</v>
      </c>
      <c r="G342" s="375" t="s">
        <v>1272</v>
      </c>
      <c r="H342" s="375" t="s">
        <v>858</v>
      </c>
      <c r="I342" s="375" t="s">
        <v>859</v>
      </c>
      <c r="J342" s="375">
        <v>203576.02161</v>
      </c>
      <c r="K342" s="375">
        <v>-20509.790659999999</v>
      </c>
      <c r="L342" s="375">
        <v>-25266.53874</v>
      </c>
      <c r="M342" s="375">
        <v>226263.65398999999</v>
      </c>
      <c r="N342" s="372">
        <v>0.58899999999999997</v>
      </c>
      <c r="O342" s="704">
        <v>30.295350565517282</v>
      </c>
      <c r="P342" s="375" t="s">
        <v>619</v>
      </c>
      <c r="Q342" s="375" t="s">
        <v>619</v>
      </c>
      <c r="R342" s="696">
        <v>20070502</v>
      </c>
      <c r="S342" s="375" t="s">
        <v>2965</v>
      </c>
      <c r="T342" s="697" t="s">
        <v>768</v>
      </c>
      <c r="U342" s="375" t="s">
        <v>2966</v>
      </c>
      <c r="V342" s="722">
        <v>147.86000000000001</v>
      </c>
      <c r="W342" s="722">
        <v>2.06</v>
      </c>
      <c r="X342" s="722">
        <v>2.36</v>
      </c>
      <c r="Y342" s="722" t="s">
        <v>770</v>
      </c>
      <c r="Z342" s="382" t="s">
        <v>924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2967</v>
      </c>
      <c r="B343" s="373" t="s">
        <v>2968</v>
      </c>
      <c r="C343" s="372" t="s">
        <v>2969</v>
      </c>
      <c r="D343" s="374">
        <v>1101110008212</v>
      </c>
      <c r="E343" s="372" t="s">
        <v>2970</v>
      </c>
      <c r="F343" s="372" t="s">
        <v>904</v>
      </c>
      <c r="G343" s="375" t="s">
        <v>905</v>
      </c>
      <c r="H343" s="375" t="s">
        <v>906</v>
      </c>
      <c r="I343" s="375" t="s">
        <v>751</v>
      </c>
      <c r="J343" s="375">
        <v>1705327.13271</v>
      </c>
      <c r="K343" s="375">
        <v>316965.30021999998</v>
      </c>
      <c r="L343" s="375">
        <v>168046.03302999999</v>
      </c>
      <c r="M343" s="375">
        <v>2082651.21621</v>
      </c>
      <c r="N343" s="372">
        <v>0.56599999999999995</v>
      </c>
      <c r="O343" s="704">
        <v>373.66862552335436</v>
      </c>
      <c r="P343" s="375" t="s">
        <v>619</v>
      </c>
      <c r="Q343" s="375" t="s">
        <v>619</v>
      </c>
      <c r="R343" s="696">
        <v>19920423</v>
      </c>
      <c r="S343" s="375" t="s">
        <v>2971</v>
      </c>
      <c r="T343" s="697">
        <v>0.23100000000000001</v>
      </c>
      <c r="U343" s="375" t="s">
        <v>2972</v>
      </c>
      <c r="V343" s="722">
        <v>5.93</v>
      </c>
      <c r="W343" s="722">
        <v>0.36</v>
      </c>
      <c r="X343" s="722">
        <v>0.39</v>
      </c>
      <c r="Y343" s="722">
        <v>4.42</v>
      </c>
      <c r="Z343" s="382">
        <v>2.7684142363611386E-2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17572.75</v>
      </c>
      <c r="AF343" s="372">
        <v>15741.25</v>
      </c>
      <c r="AG343" s="372">
        <v>15586.5</v>
      </c>
      <c r="AH343" s="372">
        <v>0</v>
      </c>
    </row>
    <row r="344" spans="1:34">
      <c r="A344" s="372" t="s">
        <v>2973</v>
      </c>
      <c r="B344" s="373" t="s">
        <v>2974</v>
      </c>
      <c r="C344" s="372" t="s">
        <v>2975</v>
      </c>
      <c r="D344" s="374">
        <v>1501110005955</v>
      </c>
      <c r="E344" s="372" t="s">
        <v>2976</v>
      </c>
      <c r="F344" s="375" t="s">
        <v>1273</v>
      </c>
      <c r="G344" s="375" t="s">
        <v>16106</v>
      </c>
      <c r="H344" s="375" t="s">
        <v>750</v>
      </c>
      <c r="I344" s="375" t="s">
        <v>751</v>
      </c>
      <c r="J344" s="375">
        <v>709988.32973999996</v>
      </c>
      <c r="K344" s="375">
        <v>66174.29797</v>
      </c>
      <c r="L344" s="375">
        <v>37638.984270000001</v>
      </c>
      <c r="M344" s="375">
        <v>398791.80745000002</v>
      </c>
      <c r="N344" s="372">
        <v>1.018</v>
      </c>
      <c r="O344" s="704">
        <v>58.708699483915986</v>
      </c>
      <c r="P344" s="375" t="s">
        <v>619</v>
      </c>
      <c r="Q344" s="375" t="s">
        <v>619</v>
      </c>
      <c r="R344" s="696">
        <v>19990106</v>
      </c>
      <c r="S344" s="375" t="s">
        <v>2977</v>
      </c>
      <c r="T344" s="697">
        <v>0.23100000000000001</v>
      </c>
      <c r="U344" s="375" t="s">
        <v>2978</v>
      </c>
      <c r="V344" s="722">
        <v>4.3600000000000003</v>
      </c>
      <c r="W344" s="722">
        <v>0.96</v>
      </c>
      <c r="X344" s="722">
        <v>0.55000000000000004</v>
      </c>
      <c r="Y344" s="722">
        <v>16.079999999999998</v>
      </c>
      <c r="Z344" s="382">
        <v>0.12873565036698165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7057</v>
      </c>
      <c r="AF344" s="372">
        <v>7761</v>
      </c>
      <c r="AG344" s="372">
        <v>8170</v>
      </c>
      <c r="AH344" s="372">
        <v>0</v>
      </c>
    </row>
    <row r="345" spans="1:34">
      <c r="A345" s="372" t="s">
        <v>2979</v>
      </c>
      <c r="B345" s="373" t="s">
        <v>2980</v>
      </c>
      <c r="C345" s="372" t="s">
        <v>2981</v>
      </c>
      <c r="D345" s="374">
        <v>1101111334583</v>
      </c>
      <c r="E345" s="372" t="s">
        <v>2982</v>
      </c>
      <c r="F345" s="372" t="s">
        <v>1272</v>
      </c>
      <c r="G345" s="375" t="s">
        <v>1272</v>
      </c>
      <c r="H345" s="375" t="s">
        <v>858</v>
      </c>
      <c r="I345" s="375" t="s">
        <v>859</v>
      </c>
      <c r="J345" s="375">
        <v>337882.95951999997</v>
      </c>
      <c r="K345" s="375">
        <v>-9101.8851500000001</v>
      </c>
      <c r="L345" s="375">
        <v>-11030.895759999999</v>
      </c>
      <c r="M345" s="375">
        <v>342002.82679000002</v>
      </c>
      <c r="N345" s="372">
        <v>0.64700000000000002</v>
      </c>
      <c r="O345" s="704">
        <v>16.361501335471836</v>
      </c>
      <c r="P345" s="375" t="s">
        <v>619</v>
      </c>
      <c r="Q345" s="375" t="s">
        <v>619</v>
      </c>
      <c r="R345" s="696">
        <v>20200304</v>
      </c>
      <c r="S345" s="375" t="s">
        <v>2983</v>
      </c>
      <c r="T345" s="697" t="s">
        <v>768</v>
      </c>
      <c r="U345" s="375" t="s">
        <v>2984</v>
      </c>
      <c r="V345" s="722">
        <v>27.18</v>
      </c>
      <c r="W345" s="722">
        <v>3.43</v>
      </c>
      <c r="X345" s="722">
        <v>3.58</v>
      </c>
      <c r="Y345" s="722" t="s">
        <v>770</v>
      </c>
      <c r="Z345" s="382">
        <v>0.14310606424854111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3301.5</v>
      </c>
      <c r="AF345" s="372">
        <v>4793</v>
      </c>
      <c r="AG345" s="372">
        <v>5522.5</v>
      </c>
      <c r="AH345" s="372">
        <v>0</v>
      </c>
    </row>
    <row r="346" spans="1:34">
      <c r="A346" s="372" t="s">
        <v>2985</v>
      </c>
      <c r="B346" s="373" t="s">
        <v>2986</v>
      </c>
      <c r="C346" s="372" t="s">
        <v>2987</v>
      </c>
      <c r="D346" s="374">
        <v>1801110042612</v>
      </c>
      <c r="E346" s="372" t="s">
        <v>2988</v>
      </c>
      <c r="F346" s="372" t="s">
        <v>2989</v>
      </c>
      <c r="G346" s="375" t="s">
        <v>2989</v>
      </c>
      <c r="H346" s="375" t="s">
        <v>858</v>
      </c>
      <c r="I346" s="375" t="s">
        <v>859</v>
      </c>
      <c r="J346" s="375">
        <v>4385157.1310700001</v>
      </c>
      <c r="K346" s="375">
        <v>234710.70322</v>
      </c>
      <c r="L346" s="375">
        <v>192455.45826000001</v>
      </c>
      <c r="M346" s="375">
        <v>1719072.7305300001</v>
      </c>
      <c r="N346" s="372">
        <v>1.2609999999999999</v>
      </c>
      <c r="O346" s="704">
        <v>337.53527172993142</v>
      </c>
      <c r="P346" s="375" t="s">
        <v>619</v>
      </c>
      <c r="Q346" s="372" t="s">
        <v>619</v>
      </c>
      <c r="R346" s="696">
        <v>19951028</v>
      </c>
      <c r="S346" s="372" t="s">
        <v>2990</v>
      </c>
      <c r="T346" s="697">
        <v>0.23100000000000001</v>
      </c>
      <c r="U346" s="372" t="s">
        <v>2991</v>
      </c>
      <c r="V346" s="722">
        <v>4.6500000000000004</v>
      </c>
      <c r="W346" s="722">
        <v>0.38</v>
      </c>
      <c r="X346" s="722">
        <v>0.12</v>
      </c>
      <c r="Y346" s="722">
        <v>3.92</v>
      </c>
      <c r="Z346" s="382" t="s">
        <v>924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2992</v>
      </c>
      <c r="B347" s="373" t="s">
        <v>2993</v>
      </c>
      <c r="C347" s="372" t="s">
        <v>2994</v>
      </c>
      <c r="D347" s="374">
        <v>1101110725064</v>
      </c>
      <c r="E347" s="372" t="s">
        <v>2995</v>
      </c>
      <c r="F347" s="375" t="s">
        <v>1367</v>
      </c>
      <c r="G347" s="375" t="s">
        <v>1367</v>
      </c>
      <c r="H347" s="375" t="s">
        <v>858</v>
      </c>
      <c r="I347" s="375" t="s">
        <v>859</v>
      </c>
      <c r="J347" s="375">
        <v>310172.73810000002</v>
      </c>
      <c r="K347" s="375">
        <v>44921.817940000001</v>
      </c>
      <c r="L347" s="375">
        <v>-16557.024799999999</v>
      </c>
      <c r="M347" s="375">
        <v>505629.40860999998</v>
      </c>
      <c r="N347" s="372">
        <v>0.6</v>
      </c>
      <c r="O347" s="704">
        <v>7.1647481097977774</v>
      </c>
      <c r="P347" s="375" t="s">
        <v>619</v>
      </c>
      <c r="Q347" s="375" t="s">
        <v>619</v>
      </c>
      <c r="R347" s="696">
        <v>19960924</v>
      </c>
      <c r="S347" s="375" t="s">
        <v>2996</v>
      </c>
      <c r="T347" s="697" t="s">
        <v>768</v>
      </c>
      <c r="U347" s="375" t="s">
        <v>2997</v>
      </c>
      <c r="V347" s="722">
        <v>8.93</v>
      </c>
      <c r="W347" s="722">
        <v>1.24</v>
      </c>
      <c r="X347" s="722">
        <v>1.46</v>
      </c>
      <c r="Y347" s="722">
        <v>23.36</v>
      </c>
      <c r="Z347" s="382">
        <v>9.3049530031881655E-2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3070.4</v>
      </c>
      <c r="AF347" s="372">
        <v>3455.6</v>
      </c>
      <c r="AG347" s="372">
        <v>3869.8</v>
      </c>
      <c r="AH347" s="372">
        <v>0</v>
      </c>
    </row>
    <row r="348" spans="1:34">
      <c r="A348" s="372" t="s">
        <v>2998</v>
      </c>
      <c r="B348" s="373" t="s">
        <v>2999</v>
      </c>
      <c r="C348" s="372" t="s">
        <v>3000</v>
      </c>
      <c r="D348" s="374">
        <v>1347110004377</v>
      </c>
      <c r="E348" s="372" t="s">
        <v>3001</v>
      </c>
      <c r="F348" s="375" t="s">
        <v>1182</v>
      </c>
      <c r="G348" s="375" t="s">
        <v>1183</v>
      </c>
      <c r="H348" s="375" t="s">
        <v>858</v>
      </c>
      <c r="I348" s="375" t="s">
        <v>859</v>
      </c>
      <c r="J348" s="375">
        <v>157177.52314999999</v>
      </c>
      <c r="K348" s="375">
        <v>59271.706850000002</v>
      </c>
      <c r="L348" s="375">
        <v>91026.064209999997</v>
      </c>
      <c r="M348" s="375">
        <v>383662.17654000001</v>
      </c>
      <c r="N348" s="372">
        <v>1.333</v>
      </c>
      <c r="O348" s="704">
        <v>1.5438038659361597</v>
      </c>
      <c r="P348" s="375" t="s">
        <v>619</v>
      </c>
      <c r="Q348" s="375" t="s">
        <v>619</v>
      </c>
      <c r="R348" s="696">
        <v>19970107</v>
      </c>
      <c r="S348" s="375" t="s">
        <v>3002</v>
      </c>
      <c r="T348" s="697">
        <v>0.23100000000000001</v>
      </c>
      <c r="U348" s="372" t="s">
        <v>3003</v>
      </c>
      <c r="V348" s="722">
        <v>14.91</v>
      </c>
      <c r="W348" s="722">
        <v>2.4900000000000002</v>
      </c>
      <c r="X348" s="722">
        <v>6.08</v>
      </c>
      <c r="Y348" s="722">
        <v>12.82</v>
      </c>
      <c r="Z348" s="382">
        <v>0.29889292356995156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1875.75</v>
      </c>
      <c r="AF348" s="372">
        <v>2357</v>
      </c>
      <c r="AG348" s="372">
        <v>2696</v>
      </c>
      <c r="AH348" s="372">
        <v>0</v>
      </c>
    </row>
    <row r="349" spans="1:34">
      <c r="A349" s="372" t="s">
        <v>3004</v>
      </c>
      <c r="B349" s="373" t="s">
        <v>3005</v>
      </c>
      <c r="C349" s="372" t="s">
        <v>3006</v>
      </c>
      <c r="D349" s="374">
        <v>1244110019788</v>
      </c>
      <c r="E349" s="372" t="s">
        <v>3007</v>
      </c>
      <c r="F349" s="375" t="s">
        <v>3008</v>
      </c>
      <c r="G349" s="375" t="s">
        <v>3008</v>
      </c>
      <c r="H349" s="375" t="s">
        <v>1334</v>
      </c>
      <c r="I349" s="375" t="s">
        <v>859</v>
      </c>
      <c r="J349" s="375">
        <v>99632.604340000005</v>
      </c>
      <c r="K349" s="375">
        <v>2925.16057</v>
      </c>
      <c r="L349" s="375">
        <v>3141.7441199999998</v>
      </c>
      <c r="M349" s="375">
        <v>187728.67621999999</v>
      </c>
      <c r="N349" s="372" t="s">
        <v>1023</v>
      </c>
      <c r="O349" s="704">
        <v>5.0538631835866248</v>
      </c>
      <c r="P349" s="375" t="s">
        <v>619</v>
      </c>
      <c r="Q349" s="375" t="s">
        <v>619</v>
      </c>
      <c r="R349" s="696">
        <v>20230216</v>
      </c>
      <c r="S349" s="375" t="s">
        <v>3009</v>
      </c>
      <c r="T349" s="697">
        <v>0.20900000000000002</v>
      </c>
      <c r="U349" s="375" t="s">
        <v>3010</v>
      </c>
      <c r="V349" s="722">
        <v>0</v>
      </c>
      <c r="W349" s="722">
        <v>0</v>
      </c>
      <c r="X349" s="722">
        <v>0</v>
      </c>
      <c r="Y349" s="722">
        <v>0</v>
      </c>
      <c r="Z349" s="382" t="s">
        <v>924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3011</v>
      </c>
      <c r="B350" s="373" t="s">
        <v>3012</v>
      </c>
      <c r="C350" s="372" t="s">
        <v>3013</v>
      </c>
      <c r="D350" s="374">
        <v>1350110087483</v>
      </c>
      <c r="E350" s="372" t="s">
        <v>3014</v>
      </c>
      <c r="F350" s="375" t="s">
        <v>995</v>
      </c>
      <c r="G350" s="375" t="s">
        <v>996</v>
      </c>
      <c r="H350" s="375" t="s">
        <v>750</v>
      </c>
      <c r="I350" s="375" t="s">
        <v>751</v>
      </c>
      <c r="J350" s="375">
        <v>1783278.21582</v>
      </c>
      <c r="K350" s="375">
        <v>107704.04369999999</v>
      </c>
      <c r="L350" s="375">
        <v>113740.36401</v>
      </c>
      <c r="M350" s="375">
        <v>724949.83062999998</v>
      </c>
      <c r="N350" s="372">
        <v>0.82199999999999995</v>
      </c>
      <c r="O350" s="704">
        <v>46.724307391887585</v>
      </c>
      <c r="P350" s="375" t="s">
        <v>619</v>
      </c>
      <c r="Q350" s="375" t="s">
        <v>619</v>
      </c>
      <c r="R350" s="696">
        <v>20070126</v>
      </c>
      <c r="S350" s="375" t="s">
        <v>3015</v>
      </c>
      <c r="T350" s="697">
        <v>0.23100000000000001</v>
      </c>
      <c r="U350" s="375" t="s">
        <v>3016</v>
      </c>
      <c r="V350" s="722">
        <v>4.38</v>
      </c>
      <c r="W350" s="722">
        <v>0.83</v>
      </c>
      <c r="X350" s="722">
        <v>0.35</v>
      </c>
      <c r="Y350" s="722">
        <v>7.45</v>
      </c>
      <c r="Z350" s="382">
        <v>6.228304790266681E-2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18071.2</v>
      </c>
      <c r="AF350" s="372">
        <v>19309.599999999999</v>
      </c>
      <c r="AG350" s="372">
        <v>20272.25</v>
      </c>
      <c r="AH350" s="372">
        <v>0</v>
      </c>
    </row>
    <row r="351" spans="1:34">
      <c r="A351" s="372" t="s">
        <v>3017</v>
      </c>
      <c r="B351" s="373" t="s">
        <v>3018</v>
      </c>
      <c r="C351" s="372" t="s">
        <v>3019</v>
      </c>
      <c r="D351" s="374">
        <v>1345110172532</v>
      </c>
      <c r="E351" s="372" t="s">
        <v>3020</v>
      </c>
      <c r="F351" s="375" t="s">
        <v>2715</v>
      </c>
      <c r="G351" s="375" t="s">
        <v>3021</v>
      </c>
      <c r="H351" s="375" t="s">
        <v>1334</v>
      </c>
      <c r="I351" s="375" t="s">
        <v>859</v>
      </c>
      <c r="J351" s="375">
        <v>184355.68841</v>
      </c>
      <c r="K351" s="375">
        <v>-6974.3604299999997</v>
      </c>
      <c r="L351" s="375">
        <v>-6296.5159299999996</v>
      </c>
      <c r="M351" s="375">
        <v>533910.11043999996</v>
      </c>
      <c r="N351" s="372">
        <v>1.123</v>
      </c>
      <c r="O351" s="704">
        <v>19.498109450273571</v>
      </c>
      <c r="P351" s="375" t="s">
        <v>619</v>
      </c>
      <c r="Q351" s="372" t="s">
        <v>619</v>
      </c>
      <c r="R351" s="696">
        <v>20160623</v>
      </c>
      <c r="S351" s="372" t="s">
        <v>3022</v>
      </c>
      <c r="T351" s="697" t="s">
        <v>768</v>
      </c>
      <c r="U351" s="372" t="s">
        <v>3023</v>
      </c>
      <c r="V351" s="722">
        <v>65.84</v>
      </c>
      <c r="W351" s="722">
        <v>0.83</v>
      </c>
      <c r="X351" s="722">
        <v>2.73</v>
      </c>
      <c r="Y351" s="722" t="s">
        <v>770</v>
      </c>
      <c r="Z351" s="382" t="s">
        <v>924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3024</v>
      </c>
      <c r="B352" s="373" t="s">
        <v>3025</v>
      </c>
      <c r="C352" s="372" t="s">
        <v>3026</v>
      </c>
      <c r="D352" s="374">
        <v>1101110327125</v>
      </c>
      <c r="E352" s="372" t="s">
        <v>3027</v>
      </c>
      <c r="F352" s="372" t="s">
        <v>2219</v>
      </c>
      <c r="G352" s="375" t="s">
        <v>2219</v>
      </c>
      <c r="H352" s="375" t="s">
        <v>1313</v>
      </c>
      <c r="I352" s="375" t="s">
        <v>751</v>
      </c>
      <c r="J352" s="375">
        <v>4200997.6803099997</v>
      </c>
      <c r="K352" s="375">
        <v>157151.92262999999</v>
      </c>
      <c r="L352" s="375">
        <v>109615.61799</v>
      </c>
      <c r="M352" s="375">
        <v>1409017.2483600001</v>
      </c>
      <c r="N352" s="372">
        <v>0.57899999999999996</v>
      </c>
      <c r="O352" s="704">
        <v>200.20670659417726</v>
      </c>
      <c r="P352" s="375" t="s">
        <v>619</v>
      </c>
      <c r="Q352" s="375" t="s">
        <v>619</v>
      </c>
      <c r="R352" s="696">
        <v>19700401</v>
      </c>
      <c r="S352" s="375" t="s">
        <v>3028</v>
      </c>
      <c r="T352" s="697">
        <v>0.23100000000000001</v>
      </c>
      <c r="U352" s="375" t="s">
        <v>3029</v>
      </c>
      <c r="V352" s="722">
        <v>4.9400000000000004</v>
      </c>
      <c r="W352" s="722">
        <v>0.56000000000000005</v>
      </c>
      <c r="X352" s="722">
        <v>0.18</v>
      </c>
      <c r="Y352" s="722">
        <v>9.4</v>
      </c>
      <c r="Z352" s="382">
        <v>3.0086567253119867E-2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42851.75</v>
      </c>
      <c r="AF352" s="372">
        <v>44188</v>
      </c>
      <c r="AG352" s="372">
        <v>46245.75</v>
      </c>
      <c r="AH352" s="372">
        <v>0</v>
      </c>
    </row>
    <row r="353" spans="1:34">
      <c r="A353" s="372" t="s">
        <v>3030</v>
      </c>
      <c r="B353" s="373" t="s">
        <v>3031</v>
      </c>
      <c r="C353" s="372" t="s">
        <v>3032</v>
      </c>
      <c r="D353" s="374">
        <v>1348110020579</v>
      </c>
      <c r="E353" s="372" t="s">
        <v>3033</v>
      </c>
      <c r="F353" s="375" t="s">
        <v>2831</v>
      </c>
      <c r="G353" s="375" t="s">
        <v>2831</v>
      </c>
      <c r="H353" s="375" t="s">
        <v>858</v>
      </c>
      <c r="I353" s="375" t="s">
        <v>859</v>
      </c>
      <c r="J353" s="375">
        <v>84808.740170000005</v>
      </c>
      <c r="K353" s="375">
        <v>-53318.570590000003</v>
      </c>
      <c r="L353" s="375">
        <v>-44984.701609999996</v>
      </c>
      <c r="M353" s="375">
        <v>140661.75977999999</v>
      </c>
      <c r="N353" s="372">
        <v>1.1439999999999999</v>
      </c>
      <c r="O353" s="704">
        <v>22.862441111311863</v>
      </c>
      <c r="P353" s="375" t="s">
        <v>619</v>
      </c>
      <c r="Q353" s="372" t="s">
        <v>619</v>
      </c>
      <c r="R353" s="696">
        <v>20000317</v>
      </c>
      <c r="S353" s="375" t="s">
        <v>3034</v>
      </c>
      <c r="T353" s="697" t="s">
        <v>768</v>
      </c>
      <c r="U353" s="372" t="s">
        <v>3035</v>
      </c>
      <c r="V353" s="722" t="s">
        <v>770</v>
      </c>
      <c r="W353" s="722">
        <v>2.11</v>
      </c>
      <c r="X353" s="722">
        <v>3.51</v>
      </c>
      <c r="Y353" s="722" t="s">
        <v>770</v>
      </c>
      <c r="Z353" s="382">
        <v>0.36268787251389023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780.5</v>
      </c>
      <c r="AF353" s="372">
        <v>1097.5</v>
      </c>
      <c r="AG353" s="372">
        <v>3450.5</v>
      </c>
      <c r="AH353" s="372">
        <v>0</v>
      </c>
    </row>
    <row r="354" spans="1:34">
      <c r="A354" s="372" t="s">
        <v>3036</v>
      </c>
      <c r="B354" s="373" t="s">
        <v>3037</v>
      </c>
      <c r="C354" s="372" t="s">
        <v>3038</v>
      </c>
      <c r="D354" s="374">
        <v>1101110095201</v>
      </c>
      <c r="E354" s="372" t="s">
        <v>3039</v>
      </c>
      <c r="F354" s="375" t="s">
        <v>890</v>
      </c>
      <c r="G354" s="375" t="s">
        <v>891</v>
      </c>
      <c r="H354" s="375" t="s">
        <v>852</v>
      </c>
      <c r="I354" s="375" t="s">
        <v>751</v>
      </c>
      <c r="J354" s="375">
        <v>6358626.4390000002</v>
      </c>
      <c r="K354" s="375">
        <v>156206.71100000001</v>
      </c>
      <c r="L354" s="375">
        <v>429521.17099999997</v>
      </c>
      <c r="M354" s="375">
        <v>6756049.6030000001</v>
      </c>
      <c r="N354" s="372">
        <v>0.72299999999999998</v>
      </c>
      <c r="O354" s="704">
        <v>139.33702862554156</v>
      </c>
      <c r="P354" s="375" t="s">
        <v>619</v>
      </c>
      <c r="Q354" s="372" t="s">
        <v>619</v>
      </c>
      <c r="R354" s="696">
        <v>19890822</v>
      </c>
      <c r="S354" s="372" t="s">
        <v>3040</v>
      </c>
      <c r="T354" s="697">
        <v>0.26400000000000001</v>
      </c>
      <c r="U354" s="372" t="s">
        <v>15845</v>
      </c>
      <c r="V354" s="722">
        <v>12.78</v>
      </c>
      <c r="W354" s="722">
        <v>0.22</v>
      </c>
      <c r="X354" s="722">
        <v>0.11</v>
      </c>
      <c r="Y354" s="722">
        <v>1.04</v>
      </c>
      <c r="Z354" s="382">
        <v>0.36645924719865874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74253</v>
      </c>
      <c r="AF354" s="372">
        <v>88494.33</v>
      </c>
      <c r="AG354" s="372">
        <v>91676.67</v>
      </c>
      <c r="AH354" s="372">
        <v>0</v>
      </c>
    </row>
    <row r="355" spans="1:34">
      <c r="A355" s="372" t="s">
        <v>3042</v>
      </c>
      <c r="B355" s="373" t="s">
        <v>3043</v>
      </c>
      <c r="C355" s="372" t="s">
        <v>3044</v>
      </c>
      <c r="D355" s="374">
        <v>1101112101816</v>
      </c>
      <c r="E355" s="372" t="s">
        <v>3045</v>
      </c>
      <c r="F355" s="372" t="s">
        <v>2219</v>
      </c>
      <c r="G355" s="375" t="s">
        <v>2219</v>
      </c>
      <c r="H355" s="375" t="s">
        <v>1313</v>
      </c>
      <c r="I355" s="375" t="s">
        <v>751</v>
      </c>
      <c r="J355" s="375">
        <v>4421463.4116500001</v>
      </c>
      <c r="K355" s="375">
        <v>178521.43234999999</v>
      </c>
      <c r="L355" s="375">
        <v>174076.68567000001</v>
      </c>
      <c r="M355" s="375">
        <v>1064403.9440200001</v>
      </c>
      <c r="N355" s="372">
        <v>0.60599999999999998</v>
      </c>
      <c r="O355" s="704">
        <v>87.157505742630391</v>
      </c>
      <c r="P355" s="375" t="s">
        <v>619</v>
      </c>
      <c r="Q355" s="372" t="s">
        <v>619</v>
      </c>
      <c r="R355" s="696">
        <v>20001123</v>
      </c>
      <c r="S355" s="375" t="s">
        <v>3046</v>
      </c>
      <c r="T355" s="697">
        <v>0.23100000000000001</v>
      </c>
      <c r="U355" s="375" t="s">
        <v>3047</v>
      </c>
      <c r="V355" s="722">
        <v>4.1500000000000004</v>
      </c>
      <c r="W355" s="722">
        <v>0.59</v>
      </c>
      <c r="X355" s="722">
        <v>0.14000000000000001</v>
      </c>
      <c r="Y355" s="722">
        <v>5.08</v>
      </c>
      <c r="Z355" s="382">
        <v>2.775542759686811E-2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45014.400000000001</v>
      </c>
      <c r="AF355" s="372">
        <v>47116.4</v>
      </c>
      <c r="AG355" s="372">
        <v>48655.25</v>
      </c>
      <c r="AH355" s="372">
        <v>0</v>
      </c>
    </row>
    <row r="356" spans="1:34">
      <c r="A356" s="372" t="s">
        <v>3048</v>
      </c>
      <c r="B356" s="373" t="s">
        <v>3049</v>
      </c>
      <c r="C356" s="372" t="s">
        <v>3050</v>
      </c>
      <c r="D356" s="374">
        <v>1101117342473</v>
      </c>
      <c r="E356" s="372" t="s">
        <v>3051</v>
      </c>
      <c r="F356" s="375" t="s">
        <v>3052</v>
      </c>
      <c r="G356" s="375" t="s">
        <v>3052</v>
      </c>
      <c r="H356" s="375" t="s">
        <v>1465</v>
      </c>
      <c r="I356" s="375" t="s">
        <v>751</v>
      </c>
      <c r="J356" s="375">
        <v>1829679.8413199999</v>
      </c>
      <c r="K356" s="375">
        <v>75111.731310000003</v>
      </c>
      <c r="L356" s="375">
        <v>89946.868579999995</v>
      </c>
      <c r="M356" s="375">
        <v>1499505.67141</v>
      </c>
      <c r="N356" s="372">
        <v>0.71399999999999997</v>
      </c>
      <c r="O356" s="704">
        <v>83.222076938789073</v>
      </c>
      <c r="P356" s="375" t="s">
        <v>619</v>
      </c>
      <c r="Q356" s="375" t="s">
        <v>619</v>
      </c>
      <c r="R356" s="696">
        <v>20200121</v>
      </c>
      <c r="S356" s="375" t="s">
        <v>3053</v>
      </c>
      <c r="T356" s="697">
        <v>0.23100000000000001</v>
      </c>
      <c r="U356" s="375" t="s">
        <v>3054</v>
      </c>
      <c r="V356" s="722">
        <v>4.5599999999999996</v>
      </c>
      <c r="W356" s="722">
        <v>0.43</v>
      </c>
      <c r="X356" s="722">
        <v>0.35</v>
      </c>
      <c r="Y356" s="722">
        <v>8.93</v>
      </c>
      <c r="Z356" s="382">
        <v>4.5768805067418539E-2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18328</v>
      </c>
      <c r="AF356" s="372">
        <v>19063</v>
      </c>
      <c r="AG356" s="372">
        <v>20094</v>
      </c>
      <c r="AH356" s="372">
        <v>0</v>
      </c>
    </row>
    <row r="357" spans="1:34">
      <c r="A357" s="372" t="s">
        <v>3055</v>
      </c>
      <c r="B357" s="373" t="s">
        <v>3056</v>
      </c>
      <c r="C357" s="372" t="s">
        <v>3057</v>
      </c>
      <c r="D357" s="374">
        <v>1801110396069</v>
      </c>
      <c r="E357" s="372" t="s">
        <v>3058</v>
      </c>
      <c r="F357" s="375" t="s">
        <v>2004</v>
      </c>
      <c r="G357" s="375" t="s">
        <v>2004</v>
      </c>
      <c r="H357" s="375" t="s">
        <v>789</v>
      </c>
      <c r="I357" s="375" t="s">
        <v>751</v>
      </c>
      <c r="J357" s="375">
        <v>967870.08105000004</v>
      </c>
      <c r="K357" s="375">
        <v>101474.50143</v>
      </c>
      <c r="L357" s="375">
        <v>88608.854890000002</v>
      </c>
      <c r="M357" s="375">
        <v>949407.85929000005</v>
      </c>
      <c r="N357" s="372">
        <v>0.71899999999999997</v>
      </c>
      <c r="O357" s="704">
        <v>1.8926233331407825E-2</v>
      </c>
      <c r="P357" s="375" t="s">
        <v>619</v>
      </c>
      <c r="Q357" s="375" t="s">
        <v>619</v>
      </c>
      <c r="R357" s="696">
        <v>20020311</v>
      </c>
      <c r="S357" s="375" t="s">
        <v>3059</v>
      </c>
      <c r="T357" s="697">
        <v>0.23100000000000001</v>
      </c>
      <c r="U357" s="375" t="s">
        <v>3060</v>
      </c>
      <c r="V357" s="722">
        <v>5.23</v>
      </c>
      <c r="W357" s="722">
        <v>0.65</v>
      </c>
      <c r="X357" s="722">
        <v>0.71</v>
      </c>
      <c r="Y357" s="722">
        <v>9.76</v>
      </c>
      <c r="Z357" s="382">
        <v>-1.7976892623198681E-2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9624.6299999999992</v>
      </c>
      <c r="AF357" s="372">
        <v>10100.25</v>
      </c>
      <c r="AG357" s="372">
        <v>10567.5</v>
      </c>
      <c r="AH357" s="372">
        <v>0</v>
      </c>
    </row>
    <row r="358" spans="1:34">
      <c r="A358" s="372" t="s">
        <v>3061</v>
      </c>
      <c r="B358" s="373" t="s">
        <v>3062</v>
      </c>
      <c r="C358" s="372" t="s">
        <v>3063</v>
      </c>
      <c r="D358" s="374">
        <v>1348110326191</v>
      </c>
      <c r="E358" s="372" t="s">
        <v>3064</v>
      </c>
      <c r="F358" s="375" t="s">
        <v>16098</v>
      </c>
      <c r="G358" s="375" t="s">
        <v>16098</v>
      </c>
      <c r="H358" s="375" t="s">
        <v>858</v>
      </c>
      <c r="I358" s="375" t="s">
        <v>859</v>
      </c>
      <c r="J358" s="375">
        <v>0</v>
      </c>
      <c r="K358" s="375">
        <v>-35093.360399999998</v>
      </c>
      <c r="L358" s="375">
        <v>-37428.466509999998</v>
      </c>
      <c r="M358" s="375">
        <v>74528.462249999997</v>
      </c>
      <c r="N358" s="372">
        <v>0.88200000000000001</v>
      </c>
      <c r="O358" s="704">
        <v>5.8813861661838711E-2</v>
      </c>
      <c r="P358" s="375" t="s">
        <v>619</v>
      </c>
      <c r="Q358" s="375" t="s">
        <v>619</v>
      </c>
      <c r="R358" s="696">
        <v>20220624</v>
      </c>
      <c r="S358" s="375" t="s">
        <v>3065</v>
      </c>
      <c r="T358" s="697" t="s">
        <v>768</v>
      </c>
      <c r="U358" s="372" t="s">
        <v>3066</v>
      </c>
      <c r="V358" s="722" t="s">
        <v>770</v>
      </c>
      <c r="W358" s="722">
        <v>23.84</v>
      </c>
      <c r="X358" s="722">
        <v>0</v>
      </c>
      <c r="Y358" s="722" t="s">
        <v>770</v>
      </c>
      <c r="Z358" s="382" t="s">
        <v>770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0</v>
      </c>
      <c r="AF358" s="372">
        <v>120</v>
      </c>
      <c r="AG358" s="372">
        <v>230</v>
      </c>
      <c r="AH358" s="372">
        <v>0</v>
      </c>
    </row>
    <row r="359" spans="1:34">
      <c r="A359" s="372" t="s">
        <v>3067</v>
      </c>
      <c r="B359" s="373" t="s">
        <v>3068</v>
      </c>
      <c r="C359" s="372" t="s">
        <v>3069</v>
      </c>
      <c r="D359" s="374">
        <v>1101112782046</v>
      </c>
      <c r="E359" s="372" t="s">
        <v>3070</v>
      </c>
      <c r="F359" s="375" t="s">
        <v>1086</v>
      </c>
      <c r="G359" s="375" t="s">
        <v>1086</v>
      </c>
      <c r="H359" s="375" t="s">
        <v>906</v>
      </c>
      <c r="I359" s="375" t="s">
        <v>751</v>
      </c>
      <c r="J359" s="375">
        <v>1502615.2145400001</v>
      </c>
      <c r="K359" s="375">
        <v>50920.561430000002</v>
      </c>
      <c r="L359" s="375">
        <v>47512.749900000003</v>
      </c>
      <c r="M359" s="375">
        <v>169816.54603999999</v>
      </c>
      <c r="N359" s="372">
        <v>0.53700000000000003</v>
      </c>
      <c r="O359" s="704">
        <v>54.803478527683616</v>
      </c>
      <c r="P359" s="375" t="s">
        <v>619</v>
      </c>
      <c r="Q359" s="372" t="s">
        <v>619</v>
      </c>
      <c r="R359" s="696">
        <v>20180801</v>
      </c>
      <c r="S359" s="372" t="s">
        <v>3071</v>
      </c>
      <c r="T359" s="697">
        <v>0.23100000000000001</v>
      </c>
      <c r="U359" s="372" t="s">
        <v>3072</v>
      </c>
      <c r="V359" s="722">
        <v>4.88</v>
      </c>
      <c r="W359" s="722">
        <v>3.87</v>
      </c>
      <c r="X359" s="722">
        <v>0.44</v>
      </c>
      <c r="Y359" s="722">
        <v>13.47</v>
      </c>
      <c r="Z359" s="382">
        <v>8.5248065511237536E-2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15750.57</v>
      </c>
      <c r="AF359" s="372">
        <v>17780.57</v>
      </c>
      <c r="AG359" s="372">
        <v>18709</v>
      </c>
      <c r="AH359" s="372">
        <v>0</v>
      </c>
    </row>
    <row r="360" spans="1:34">
      <c r="A360" s="372" t="s">
        <v>3073</v>
      </c>
      <c r="B360" s="373" t="s">
        <v>3074</v>
      </c>
      <c r="C360" s="372" t="s">
        <v>3075</v>
      </c>
      <c r="D360" s="374">
        <v>1101114951243</v>
      </c>
      <c r="E360" s="372" t="s">
        <v>3076</v>
      </c>
      <c r="F360" s="375" t="s">
        <v>1300</v>
      </c>
      <c r="G360" s="375" t="s">
        <v>1300</v>
      </c>
      <c r="H360" s="375" t="s">
        <v>823</v>
      </c>
      <c r="I360" s="375" t="s">
        <v>751</v>
      </c>
      <c r="J360" s="375">
        <v>1705111.8655000001</v>
      </c>
      <c r="K360" s="375">
        <v>26019.989229999999</v>
      </c>
      <c r="L360" s="375">
        <v>7262.2729600000002</v>
      </c>
      <c r="M360" s="375">
        <v>724768.61210999999</v>
      </c>
      <c r="N360" s="372">
        <v>1.2809999999999999</v>
      </c>
      <c r="O360" s="704">
        <v>76.789931493588199</v>
      </c>
      <c r="P360" s="375" t="s">
        <v>619</v>
      </c>
      <c r="Q360" s="372" t="s">
        <v>619</v>
      </c>
      <c r="R360" s="696">
        <v>20120917</v>
      </c>
      <c r="S360" s="372" t="s">
        <v>15846</v>
      </c>
      <c r="T360" s="697">
        <v>0.20900000000000002</v>
      </c>
      <c r="U360" s="372" t="s">
        <v>3077</v>
      </c>
      <c r="V360" s="722">
        <v>13.22</v>
      </c>
      <c r="W360" s="722">
        <v>0.77</v>
      </c>
      <c r="X360" s="722">
        <v>0.33</v>
      </c>
      <c r="Y360" s="722">
        <v>241.08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3078</v>
      </c>
      <c r="B361" s="373" t="s">
        <v>3079</v>
      </c>
      <c r="C361" s="372" t="s">
        <v>3080</v>
      </c>
      <c r="D361" s="374">
        <v>1301110011815</v>
      </c>
      <c r="E361" s="372" t="s">
        <v>3081</v>
      </c>
      <c r="F361" s="375" t="s">
        <v>1320</v>
      </c>
      <c r="G361" s="375" t="s">
        <v>16103</v>
      </c>
      <c r="H361" s="375" t="s">
        <v>781</v>
      </c>
      <c r="I361" s="375" t="s">
        <v>751</v>
      </c>
      <c r="J361" s="375">
        <v>215439.95764000001</v>
      </c>
      <c r="K361" s="375">
        <v>-23541.562129999998</v>
      </c>
      <c r="L361" s="375">
        <v>-28405.854200000002</v>
      </c>
      <c r="M361" s="375">
        <v>268170.99910000002</v>
      </c>
      <c r="N361" s="372">
        <v>1.361</v>
      </c>
      <c r="O361" s="704">
        <v>7.0905645637093953</v>
      </c>
      <c r="P361" s="375" t="s">
        <v>619</v>
      </c>
      <c r="Q361" s="375" t="s">
        <v>619</v>
      </c>
      <c r="R361" s="696">
        <v>19900120</v>
      </c>
      <c r="S361" s="375" t="s">
        <v>3082</v>
      </c>
      <c r="T361" s="697" t="s">
        <v>768</v>
      </c>
      <c r="U361" s="375" t="s">
        <v>3083</v>
      </c>
      <c r="V361" s="722" t="s">
        <v>770</v>
      </c>
      <c r="W361" s="722">
        <v>2.4900000000000002</v>
      </c>
      <c r="X361" s="722">
        <v>3.19</v>
      </c>
      <c r="Y361" s="722" t="s">
        <v>770</v>
      </c>
      <c r="Z361" s="382" t="s">
        <v>924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3084</v>
      </c>
      <c r="B362" s="373" t="s">
        <v>3085</v>
      </c>
      <c r="C362" s="372" t="s">
        <v>3086</v>
      </c>
      <c r="D362" s="374">
        <v>1355110102249</v>
      </c>
      <c r="E362" s="372" t="s">
        <v>3087</v>
      </c>
      <c r="F362" s="375" t="s">
        <v>1959</v>
      </c>
      <c r="G362" s="375" t="s">
        <v>1959</v>
      </c>
      <c r="H362" s="375" t="s">
        <v>858</v>
      </c>
      <c r="I362" s="375" t="s">
        <v>859</v>
      </c>
      <c r="J362" s="375">
        <v>357203.40278</v>
      </c>
      <c r="K362" s="375">
        <v>40302.202310000001</v>
      </c>
      <c r="L362" s="375">
        <v>43869.091890000003</v>
      </c>
      <c r="M362" s="375">
        <v>179111.73421</v>
      </c>
      <c r="N362" s="372">
        <v>1.397</v>
      </c>
      <c r="O362" s="704">
        <v>5.4579783220370093</v>
      </c>
      <c r="P362" s="375" t="s">
        <v>619</v>
      </c>
      <c r="Q362" s="372" t="s">
        <v>619</v>
      </c>
      <c r="R362" s="696">
        <v>20221114</v>
      </c>
      <c r="S362" s="375" t="s">
        <v>3088</v>
      </c>
      <c r="T362" s="697">
        <v>0.23100000000000001</v>
      </c>
      <c r="U362" s="375" t="s">
        <v>3089</v>
      </c>
      <c r="V362" s="722">
        <v>10.44</v>
      </c>
      <c r="W362" s="722">
        <v>2.61</v>
      </c>
      <c r="X362" s="722">
        <v>1.31</v>
      </c>
      <c r="Y362" s="722">
        <v>13.46</v>
      </c>
      <c r="Z362" s="382" t="s">
        <v>924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3090</v>
      </c>
      <c r="B363" s="373" t="s">
        <v>3091</v>
      </c>
      <c r="C363" s="372" t="s">
        <v>3092</v>
      </c>
      <c r="D363" s="374">
        <v>1101110839071</v>
      </c>
      <c r="E363" s="372" t="s">
        <v>3093</v>
      </c>
      <c r="F363" s="375" t="s">
        <v>3094</v>
      </c>
      <c r="G363" s="375" t="s">
        <v>3095</v>
      </c>
      <c r="H363" s="375" t="s">
        <v>3096</v>
      </c>
      <c r="I363" s="375" t="s">
        <v>859</v>
      </c>
      <c r="J363" s="375">
        <v>57833.107989999997</v>
      </c>
      <c r="K363" s="375">
        <v>-5125.5905899999998</v>
      </c>
      <c r="L363" s="375">
        <v>-12070.632799999999</v>
      </c>
      <c r="M363" s="375">
        <v>98759.444770000002</v>
      </c>
      <c r="N363" s="372">
        <v>0.81200000000000006</v>
      </c>
      <c r="O363" s="704">
        <v>0.21548333818391519</v>
      </c>
      <c r="P363" s="375" t="s">
        <v>619</v>
      </c>
      <c r="Q363" s="375" t="s">
        <v>619</v>
      </c>
      <c r="R363" s="696">
        <v>20020628</v>
      </c>
      <c r="S363" s="375" t="s">
        <v>3097</v>
      </c>
      <c r="T363" s="697" t="s">
        <v>768</v>
      </c>
      <c r="U363" s="375" t="s">
        <v>3098</v>
      </c>
      <c r="V363" s="722">
        <v>0</v>
      </c>
      <c r="W363" s="722">
        <v>0</v>
      </c>
      <c r="X363" s="722">
        <v>0</v>
      </c>
      <c r="Y363" s="722">
        <v>0</v>
      </c>
      <c r="Z363" s="382" t="s">
        <v>924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3099</v>
      </c>
      <c r="B364" s="373" t="s">
        <v>3100</v>
      </c>
      <c r="C364" s="372" t="s">
        <v>3101</v>
      </c>
      <c r="D364" s="374">
        <v>1101110522436</v>
      </c>
      <c r="E364" s="372" t="s">
        <v>3102</v>
      </c>
      <c r="F364" s="372" t="s">
        <v>766</v>
      </c>
      <c r="G364" s="375" t="s">
        <v>766</v>
      </c>
      <c r="H364" s="375" t="s">
        <v>858</v>
      </c>
      <c r="I364" s="375" t="s">
        <v>859</v>
      </c>
      <c r="J364" s="375">
        <v>1095477.6394499999</v>
      </c>
      <c r="K364" s="375">
        <v>-15002.084999999999</v>
      </c>
      <c r="L364" s="375">
        <v>-38956.456380000003</v>
      </c>
      <c r="M364" s="375">
        <v>677724.41945000004</v>
      </c>
      <c r="N364" s="372">
        <v>0.69499999999999995</v>
      </c>
      <c r="O364" s="704">
        <v>47.444927814468024</v>
      </c>
      <c r="P364" s="375" t="s">
        <v>619</v>
      </c>
      <c r="Q364" s="375" t="s">
        <v>619</v>
      </c>
      <c r="R364" s="696">
        <v>20020115</v>
      </c>
      <c r="S364" s="375" t="s">
        <v>3103</v>
      </c>
      <c r="T364" s="697" t="s">
        <v>768</v>
      </c>
      <c r="U364" s="375" t="s">
        <v>3104</v>
      </c>
      <c r="V364" s="722">
        <v>8.5</v>
      </c>
      <c r="W364" s="722">
        <v>0.73</v>
      </c>
      <c r="X364" s="722">
        <v>0.46</v>
      </c>
      <c r="Y364" s="722" t="s">
        <v>770</v>
      </c>
      <c r="Z364" s="382">
        <v>3.681231800282081E-2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10886.67</v>
      </c>
      <c r="AF364" s="372">
        <v>11470.33</v>
      </c>
      <c r="AG364" s="372">
        <v>11930</v>
      </c>
      <c r="AH364" s="372">
        <v>0</v>
      </c>
    </row>
    <row r="365" spans="1:34">
      <c r="A365" s="372" t="s">
        <v>3105</v>
      </c>
      <c r="B365" s="373" t="s">
        <v>3106</v>
      </c>
      <c r="C365" s="372" t="s">
        <v>15983</v>
      </c>
      <c r="D365" s="374">
        <v>1101110509872</v>
      </c>
      <c r="E365" s="372" t="s">
        <v>3107</v>
      </c>
      <c r="F365" s="375" t="s">
        <v>1354</v>
      </c>
      <c r="G365" s="375" t="s">
        <v>1354</v>
      </c>
      <c r="H365" s="375" t="s">
        <v>858</v>
      </c>
      <c r="I365" s="375" t="s">
        <v>859</v>
      </c>
      <c r="J365" s="375">
        <v>408107.56683999998</v>
      </c>
      <c r="K365" s="375">
        <v>100656.13153</v>
      </c>
      <c r="L365" s="375">
        <v>108098.83448</v>
      </c>
      <c r="M365" s="375">
        <v>219452.20939</v>
      </c>
      <c r="N365" s="372">
        <v>0.30199999999999999</v>
      </c>
      <c r="O365" s="704">
        <v>4.7665488767785495</v>
      </c>
      <c r="P365" s="375" t="s">
        <v>619</v>
      </c>
      <c r="Q365" s="375" t="s">
        <v>619</v>
      </c>
      <c r="R365" s="696">
        <v>19940831</v>
      </c>
      <c r="S365" s="375" t="s">
        <v>3108</v>
      </c>
      <c r="T365" s="697">
        <v>0.23100000000000001</v>
      </c>
      <c r="U365" s="372" t="s">
        <v>15847</v>
      </c>
      <c r="V365" s="722">
        <v>11.35</v>
      </c>
      <c r="W365" s="722">
        <v>5.63</v>
      </c>
      <c r="X365" s="722">
        <v>2.96</v>
      </c>
      <c r="Y365" s="722">
        <v>15.94</v>
      </c>
      <c r="Z365" s="382">
        <v>0.17355655771921796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4435</v>
      </c>
      <c r="AF365" s="372">
        <v>5090.5</v>
      </c>
      <c r="AG365" s="372">
        <v>5605</v>
      </c>
      <c r="AH365" s="372">
        <v>0</v>
      </c>
    </row>
    <row r="366" spans="1:34">
      <c r="A366" s="372" t="s">
        <v>3109</v>
      </c>
      <c r="B366" s="373" t="s">
        <v>3110</v>
      </c>
      <c r="C366" s="372" t="s">
        <v>16107</v>
      </c>
      <c r="D366" s="374">
        <v>1301110064822</v>
      </c>
      <c r="E366" s="372" t="s">
        <v>3111</v>
      </c>
      <c r="F366" s="375" t="s">
        <v>1182</v>
      </c>
      <c r="G366" s="375" t="s">
        <v>3112</v>
      </c>
      <c r="H366" s="375" t="s">
        <v>858</v>
      </c>
      <c r="I366" s="375" t="s">
        <v>4410</v>
      </c>
      <c r="J366" s="375">
        <v>2852.43255</v>
      </c>
      <c r="K366" s="375">
        <v>-5066.2149499999996</v>
      </c>
      <c r="L366" s="375">
        <v>25053.346710000002</v>
      </c>
      <c r="M366" s="375">
        <v>9541.7646199999999</v>
      </c>
      <c r="N366" s="372" t="s">
        <v>1023</v>
      </c>
      <c r="O366" s="704" t="e">
        <v>#DIV/0!</v>
      </c>
      <c r="P366" s="375" t="s">
        <v>619</v>
      </c>
      <c r="Q366" s="375" t="s">
        <v>619</v>
      </c>
      <c r="R366" s="696">
        <v>20111118</v>
      </c>
      <c r="S366" s="375" t="e">
        <v>#N/A</v>
      </c>
      <c r="T366" s="697">
        <v>0.23100000000000001</v>
      </c>
      <c r="U366" s="375" t="s">
        <v>3113</v>
      </c>
      <c r="V366" s="722" t="s">
        <v>770</v>
      </c>
      <c r="W366" s="722">
        <v>0.38</v>
      </c>
      <c r="X366" s="722">
        <v>0</v>
      </c>
      <c r="Y366" s="722">
        <v>0</v>
      </c>
      <c r="Z366" s="382" t="s">
        <v>924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3114</v>
      </c>
      <c r="B367" s="373" t="s">
        <v>3115</v>
      </c>
      <c r="C367" s="372" t="s">
        <v>3116</v>
      </c>
      <c r="D367" s="374">
        <v>1346110087565</v>
      </c>
      <c r="E367" s="372" t="s">
        <v>3117</v>
      </c>
      <c r="F367" s="375" t="s">
        <v>3118</v>
      </c>
      <c r="G367" s="375" t="s">
        <v>3118</v>
      </c>
      <c r="H367" s="375" t="s">
        <v>2053</v>
      </c>
      <c r="I367" s="375" t="s">
        <v>751</v>
      </c>
      <c r="J367" s="375">
        <v>311858.25339999999</v>
      </c>
      <c r="K367" s="375">
        <v>35232.573020000003</v>
      </c>
      <c r="L367" s="375">
        <v>43966.322209999998</v>
      </c>
      <c r="M367" s="375">
        <v>465349.47962</v>
      </c>
      <c r="N367" s="372">
        <v>1.1020000000000001</v>
      </c>
      <c r="O367" s="704">
        <v>0.46138615712428172</v>
      </c>
      <c r="P367" s="375" t="s">
        <v>619</v>
      </c>
      <c r="Q367" s="375" t="s">
        <v>619</v>
      </c>
      <c r="R367" s="696">
        <v>20171205</v>
      </c>
      <c r="S367" s="375" t="s">
        <v>3119</v>
      </c>
      <c r="T367" s="697">
        <v>0.23100000000000001</v>
      </c>
      <c r="U367" s="375" t="s">
        <v>3120</v>
      </c>
      <c r="V367" s="722">
        <v>0</v>
      </c>
      <c r="W367" s="722">
        <v>0</v>
      </c>
      <c r="X367" s="722">
        <v>0</v>
      </c>
      <c r="Y367" s="722">
        <v>0</v>
      </c>
      <c r="Z367" s="382" t="s">
        <v>924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3121</v>
      </c>
      <c r="B368" s="373" t="s">
        <v>3122</v>
      </c>
      <c r="C368" s="372" t="s">
        <v>3123</v>
      </c>
      <c r="D368" s="374">
        <v>2301110143443</v>
      </c>
      <c r="E368" s="372" t="s">
        <v>3124</v>
      </c>
      <c r="F368" s="375" t="s">
        <v>1133</v>
      </c>
      <c r="G368" s="375" t="s">
        <v>3125</v>
      </c>
      <c r="H368" s="375" t="s">
        <v>858</v>
      </c>
      <c r="I368" s="375" t="s">
        <v>859</v>
      </c>
      <c r="J368" s="375">
        <v>221644.94962999999</v>
      </c>
      <c r="K368" s="375">
        <v>20299.066149999999</v>
      </c>
      <c r="L368" s="375">
        <v>18454.675159999999</v>
      </c>
      <c r="M368" s="375">
        <v>230601.0888</v>
      </c>
      <c r="N368" s="372" t="s">
        <v>1023</v>
      </c>
      <c r="O368" s="704">
        <v>19.446946230279387</v>
      </c>
      <c r="P368" s="375" t="s">
        <v>619</v>
      </c>
      <c r="Q368" s="372" t="s">
        <v>619</v>
      </c>
      <c r="R368" s="696">
        <v>20240126</v>
      </c>
      <c r="S368" s="375" t="s">
        <v>3126</v>
      </c>
      <c r="T368" s="697">
        <v>0.20900000000000002</v>
      </c>
      <c r="U368" s="375" t="s">
        <v>3127</v>
      </c>
      <c r="V368" s="722">
        <v>13.13</v>
      </c>
      <c r="W368" s="722">
        <v>1.71</v>
      </c>
      <c r="X368" s="722">
        <v>1.68</v>
      </c>
      <c r="Y368" s="722">
        <v>23.15</v>
      </c>
      <c r="Z368" s="382" t="s">
        <v>924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3128</v>
      </c>
      <c r="B369" s="373" t="s">
        <v>3129</v>
      </c>
      <c r="C369" s="372" t="s">
        <v>3130</v>
      </c>
      <c r="D369" s="374">
        <v>1348110072942</v>
      </c>
      <c r="E369" s="372" t="s">
        <v>3131</v>
      </c>
      <c r="F369" s="372" t="s">
        <v>1182</v>
      </c>
      <c r="G369" s="375" t="s">
        <v>1183</v>
      </c>
      <c r="H369" s="375" t="s">
        <v>858</v>
      </c>
      <c r="I369" s="375" t="s">
        <v>859</v>
      </c>
      <c r="J369" s="375">
        <v>178991.23087999999</v>
      </c>
      <c r="K369" s="375">
        <v>21953.254219999999</v>
      </c>
      <c r="L369" s="375">
        <v>13503.53746</v>
      </c>
      <c r="M369" s="375">
        <v>214885.18958000001</v>
      </c>
      <c r="N369" s="372">
        <v>1.0429999999999999</v>
      </c>
      <c r="O369" s="704">
        <v>14.607386053620864</v>
      </c>
      <c r="P369" s="375" t="s">
        <v>619</v>
      </c>
      <c r="Q369" s="375" t="s">
        <v>619</v>
      </c>
      <c r="R369" s="696">
        <v>20111110</v>
      </c>
      <c r="S369" s="375" t="s">
        <v>3132</v>
      </c>
      <c r="T369" s="697">
        <v>0.20900000000000002</v>
      </c>
      <c r="U369" s="375" t="s">
        <v>3133</v>
      </c>
      <c r="V369" s="722">
        <v>48.26</v>
      </c>
      <c r="W369" s="722">
        <v>6.02</v>
      </c>
      <c r="X369" s="722">
        <v>7.77</v>
      </c>
      <c r="Y369" s="722">
        <v>100.67</v>
      </c>
      <c r="Z369" s="382">
        <v>0.59467930768543864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1940</v>
      </c>
      <c r="AF369" s="372">
        <v>7750</v>
      </c>
      <c r="AG369" s="372">
        <v>8640</v>
      </c>
      <c r="AH369" s="372">
        <v>0</v>
      </c>
    </row>
    <row r="370" spans="1:34">
      <c r="A370" s="372" t="s">
        <v>3134</v>
      </c>
      <c r="B370" s="373" t="s">
        <v>3135</v>
      </c>
      <c r="C370" s="372" t="s">
        <v>3136</v>
      </c>
      <c r="D370" s="374">
        <v>1101115079713</v>
      </c>
      <c r="E370" s="372" t="s">
        <v>3137</v>
      </c>
      <c r="F370" s="375" t="s">
        <v>1320</v>
      </c>
      <c r="G370" s="375" t="s">
        <v>16103</v>
      </c>
      <c r="H370" s="375" t="s">
        <v>781</v>
      </c>
      <c r="I370" s="375" t="s">
        <v>751</v>
      </c>
      <c r="J370" s="375">
        <v>700308.39586000005</v>
      </c>
      <c r="K370" s="375">
        <v>-21910.768100000001</v>
      </c>
      <c r="L370" s="375">
        <v>-46514.970090000003</v>
      </c>
      <c r="M370" s="375">
        <v>679314.91154999996</v>
      </c>
      <c r="N370" s="372">
        <v>0.78600000000000003</v>
      </c>
      <c r="O370" s="704">
        <v>78.603877750877487</v>
      </c>
      <c r="P370" s="375" t="s">
        <v>619</v>
      </c>
      <c r="Q370" s="375" t="s">
        <v>619</v>
      </c>
      <c r="R370" s="696">
        <v>20130408</v>
      </c>
      <c r="S370" s="375" t="s">
        <v>3138</v>
      </c>
      <c r="T370" s="697" t="s">
        <v>768</v>
      </c>
      <c r="U370" s="375" t="s">
        <v>3139</v>
      </c>
      <c r="V370" s="722">
        <v>119.64</v>
      </c>
      <c r="W370" s="722">
        <v>0.98</v>
      </c>
      <c r="X370" s="722">
        <v>0.93</v>
      </c>
      <c r="Y370" s="722" t="s">
        <v>770</v>
      </c>
      <c r="Z370" s="382">
        <v>4.7413738950276008E-2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7104.5</v>
      </c>
      <c r="AF370" s="372">
        <v>7610.5</v>
      </c>
      <c r="AG370" s="372">
        <v>7991.5</v>
      </c>
      <c r="AH370" s="372">
        <v>0</v>
      </c>
    </row>
    <row r="371" spans="1:34">
      <c r="A371" s="372" t="s">
        <v>3140</v>
      </c>
      <c r="B371" s="373" t="s">
        <v>3141</v>
      </c>
      <c r="C371" s="372" t="s">
        <v>3142</v>
      </c>
      <c r="D371" s="374">
        <v>1341110411706</v>
      </c>
      <c r="E371" s="372" t="s">
        <v>3143</v>
      </c>
      <c r="F371" s="375" t="s">
        <v>890</v>
      </c>
      <c r="G371" s="375" t="s">
        <v>891</v>
      </c>
      <c r="H371" s="375" t="s">
        <v>852</v>
      </c>
      <c r="I371" s="375" t="s">
        <v>751</v>
      </c>
      <c r="J371" s="375">
        <v>835706.3602</v>
      </c>
      <c r="K371" s="375">
        <v>44194.516629999998</v>
      </c>
      <c r="L371" s="375">
        <v>39782.164259999998</v>
      </c>
      <c r="M371" s="375">
        <v>178032.40192999999</v>
      </c>
      <c r="N371" s="372">
        <v>0.66900000000000004</v>
      </c>
      <c r="O371" s="704">
        <v>19.569680862601977</v>
      </c>
      <c r="P371" s="375" t="s">
        <v>619</v>
      </c>
      <c r="Q371" s="375" t="s">
        <v>619</v>
      </c>
      <c r="R371" s="696">
        <v>20160922</v>
      </c>
      <c r="S371" s="375">
        <v>0</v>
      </c>
      <c r="T371" s="697">
        <v>0.23100000000000001</v>
      </c>
      <c r="U371" s="372" t="s">
        <v>3144</v>
      </c>
      <c r="V371" s="722">
        <v>18.559999999999999</v>
      </c>
      <c r="W371" s="722">
        <v>4.8099999999999996</v>
      </c>
      <c r="X371" s="722">
        <v>0.97</v>
      </c>
      <c r="Y371" s="722">
        <v>28.96</v>
      </c>
      <c r="Z371" s="382">
        <v>7.4245361328891146E-2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8562.86</v>
      </c>
      <c r="AF371" s="372">
        <v>9205.43</v>
      </c>
      <c r="AG371" s="372">
        <v>9735.7999999999993</v>
      </c>
      <c r="AH371" s="372">
        <v>12793</v>
      </c>
    </row>
    <row r="372" spans="1:34">
      <c r="A372" s="372" t="s">
        <v>3145</v>
      </c>
      <c r="B372" s="373" t="s">
        <v>3146</v>
      </c>
      <c r="C372" s="372" t="s">
        <v>3147</v>
      </c>
      <c r="D372" s="374">
        <v>1101112948086</v>
      </c>
      <c r="E372" s="372" t="s">
        <v>3148</v>
      </c>
      <c r="F372" s="375" t="s">
        <v>2831</v>
      </c>
      <c r="G372" s="375" t="s">
        <v>2832</v>
      </c>
      <c r="H372" s="375" t="s">
        <v>858</v>
      </c>
      <c r="I372" s="375" t="s">
        <v>859</v>
      </c>
      <c r="J372" s="375">
        <v>267037.84613999998</v>
      </c>
      <c r="K372" s="375">
        <v>-10415.278990000001</v>
      </c>
      <c r="L372" s="375">
        <v>-14356.05366</v>
      </c>
      <c r="M372" s="375">
        <v>254069.81409</v>
      </c>
      <c r="N372" s="372">
        <v>0.79400000000000004</v>
      </c>
      <c r="O372" s="704">
        <v>24.218619204718397</v>
      </c>
      <c r="P372" s="375" t="s">
        <v>619</v>
      </c>
      <c r="Q372" s="375" t="s">
        <v>619</v>
      </c>
      <c r="R372" s="696">
        <v>20161018</v>
      </c>
      <c r="S372" s="375" t="s">
        <v>3149</v>
      </c>
      <c r="T372" s="697" t="s">
        <v>768</v>
      </c>
      <c r="U372" s="375" t="s">
        <v>3150</v>
      </c>
      <c r="V372" s="722">
        <v>58.2</v>
      </c>
      <c r="W372" s="722">
        <v>2.25</v>
      </c>
      <c r="X372" s="722">
        <v>2.21</v>
      </c>
      <c r="Y372" s="722" t="s">
        <v>770</v>
      </c>
      <c r="Z372" s="382">
        <v>0.1470535425250421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2902.14</v>
      </c>
      <c r="AF372" s="372">
        <v>4140</v>
      </c>
      <c r="AG372" s="372">
        <v>5280.75</v>
      </c>
      <c r="AH372" s="372">
        <v>0</v>
      </c>
    </row>
    <row r="373" spans="1:34">
      <c r="A373" s="372" t="s">
        <v>3151</v>
      </c>
      <c r="B373" s="373" t="s">
        <v>3152</v>
      </c>
      <c r="C373" s="372" t="s">
        <v>3153</v>
      </c>
      <c r="D373" s="374">
        <v>1311110046639</v>
      </c>
      <c r="E373" s="372" t="s">
        <v>3154</v>
      </c>
      <c r="F373" s="375" t="s">
        <v>1273</v>
      </c>
      <c r="G373" s="375" t="s">
        <v>1273</v>
      </c>
      <c r="H373" s="375" t="s">
        <v>858</v>
      </c>
      <c r="I373" s="375" t="s">
        <v>859</v>
      </c>
      <c r="J373" s="375">
        <v>633709.45085000002</v>
      </c>
      <c r="K373" s="375">
        <v>484.34435999999999</v>
      </c>
      <c r="L373" s="375">
        <v>-22776.58367</v>
      </c>
      <c r="M373" s="375">
        <v>172640.22086999999</v>
      </c>
      <c r="N373" s="372">
        <v>0.754</v>
      </c>
      <c r="O373" s="704">
        <v>83.553012207935424</v>
      </c>
      <c r="P373" s="375" t="s">
        <v>619</v>
      </c>
      <c r="Q373" s="375" t="s">
        <v>619</v>
      </c>
      <c r="R373" s="696">
        <v>20191107</v>
      </c>
      <c r="S373" s="375" t="s">
        <v>3155</v>
      </c>
      <c r="T373" s="697" t="s">
        <v>768</v>
      </c>
      <c r="U373" s="372" t="s">
        <v>3156</v>
      </c>
      <c r="V373" s="722">
        <v>13.09</v>
      </c>
      <c r="W373" s="722">
        <v>1.96</v>
      </c>
      <c r="X373" s="722">
        <v>0.73</v>
      </c>
      <c r="Y373" s="722" t="s">
        <v>770</v>
      </c>
      <c r="Z373" s="382">
        <v>0.10451414145667104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6574.67</v>
      </c>
      <c r="AF373" s="372">
        <v>7607</v>
      </c>
      <c r="AG373" s="372">
        <v>8640</v>
      </c>
      <c r="AH373" s="372">
        <v>0</v>
      </c>
    </row>
    <row r="374" spans="1:34">
      <c r="A374" s="372" t="s">
        <v>3157</v>
      </c>
      <c r="B374" s="373" t="s">
        <v>3158</v>
      </c>
      <c r="C374" s="372" t="s">
        <v>3159</v>
      </c>
      <c r="D374" s="374">
        <v>1101111571250</v>
      </c>
      <c r="E374" s="372" t="s">
        <v>3160</v>
      </c>
      <c r="F374" s="375" t="s">
        <v>1003</v>
      </c>
      <c r="G374" s="375" t="s">
        <v>1212</v>
      </c>
      <c r="H374" s="375" t="s">
        <v>858</v>
      </c>
      <c r="I374" s="375" t="s">
        <v>859</v>
      </c>
      <c r="J374" s="375">
        <v>664000.90859999997</v>
      </c>
      <c r="K374" s="375">
        <v>-10564.236720000001</v>
      </c>
      <c r="L374" s="375">
        <v>-56492.736440000001</v>
      </c>
      <c r="M374" s="375">
        <v>1219591.2261000001</v>
      </c>
      <c r="N374" s="372">
        <v>0.871</v>
      </c>
      <c r="O374" s="704">
        <v>71.921205934168583</v>
      </c>
      <c r="P374" s="375" t="s">
        <v>619</v>
      </c>
      <c r="Q374" s="372" t="s">
        <v>619</v>
      </c>
      <c r="R374" s="696">
        <v>20070706</v>
      </c>
      <c r="S374" s="372" t="s">
        <v>2502</v>
      </c>
      <c r="T374" s="697" t="s">
        <v>768</v>
      </c>
      <c r="U374" s="372" t="s">
        <v>3161</v>
      </c>
      <c r="V374" s="722">
        <v>53.75</v>
      </c>
      <c r="W374" s="722">
        <v>0.44</v>
      </c>
      <c r="X374" s="722">
        <v>0.8</v>
      </c>
      <c r="Y374" s="722" t="s">
        <v>770</v>
      </c>
      <c r="Z374" s="382">
        <v>3.36889194858494E-2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6866.3</v>
      </c>
      <c r="AF374" s="372">
        <v>7892.3</v>
      </c>
      <c r="AG374" s="372">
        <v>8444.6</v>
      </c>
      <c r="AH374" s="372">
        <v>0</v>
      </c>
    </row>
    <row r="375" spans="1:34">
      <c r="A375" s="372" t="s">
        <v>3162</v>
      </c>
      <c r="B375" s="373" t="s">
        <v>3163</v>
      </c>
      <c r="C375" s="372" t="s">
        <v>15848</v>
      </c>
      <c r="D375" s="374">
        <v>1942110038423</v>
      </c>
      <c r="E375" s="372" t="s">
        <v>15849</v>
      </c>
      <c r="F375" s="375" t="s">
        <v>1038</v>
      </c>
      <c r="G375" s="375" t="s">
        <v>3164</v>
      </c>
      <c r="H375" s="375" t="s">
        <v>1040</v>
      </c>
      <c r="I375" s="375" t="s">
        <v>751</v>
      </c>
      <c r="J375" s="375">
        <v>1154291.31272</v>
      </c>
      <c r="K375" s="375">
        <v>53433.458440000002</v>
      </c>
      <c r="L375" s="375">
        <v>45247.392749999999</v>
      </c>
      <c r="M375" s="375">
        <v>352554.77370000002</v>
      </c>
      <c r="N375" s="372">
        <v>0.58699999999999997</v>
      </c>
      <c r="O375" s="704">
        <v>7.3754997257322072</v>
      </c>
      <c r="P375" s="375" t="s">
        <v>619</v>
      </c>
      <c r="Q375" s="375" t="s">
        <v>619</v>
      </c>
      <c r="R375" s="696">
        <v>20110104</v>
      </c>
      <c r="S375" s="375" t="s">
        <v>3165</v>
      </c>
      <c r="T375" s="697">
        <v>0.23100000000000001</v>
      </c>
      <c r="U375" s="375" t="s">
        <v>3166</v>
      </c>
      <c r="V375" s="722">
        <v>0</v>
      </c>
      <c r="W375" s="722">
        <v>0</v>
      </c>
      <c r="X375" s="722">
        <v>0</v>
      </c>
      <c r="Y375" s="722">
        <v>0</v>
      </c>
      <c r="Z375" s="382">
        <v>0.11929319956439954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11730</v>
      </c>
      <c r="AF375" s="372">
        <v>12270</v>
      </c>
      <c r="AG375" s="372">
        <v>13410</v>
      </c>
      <c r="AH375" s="372">
        <v>0</v>
      </c>
    </row>
    <row r="376" spans="1:34">
      <c r="A376" s="372" t="s">
        <v>3167</v>
      </c>
      <c r="B376" s="373" t="s">
        <v>3168</v>
      </c>
      <c r="C376" s="372" t="s">
        <v>3169</v>
      </c>
      <c r="D376" s="374">
        <v>1348110493354</v>
      </c>
      <c r="E376" s="372" t="s">
        <v>3170</v>
      </c>
      <c r="F376" s="372" t="s">
        <v>1182</v>
      </c>
      <c r="G376" s="375" t="s">
        <v>1183</v>
      </c>
      <c r="H376" s="375" t="s">
        <v>858</v>
      </c>
      <c r="I376" s="375" t="s">
        <v>859</v>
      </c>
      <c r="J376" s="375">
        <v>401544.12306000001</v>
      </c>
      <c r="K376" s="375">
        <v>89182.715639999995</v>
      </c>
      <c r="L376" s="375">
        <v>99242.927830000001</v>
      </c>
      <c r="M376" s="375">
        <v>452152.39789999998</v>
      </c>
      <c r="N376" s="372">
        <v>1.167</v>
      </c>
      <c r="O376" s="704">
        <v>3.1679607971756827</v>
      </c>
      <c r="P376" s="375" t="s">
        <v>619</v>
      </c>
      <c r="Q376" s="372" t="s">
        <v>619</v>
      </c>
      <c r="R376" s="696">
        <v>20190510</v>
      </c>
      <c r="S376" s="372" t="s">
        <v>3171</v>
      </c>
      <c r="T376" s="697">
        <v>0.23100000000000001</v>
      </c>
      <c r="U376" s="372" t="s">
        <v>3172</v>
      </c>
      <c r="V376" s="722">
        <v>6.84</v>
      </c>
      <c r="W376" s="722">
        <v>1.46</v>
      </c>
      <c r="X376" s="722">
        <v>1.65</v>
      </c>
      <c r="Y376" s="722">
        <v>8</v>
      </c>
      <c r="Z376" s="382">
        <v>8.2928401653021622E-2</v>
      </c>
      <c r="AA376" s="372">
        <v>2657.2968446</v>
      </c>
      <c r="AB376" s="372">
        <v>4458.0372605000002</v>
      </c>
      <c r="AC376" s="372">
        <v>4609.0920100000003</v>
      </c>
      <c r="AD376" s="372">
        <v>3518.6380564999999</v>
      </c>
      <c r="AE376" s="372">
        <v>4023.33</v>
      </c>
      <c r="AF376" s="372">
        <v>4443.33</v>
      </c>
      <c r="AG376" s="372">
        <v>4839.2</v>
      </c>
      <c r="AH376" s="372">
        <v>0</v>
      </c>
    </row>
    <row r="377" spans="1:34">
      <c r="A377" s="372" t="s">
        <v>3173</v>
      </c>
      <c r="B377" s="373" t="s">
        <v>3174</v>
      </c>
      <c r="C377" s="372" t="s">
        <v>3175</v>
      </c>
      <c r="D377" s="374">
        <v>1101110393283</v>
      </c>
      <c r="E377" s="372" t="s">
        <v>3176</v>
      </c>
      <c r="F377" s="375" t="s">
        <v>3177</v>
      </c>
      <c r="G377" s="375" t="s">
        <v>3178</v>
      </c>
      <c r="H377" s="375" t="s">
        <v>814</v>
      </c>
      <c r="I377" s="375" t="s">
        <v>751</v>
      </c>
      <c r="J377" s="375">
        <v>510044.19283999997</v>
      </c>
      <c r="K377" s="375">
        <v>80150.470610000004</v>
      </c>
      <c r="L377" s="375">
        <v>85413.638709999999</v>
      </c>
      <c r="M377" s="375">
        <v>397186.87622999999</v>
      </c>
      <c r="N377" s="372">
        <v>0.69299999999999995</v>
      </c>
      <c r="O377" s="704">
        <v>7.3854458682663546</v>
      </c>
      <c r="P377" s="375" t="s">
        <v>619</v>
      </c>
      <c r="Q377" s="375" t="s">
        <v>619</v>
      </c>
      <c r="R377" s="696">
        <v>20000512</v>
      </c>
      <c r="S377" s="375" t="s">
        <v>3179</v>
      </c>
      <c r="T377" s="697">
        <v>0.23100000000000001</v>
      </c>
      <c r="U377" s="375" t="s">
        <v>3180</v>
      </c>
      <c r="V377" s="722">
        <v>6.07</v>
      </c>
      <c r="W377" s="722">
        <v>1.57</v>
      </c>
      <c r="X377" s="722">
        <v>1.25</v>
      </c>
      <c r="Y377" s="722">
        <v>9.4600000000000009</v>
      </c>
      <c r="Z377" s="382">
        <v>5.8916964318664888E-2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5225</v>
      </c>
      <c r="AF377" s="372">
        <v>5703</v>
      </c>
      <c r="AG377" s="372">
        <v>6107</v>
      </c>
      <c r="AH377" s="372">
        <v>0</v>
      </c>
    </row>
    <row r="378" spans="1:34">
      <c r="A378" s="372" t="s">
        <v>3181</v>
      </c>
      <c r="B378" s="373" t="s">
        <v>3182</v>
      </c>
      <c r="C378" s="372" t="s">
        <v>3183</v>
      </c>
      <c r="D378" s="374">
        <v>1101110126783</v>
      </c>
      <c r="E378" s="372" t="s">
        <v>3184</v>
      </c>
      <c r="F378" s="372" t="s">
        <v>890</v>
      </c>
      <c r="G378" s="375" t="s">
        <v>891</v>
      </c>
      <c r="H378" s="375" t="s">
        <v>852</v>
      </c>
      <c r="I378" s="375" t="s">
        <v>751</v>
      </c>
      <c r="J378" s="375">
        <v>1935316.7157999999</v>
      </c>
      <c r="K378" s="375">
        <v>437319.98826000001</v>
      </c>
      <c r="L378" s="375">
        <v>440430.16534000001</v>
      </c>
      <c r="M378" s="375">
        <v>3286316.31494</v>
      </c>
      <c r="N378" s="372">
        <v>1.625</v>
      </c>
      <c r="O378" s="704">
        <v>38.54556508059764</v>
      </c>
      <c r="P378" s="375" t="s">
        <v>619</v>
      </c>
      <c r="Q378" s="372" t="s">
        <v>619</v>
      </c>
      <c r="R378" s="696">
        <v>19841004</v>
      </c>
      <c r="S378" s="375" t="s">
        <v>851</v>
      </c>
      <c r="T378" s="697">
        <v>0.26400000000000001</v>
      </c>
      <c r="U378" s="375" t="s">
        <v>15850</v>
      </c>
      <c r="V378" s="722">
        <v>2.92</v>
      </c>
      <c r="W378" s="722">
        <v>0.25</v>
      </c>
      <c r="X378" s="722">
        <v>0.28000000000000003</v>
      </c>
      <c r="Y378" s="722">
        <v>5.23</v>
      </c>
      <c r="Z378" s="382" t="s">
        <v>924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3185</v>
      </c>
      <c r="B379" s="373" t="s">
        <v>3186</v>
      </c>
      <c r="C379" s="372" t="s">
        <v>3187</v>
      </c>
      <c r="D379" s="374">
        <v>1101111955694</v>
      </c>
      <c r="E379" s="372" t="s">
        <v>3188</v>
      </c>
      <c r="F379" s="375" t="s">
        <v>1003</v>
      </c>
      <c r="G379" s="375" t="s">
        <v>1212</v>
      </c>
      <c r="H379" s="375" t="s">
        <v>858</v>
      </c>
      <c r="I379" s="375" t="s">
        <v>859</v>
      </c>
      <c r="J379" s="375">
        <v>229327.36389000001</v>
      </c>
      <c r="K379" s="375">
        <v>57684.943610000002</v>
      </c>
      <c r="L379" s="375">
        <v>79667.531789999994</v>
      </c>
      <c r="M379" s="375">
        <v>660706.52431000001</v>
      </c>
      <c r="N379" s="372">
        <v>0.81100000000000005</v>
      </c>
      <c r="O379" s="704">
        <v>0.59190894439136688</v>
      </c>
      <c r="P379" s="375" t="s">
        <v>619</v>
      </c>
      <c r="Q379" s="372" t="s">
        <v>619</v>
      </c>
      <c r="R379" s="696">
        <v>20030521</v>
      </c>
      <c r="S379" s="375" t="s">
        <v>3189</v>
      </c>
      <c r="T379" s="697">
        <v>0.23100000000000001</v>
      </c>
      <c r="U379" s="375" t="s">
        <v>3190</v>
      </c>
      <c r="V379" s="722">
        <v>9.3000000000000007</v>
      </c>
      <c r="W379" s="722">
        <v>0.81</v>
      </c>
      <c r="X379" s="722">
        <v>2.61</v>
      </c>
      <c r="Y379" s="722">
        <v>9.17</v>
      </c>
      <c r="Z379" s="382">
        <v>0.1182127735930143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2224.14</v>
      </c>
      <c r="AF379" s="372">
        <v>2634.17</v>
      </c>
      <c r="AG379" s="372">
        <v>3069</v>
      </c>
      <c r="AH379" s="372">
        <v>0</v>
      </c>
    </row>
    <row r="380" spans="1:34">
      <c r="A380" s="372" t="s">
        <v>3191</v>
      </c>
      <c r="B380" s="373" t="s">
        <v>3192</v>
      </c>
      <c r="C380" s="372" t="s">
        <v>3193</v>
      </c>
      <c r="D380" s="374">
        <v>1101110282402</v>
      </c>
      <c r="E380" s="372" t="s">
        <v>3194</v>
      </c>
      <c r="F380" s="375" t="s">
        <v>3195</v>
      </c>
      <c r="G380" s="375" t="s">
        <v>3196</v>
      </c>
      <c r="H380" s="375" t="s">
        <v>843</v>
      </c>
      <c r="I380" s="375" t="s">
        <v>751</v>
      </c>
      <c r="J380" s="375">
        <v>1318879.24287</v>
      </c>
      <c r="K380" s="375">
        <v>40585.00275</v>
      </c>
      <c r="L380" s="375">
        <v>54391.404179999998</v>
      </c>
      <c r="M380" s="375">
        <v>852602.03101000004</v>
      </c>
      <c r="N380" s="372">
        <v>0.86199999999999999</v>
      </c>
      <c r="O380" s="704">
        <v>65.897884566591259</v>
      </c>
      <c r="P380" s="375" t="s">
        <v>619</v>
      </c>
      <c r="Q380" s="375" t="s">
        <v>619</v>
      </c>
      <c r="R380" s="696">
        <v>20110714</v>
      </c>
      <c r="S380" s="375" t="s">
        <v>3197</v>
      </c>
      <c r="T380" s="697">
        <v>0.23100000000000001</v>
      </c>
      <c r="U380" s="375" t="s">
        <v>3198</v>
      </c>
      <c r="V380" s="722">
        <v>7.5</v>
      </c>
      <c r="W380" s="722">
        <v>0.56000000000000005</v>
      </c>
      <c r="X380" s="722">
        <v>0.37</v>
      </c>
      <c r="Y380" s="722">
        <v>11.8</v>
      </c>
      <c r="Z380" s="382">
        <v>2.680658080795717E-2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13356.92</v>
      </c>
      <c r="AF380" s="372">
        <v>14291.08</v>
      </c>
      <c r="AG380" s="372">
        <v>15054.91</v>
      </c>
      <c r="AH380" s="372">
        <v>0</v>
      </c>
    </row>
    <row r="381" spans="1:34">
      <c r="A381" s="372" t="s">
        <v>3199</v>
      </c>
      <c r="B381" s="373" t="s">
        <v>3200</v>
      </c>
      <c r="C381" s="372" t="s">
        <v>3201</v>
      </c>
      <c r="D381" s="374">
        <v>1101110006612</v>
      </c>
      <c r="E381" s="372" t="s">
        <v>3202</v>
      </c>
      <c r="F381" s="375" t="s">
        <v>1259</v>
      </c>
      <c r="G381" s="375" t="s">
        <v>1260</v>
      </c>
      <c r="H381" s="375" t="s">
        <v>1261</v>
      </c>
      <c r="I381" s="375" t="s">
        <v>751</v>
      </c>
      <c r="J381" s="375">
        <v>0</v>
      </c>
      <c r="K381" s="375">
        <v>0</v>
      </c>
      <c r="L381" s="375">
        <v>0</v>
      </c>
      <c r="M381" s="375">
        <v>0</v>
      </c>
      <c r="N381" s="372">
        <v>0.38300000000000001</v>
      </c>
      <c r="O381" s="704" t="s">
        <v>16298</v>
      </c>
      <c r="P381" s="375" t="s">
        <v>619</v>
      </c>
      <c r="Q381" s="375" t="s">
        <v>619</v>
      </c>
      <c r="R381" s="696">
        <v>19870824</v>
      </c>
      <c r="S381" s="375" t="s">
        <v>3203</v>
      </c>
      <c r="T381" s="697" t="s">
        <v>768</v>
      </c>
      <c r="U381" s="375" t="s">
        <v>3204</v>
      </c>
      <c r="V381" s="722">
        <v>0</v>
      </c>
      <c r="W381" s="722">
        <v>0</v>
      </c>
      <c r="X381" s="722">
        <v>0</v>
      </c>
      <c r="Y381" s="722">
        <v>0</v>
      </c>
      <c r="Z381" s="382" t="s">
        <v>924</v>
      </c>
      <c r="AA381" s="372">
        <v>4449.5880396000002</v>
      </c>
      <c r="AB381" s="372">
        <v>3003.0692435000001</v>
      </c>
      <c r="AC381" s="372">
        <v>2880.0922369</v>
      </c>
      <c r="AD381" s="372">
        <v>3582.4895287999998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3205</v>
      </c>
      <c r="B382" s="373" t="s">
        <v>3206</v>
      </c>
      <c r="C382" s="372" t="s">
        <v>3207</v>
      </c>
      <c r="D382" s="374">
        <v>1341110189717</v>
      </c>
      <c r="E382" s="372" t="s">
        <v>3208</v>
      </c>
      <c r="F382" s="375" t="s">
        <v>1273</v>
      </c>
      <c r="G382" s="375" t="s">
        <v>1273</v>
      </c>
      <c r="H382" s="375" t="s">
        <v>858</v>
      </c>
      <c r="I382" s="375" t="s">
        <v>859</v>
      </c>
      <c r="J382" s="375">
        <v>20556.388719999999</v>
      </c>
      <c r="K382" s="375">
        <v>-25226.159479999998</v>
      </c>
      <c r="L382" s="375">
        <v>-48765.191619999998</v>
      </c>
      <c r="M382" s="375">
        <v>5821.1101900000003</v>
      </c>
      <c r="N382" s="372">
        <v>0.88</v>
      </c>
      <c r="O382" s="704">
        <v>30.873015081625965</v>
      </c>
      <c r="P382" s="375" t="s">
        <v>619</v>
      </c>
      <c r="Q382" s="375" t="s">
        <v>619</v>
      </c>
      <c r="R382" s="696">
        <v>20170927</v>
      </c>
      <c r="S382" s="375" t="s">
        <v>3209</v>
      </c>
      <c r="T382" s="697" t="s">
        <v>768</v>
      </c>
      <c r="U382" s="375" t="s">
        <v>3210</v>
      </c>
      <c r="V382" s="722" t="s">
        <v>770</v>
      </c>
      <c r="W382" s="722">
        <v>40.94</v>
      </c>
      <c r="X382" s="722">
        <v>20.25</v>
      </c>
      <c r="Y382" s="722" t="s">
        <v>770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3211</v>
      </c>
      <c r="B383" s="373" t="s">
        <v>3212</v>
      </c>
      <c r="C383" s="372" t="s">
        <v>3213</v>
      </c>
      <c r="D383" s="374">
        <v>1101118651633</v>
      </c>
      <c r="E383" s="372" t="s">
        <v>3214</v>
      </c>
      <c r="F383" s="375" t="s">
        <v>3215</v>
      </c>
      <c r="G383" s="375" t="s">
        <v>3215</v>
      </c>
      <c r="H383" s="375" t="s">
        <v>809</v>
      </c>
      <c r="I383" s="375" t="s">
        <v>751</v>
      </c>
      <c r="J383" s="375">
        <v>3828606.4388100002</v>
      </c>
      <c r="K383" s="375">
        <v>193062.41475</v>
      </c>
      <c r="L383" s="375">
        <v>139876.26159000001</v>
      </c>
      <c r="M383" s="375">
        <v>1733603.9184999999</v>
      </c>
      <c r="N383" s="372" t="s">
        <v>1023</v>
      </c>
      <c r="O383" s="704">
        <v>239.70146481000461</v>
      </c>
      <c r="P383" s="375" t="s">
        <v>619</v>
      </c>
      <c r="Q383" s="372" t="s">
        <v>619</v>
      </c>
      <c r="R383" s="696">
        <v>20230616</v>
      </c>
      <c r="S383" s="372" t="s">
        <v>3216</v>
      </c>
      <c r="T383" s="697">
        <v>0.23100000000000001</v>
      </c>
      <c r="U383" s="372">
        <v>0</v>
      </c>
      <c r="V383" s="722">
        <v>0</v>
      </c>
      <c r="W383" s="722">
        <v>0</v>
      </c>
      <c r="X383" s="722">
        <v>0</v>
      </c>
      <c r="Y383" s="722">
        <v>0</v>
      </c>
      <c r="Z383" s="382" t="s">
        <v>924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3217</v>
      </c>
      <c r="B384" s="373" t="s">
        <v>3218</v>
      </c>
      <c r="C384" s="372" t="s">
        <v>3219</v>
      </c>
      <c r="D384" s="374">
        <v>1101110600430</v>
      </c>
      <c r="E384" s="372" t="s">
        <v>3220</v>
      </c>
      <c r="F384" s="375" t="s">
        <v>1182</v>
      </c>
      <c r="G384" s="375" t="s">
        <v>1183</v>
      </c>
      <c r="H384" s="375" t="s">
        <v>858</v>
      </c>
      <c r="I384" s="375" t="s">
        <v>859</v>
      </c>
      <c r="J384" s="375">
        <v>453427.71117000002</v>
      </c>
      <c r="K384" s="375">
        <v>36482.176740000003</v>
      </c>
      <c r="L384" s="375">
        <v>37045.598080000003</v>
      </c>
      <c r="M384" s="375">
        <v>364266.26243</v>
      </c>
      <c r="N384" s="372">
        <v>1.29</v>
      </c>
      <c r="O384" s="704">
        <v>28.16233052114131</v>
      </c>
      <c r="P384" s="375" t="s">
        <v>619</v>
      </c>
      <c r="Q384" s="375" t="s">
        <v>619</v>
      </c>
      <c r="R384" s="696">
        <v>20060201</v>
      </c>
      <c r="S384" s="375" t="s">
        <v>3221</v>
      </c>
      <c r="T384" s="697">
        <v>0.23100000000000001</v>
      </c>
      <c r="U384" s="375" t="s">
        <v>3222</v>
      </c>
      <c r="V384" s="722">
        <v>9.43</v>
      </c>
      <c r="W384" s="722">
        <v>1.27</v>
      </c>
      <c r="X384" s="722">
        <v>0.92</v>
      </c>
      <c r="Y384" s="722">
        <v>13.67</v>
      </c>
      <c r="Z384" s="382">
        <v>0.13939902878061416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5263.5</v>
      </c>
      <c r="AF384" s="372">
        <v>6078.5</v>
      </c>
      <c r="AG384" s="372">
        <v>6790</v>
      </c>
      <c r="AH384" s="372">
        <v>0</v>
      </c>
    </row>
    <row r="385" spans="1:34">
      <c r="A385" s="372" t="s">
        <v>3223</v>
      </c>
      <c r="B385" s="373" t="s">
        <v>3224</v>
      </c>
      <c r="C385" s="372" t="s">
        <v>3225</v>
      </c>
      <c r="D385" s="374">
        <v>1101113667552</v>
      </c>
      <c r="E385" s="372" t="s">
        <v>3226</v>
      </c>
      <c r="F385" s="375" t="s">
        <v>1003</v>
      </c>
      <c r="G385" s="375" t="s">
        <v>1212</v>
      </c>
      <c r="H385" s="375" t="s">
        <v>858</v>
      </c>
      <c r="I385" s="375" t="s">
        <v>859</v>
      </c>
      <c r="J385" s="375">
        <v>386647.45214000001</v>
      </c>
      <c r="K385" s="375">
        <v>41038.719929999999</v>
      </c>
      <c r="L385" s="375">
        <v>30162.322410000001</v>
      </c>
      <c r="M385" s="375">
        <v>539910.63592999999</v>
      </c>
      <c r="N385" s="372">
        <v>0.65600000000000003</v>
      </c>
      <c r="O385" s="704">
        <v>0.92440368999495237</v>
      </c>
      <c r="P385" s="375" t="s">
        <v>619</v>
      </c>
      <c r="Q385" s="375" t="s">
        <v>619</v>
      </c>
      <c r="R385" s="696">
        <v>20070702</v>
      </c>
      <c r="S385" s="375" t="s">
        <v>3227</v>
      </c>
      <c r="T385" s="697">
        <v>0.23100000000000001</v>
      </c>
      <c r="U385" s="375" t="s">
        <v>3228</v>
      </c>
      <c r="V385" s="722">
        <v>8.52</v>
      </c>
      <c r="W385" s="722">
        <v>0.84</v>
      </c>
      <c r="X385" s="722">
        <v>1.22</v>
      </c>
      <c r="Y385" s="722">
        <v>15.27</v>
      </c>
      <c r="Z385" s="382">
        <v>2.7775650787962514E-2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3665.91</v>
      </c>
      <c r="AF385" s="372">
        <v>3859.45</v>
      </c>
      <c r="AG385" s="372">
        <v>4079.36</v>
      </c>
      <c r="AH385" s="372">
        <v>0</v>
      </c>
    </row>
    <row r="386" spans="1:34">
      <c r="A386" s="372" t="s">
        <v>3229</v>
      </c>
      <c r="B386" s="373" t="s">
        <v>3230</v>
      </c>
      <c r="C386" s="372" t="s">
        <v>3231</v>
      </c>
      <c r="D386" s="374">
        <v>1101112732413</v>
      </c>
      <c r="E386" s="372" t="s">
        <v>3232</v>
      </c>
      <c r="F386" s="375" t="s">
        <v>3233</v>
      </c>
      <c r="G386" s="375" t="s">
        <v>3233</v>
      </c>
      <c r="H386" s="375" t="s">
        <v>858</v>
      </c>
      <c r="I386" s="375" t="s">
        <v>859</v>
      </c>
      <c r="J386" s="375">
        <v>25383.889759999998</v>
      </c>
      <c r="K386" s="375">
        <v>4680.4970400000002</v>
      </c>
      <c r="L386" s="375">
        <v>-18577.106240000001</v>
      </c>
      <c r="M386" s="375">
        <v>66325.461200000005</v>
      </c>
      <c r="N386" s="372">
        <v>0.9</v>
      </c>
      <c r="O386" s="704">
        <v>0.31830529301572064</v>
      </c>
      <c r="P386" s="375" t="s">
        <v>619</v>
      </c>
      <c r="Q386" s="375" t="s">
        <v>619</v>
      </c>
      <c r="R386" s="696">
        <v>20131029</v>
      </c>
      <c r="S386" s="375" t="s">
        <v>3234</v>
      </c>
      <c r="T386" s="697" t="s">
        <v>768</v>
      </c>
      <c r="U386" s="375" t="s">
        <v>3235</v>
      </c>
      <c r="V386" s="722">
        <v>49.94</v>
      </c>
      <c r="W386" s="722">
        <v>4.17</v>
      </c>
      <c r="X386" s="722">
        <v>12.35</v>
      </c>
      <c r="Y386" s="722" t="s">
        <v>770</v>
      </c>
      <c r="Z386" s="382">
        <v>6.2679735106333512E-2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285.75</v>
      </c>
      <c r="AF386" s="372">
        <v>326.25</v>
      </c>
      <c r="AG386" s="372">
        <v>352.33</v>
      </c>
      <c r="AH386" s="372">
        <v>0</v>
      </c>
    </row>
    <row r="387" spans="1:34">
      <c r="A387" s="372" t="s">
        <v>3236</v>
      </c>
      <c r="B387" s="373" t="s">
        <v>3237</v>
      </c>
      <c r="C387" s="372" t="s">
        <v>3238</v>
      </c>
      <c r="D387" s="374">
        <v>1101113001685</v>
      </c>
      <c r="E387" s="372" t="s">
        <v>3239</v>
      </c>
      <c r="F387" s="375" t="s">
        <v>3240</v>
      </c>
      <c r="G387" s="375" t="s">
        <v>3241</v>
      </c>
      <c r="H387" s="375" t="s">
        <v>814</v>
      </c>
      <c r="I387" s="375" t="s">
        <v>751</v>
      </c>
      <c r="J387" s="375">
        <v>319449.26585999998</v>
      </c>
      <c r="K387" s="375">
        <v>-2000.1446000000001</v>
      </c>
      <c r="L387" s="375">
        <v>-46420.292159999997</v>
      </c>
      <c r="M387" s="375">
        <v>537327.46780999994</v>
      </c>
      <c r="N387" s="372">
        <v>0.61799999999999999</v>
      </c>
      <c r="O387" s="704">
        <v>854.22616977956307</v>
      </c>
      <c r="P387" s="375" t="s">
        <v>619</v>
      </c>
      <c r="Q387" s="375" t="s">
        <v>619</v>
      </c>
      <c r="R387" s="696">
        <v>20150623</v>
      </c>
      <c r="S387" s="375" t="s">
        <v>3242</v>
      </c>
      <c r="T387" s="697" t="s">
        <v>768</v>
      </c>
      <c r="U387" s="375" t="s">
        <v>3243</v>
      </c>
      <c r="V387" s="722">
        <v>61.79</v>
      </c>
      <c r="W387" s="722">
        <v>0.3</v>
      </c>
      <c r="X387" s="722">
        <v>0.56999999999999995</v>
      </c>
      <c r="Y387" s="722" t="s">
        <v>770</v>
      </c>
      <c r="Z387" s="382">
        <v>-6.8269976090314599E-2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3250</v>
      </c>
      <c r="AF387" s="372">
        <v>3562</v>
      </c>
      <c r="AG387" s="372">
        <v>3615</v>
      </c>
      <c r="AH387" s="372">
        <v>3533</v>
      </c>
    </row>
    <row r="388" spans="1:34">
      <c r="A388" s="372" t="s">
        <v>3244</v>
      </c>
      <c r="B388" s="373" t="s">
        <v>3245</v>
      </c>
      <c r="C388" s="372" t="s">
        <v>3246</v>
      </c>
      <c r="D388" s="374">
        <v>1648110105010</v>
      </c>
      <c r="E388" s="372" t="s">
        <v>3247</v>
      </c>
      <c r="F388" s="375" t="s">
        <v>1273</v>
      </c>
      <c r="G388" s="375" t="s">
        <v>1273</v>
      </c>
      <c r="H388" s="375" t="s">
        <v>858</v>
      </c>
      <c r="I388" s="375" t="s">
        <v>859</v>
      </c>
      <c r="J388" s="375">
        <v>402247.94709999999</v>
      </c>
      <c r="K388" s="375">
        <v>63864.987580000001</v>
      </c>
      <c r="L388" s="375">
        <v>54536.901590000001</v>
      </c>
      <c r="M388" s="375">
        <v>449156.40220000001</v>
      </c>
      <c r="N388" s="372">
        <v>1.0189999999999999</v>
      </c>
      <c r="O388" s="704">
        <v>69.850082800350606</v>
      </c>
      <c r="P388" s="375" t="s">
        <v>619</v>
      </c>
      <c r="Q388" s="375" t="s">
        <v>619</v>
      </c>
      <c r="R388" s="696">
        <v>20170710</v>
      </c>
      <c r="S388" s="375" t="s">
        <v>3248</v>
      </c>
      <c r="T388" s="697">
        <v>0.23100000000000001</v>
      </c>
      <c r="U388" s="375" t="s">
        <v>3249</v>
      </c>
      <c r="V388" s="722">
        <v>7.11</v>
      </c>
      <c r="W388" s="722">
        <v>1.17</v>
      </c>
      <c r="X388" s="722">
        <v>1.37</v>
      </c>
      <c r="Y388" s="722">
        <v>14.3</v>
      </c>
      <c r="Z388" s="382">
        <v>0.19246925656864478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4225.8500000000004</v>
      </c>
      <c r="AF388" s="372">
        <v>4702.75</v>
      </c>
      <c r="AG388" s="372">
        <v>7825.33</v>
      </c>
      <c r="AH388" s="372">
        <v>0</v>
      </c>
    </row>
    <row r="389" spans="1:34">
      <c r="A389" s="372" t="s">
        <v>3250</v>
      </c>
      <c r="B389" s="373" t="s">
        <v>3251</v>
      </c>
      <c r="C389" s="372" t="s">
        <v>3252</v>
      </c>
      <c r="D389" s="374">
        <v>1101110018089</v>
      </c>
      <c r="E389" s="372" t="s">
        <v>3253</v>
      </c>
      <c r="F389" s="372" t="s">
        <v>1259</v>
      </c>
      <c r="G389" s="375" t="s">
        <v>1260</v>
      </c>
      <c r="H389" s="375" t="s">
        <v>1261</v>
      </c>
      <c r="I389" s="375" t="s">
        <v>751</v>
      </c>
      <c r="J389" s="375">
        <v>0</v>
      </c>
      <c r="K389" s="375">
        <v>0</v>
      </c>
      <c r="L389" s="375">
        <v>0</v>
      </c>
      <c r="M389" s="375">
        <v>0</v>
      </c>
      <c r="N389" s="372">
        <v>0.78100000000000003</v>
      </c>
      <c r="O389" s="704" t="s">
        <v>16298</v>
      </c>
      <c r="P389" s="375" t="s">
        <v>619</v>
      </c>
      <c r="Q389" s="375" t="s">
        <v>619</v>
      </c>
      <c r="R389" s="696">
        <v>19991116</v>
      </c>
      <c r="S389" s="375" t="s">
        <v>3254</v>
      </c>
      <c r="T389" s="697" t="s">
        <v>768</v>
      </c>
      <c r="U389" s="375" t="s">
        <v>3255</v>
      </c>
      <c r="V389" s="722">
        <v>0</v>
      </c>
      <c r="W389" s="722">
        <v>0</v>
      </c>
      <c r="X389" s="722">
        <v>0</v>
      </c>
      <c r="Y389" s="722">
        <v>0</v>
      </c>
      <c r="Z389" s="382">
        <v>0.16337338163840753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4000</v>
      </c>
      <c r="AF389" s="372">
        <v>4650</v>
      </c>
      <c r="AG389" s="372">
        <v>5200</v>
      </c>
      <c r="AH389" s="372">
        <v>0</v>
      </c>
    </row>
    <row r="390" spans="1:34">
      <c r="A390" s="372" t="s">
        <v>3256</v>
      </c>
      <c r="B390" s="373" t="s">
        <v>3257</v>
      </c>
      <c r="C390" s="372" t="s">
        <v>3258</v>
      </c>
      <c r="D390" s="374">
        <v>1101110026181</v>
      </c>
      <c r="E390" s="372" t="s">
        <v>3259</v>
      </c>
      <c r="F390" s="375" t="s">
        <v>890</v>
      </c>
      <c r="G390" s="375" t="s">
        <v>891</v>
      </c>
      <c r="H390" s="375" t="s">
        <v>852</v>
      </c>
      <c r="I390" s="375" t="s">
        <v>751</v>
      </c>
      <c r="J390" s="375">
        <v>3462218.7319999998</v>
      </c>
      <c r="K390" s="375">
        <v>144032.67723</v>
      </c>
      <c r="L390" s="375">
        <v>138599.66797000001</v>
      </c>
      <c r="M390" s="375">
        <v>2948278.4677900001</v>
      </c>
      <c r="N390" s="372">
        <v>0.78200000000000003</v>
      </c>
      <c r="O390" s="704">
        <v>288.86724888752536</v>
      </c>
      <c r="P390" s="375" t="s">
        <v>619</v>
      </c>
      <c r="Q390" s="375" t="s">
        <v>619</v>
      </c>
      <c r="R390" s="696">
        <v>19681227</v>
      </c>
      <c r="S390" s="375" t="s">
        <v>3260</v>
      </c>
      <c r="T390" s="697">
        <v>0.23100000000000001</v>
      </c>
      <c r="U390" s="375" t="s">
        <v>3261</v>
      </c>
      <c r="V390" s="722">
        <v>8.5</v>
      </c>
      <c r="W390" s="722">
        <v>0.33</v>
      </c>
      <c r="X390" s="722">
        <v>0.2</v>
      </c>
      <c r="Y390" s="722">
        <v>14.3</v>
      </c>
      <c r="Z390" s="382" t="s">
        <v>924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3262</v>
      </c>
      <c r="B391" s="373" t="s">
        <v>3263</v>
      </c>
      <c r="C391" s="372" t="s">
        <v>3264</v>
      </c>
      <c r="D391" s="374">
        <v>1845110000634</v>
      </c>
      <c r="E391" s="372" t="s">
        <v>3265</v>
      </c>
      <c r="F391" s="375" t="s">
        <v>2100</v>
      </c>
      <c r="G391" s="375" t="s">
        <v>2100</v>
      </c>
      <c r="H391" s="375" t="s">
        <v>852</v>
      </c>
      <c r="I391" s="375" t="s">
        <v>751</v>
      </c>
      <c r="J391" s="375">
        <v>810254.50697999995</v>
      </c>
      <c r="K391" s="375">
        <v>90513.13278</v>
      </c>
      <c r="L391" s="375">
        <v>154699.91462</v>
      </c>
      <c r="M391" s="375">
        <v>1143579.40757</v>
      </c>
      <c r="N391" s="372">
        <v>0.56999999999999995</v>
      </c>
      <c r="O391" s="704">
        <v>1.2759907782831839</v>
      </c>
      <c r="P391" s="375" t="s">
        <v>619</v>
      </c>
      <c r="Q391" s="375" t="s">
        <v>619</v>
      </c>
      <c r="R391" s="696">
        <v>20140806</v>
      </c>
      <c r="S391" s="375" t="s">
        <v>3266</v>
      </c>
      <c r="T391" s="697">
        <v>0.23100000000000001</v>
      </c>
      <c r="U391" s="375" t="s">
        <v>3267</v>
      </c>
      <c r="V391" s="722">
        <v>8.16</v>
      </c>
      <c r="W391" s="722">
        <v>0.68</v>
      </c>
      <c r="X391" s="722">
        <v>1</v>
      </c>
      <c r="Y391" s="722">
        <v>6.42</v>
      </c>
      <c r="Z391" s="382">
        <v>6.0824559454623506E-2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8280</v>
      </c>
      <c r="AF391" s="372">
        <v>8990</v>
      </c>
      <c r="AG391" s="372">
        <v>9780</v>
      </c>
      <c r="AH391" s="372">
        <v>0</v>
      </c>
    </row>
    <row r="392" spans="1:34">
      <c r="A392" s="372" t="s">
        <v>3268</v>
      </c>
      <c r="B392" s="373" t="s">
        <v>3269</v>
      </c>
      <c r="C392" s="372" t="s">
        <v>3270</v>
      </c>
      <c r="D392" s="374">
        <v>1452110021112</v>
      </c>
      <c r="E392" s="372" t="s">
        <v>3271</v>
      </c>
      <c r="F392" s="375" t="s">
        <v>1113</v>
      </c>
      <c r="G392" s="375" t="s">
        <v>1333</v>
      </c>
      <c r="H392" s="375" t="s">
        <v>1334</v>
      </c>
      <c r="I392" s="375" t="s">
        <v>859</v>
      </c>
      <c r="J392" s="375">
        <v>4755.2314500000002</v>
      </c>
      <c r="K392" s="375">
        <v>-44824.805590000004</v>
      </c>
      <c r="L392" s="375">
        <v>-49941.63409</v>
      </c>
      <c r="M392" s="375">
        <v>47572.830959999999</v>
      </c>
      <c r="N392" s="372" t="s">
        <v>1023</v>
      </c>
      <c r="O392" s="704">
        <v>1.8808182355772074</v>
      </c>
      <c r="P392" s="375" t="s">
        <v>619</v>
      </c>
      <c r="Q392" s="375" t="s">
        <v>619</v>
      </c>
      <c r="R392" s="696">
        <v>20230330</v>
      </c>
      <c r="S392" s="375" t="s">
        <v>3272</v>
      </c>
      <c r="T392" s="697" t="s">
        <v>768</v>
      </c>
      <c r="U392" s="372" t="s">
        <v>3273</v>
      </c>
      <c r="V392" s="722">
        <v>0</v>
      </c>
      <c r="W392" s="722">
        <v>0</v>
      </c>
      <c r="X392" s="722">
        <v>0</v>
      </c>
      <c r="Y392" s="722">
        <v>0</v>
      </c>
      <c r="Z392" s="382" t="s">
        <v>924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3274</v>
      </c>
      <c r="B393" s="373" t="s">
        <v>3275</v>
      </c>
      <c r="C393" s="372" t="s">
        <v>3276</v>
      </c>
      <c r="D393" s="374">
        <v>1801110054691</v>
      </c>
      <c r="E393" s="372" t="s">
        <v>3277</v>
      </c>
      <c r="F393" s="375" t="s">
        <v>3278</v>
      </c>
      <c r="G393" s="375" t="s">
        <v>3279</v>
      </c>
      <c r="H393" s="375" t="s">
        <v>1040</v>
      </c>
      <c r="I393" s="375" t="s">
        <v>751</v>
      </c>
      <c r="J393" s="375">
        <v>749542.55472000001</v>
      </c>
      <c r="K393" s="375">
        <v>28290.555649999998</v>
      </c>
      <c r="L393" s="375">
        <v>13364.524890000001</v>
      </c>
      <c r="M393" s="375">
        <v>470224.38404999999</v>
      </c>
      <c r="N393" s="372">
        <v>0.63800000000000001</v>
      </c>
      <c r="O393" s="704">
        <v>19.595193708972182</v>
      </c>
      <c r="P393" s="375" t="s">
        <v>619</v>
      </c>
      <c r="Q393" s="375" t="s">
        <v>619</v>
      </c>
      <c r="R393" s="696">
        <v>19950708</v>
      </c>
      <c r="S393" s="375" t="s">
        <v>3280</v>
      </c>
      <c r="T393" s="697">
        <v>0.20900000000000002</v>
      </c>
      <c r="U393" s="375" t="s">
        <v>3281</v>
      </c>
      <c r="V393" s="722">
        <v>10.48</v>
      </c>
      <c r="W393" s="722">
        <v>1.1299999999999999</v>
      </c>
      <c r="X393" s="722">
        <v>0.75</v>
      </c>
      <c r="Y393" s="722">
        <v>156.58000000000001</v>
      </c>
      <c r="Z393" s="382">
        <v>9.5913205075130792E-2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7626.75</v>
      </c>
      <c r="AF393" s="372">
        <v>8156.5</v>
      </c>
      <c r="AG393" s="372">
        <v>8574.25</v>
      </c>
      <c r="AH393" s="372">
        <v>0</v>
      </c>
    </row>
    <row r="394" spans="1:34">
      <c r="A394" s="372" t="s">
        <v>3282</v>
      </c>
      <c r="B394" s="373" t="s">
        <v>3283</v>
      </c>
      <c r="C394" s="372" t="s">
        <v>3284</v>
      </c>
      <c r="D394" s="374">
        <v>1301110026814</v>
      </c>
      <c r="E394" s="372" t="s">
        <v>3285</v>
      </c>
      <c r="F394" s="375" t="s">
        <v>3286</v>
      </c>
      <c r="G394" s="375" t="s">
        <v>3286</v>
      </c>
      <c r="H394" s="375">
        <v>0</v>
      </c>
      <c r="I394" s="375" t="s">
        <v>859</v>
      </c>
      <c r="J394" s="375">
        <v>306076.42381000001</v>
      </c>
      <c r="K394" s="375">
        <v>3556.0351000000001</v>
      </c>
      <c r="L394" s="375">
        <v>-33461.263859999999</v>
      </c>
      <c r="M394" s="375">
        <v>636231.38174999994</v>
      </c>
      <c r="N394" s="372">
        <v>0.67400000000000004</v>
      </c>
      <c r="O394" s="704">
        <v>145.81289180257627</v>
      </c>
      <c r="P394" s="375" t="s">
        <v>619</v>
      </c>
      <c r="Q394" s="372" t="s">
        <v>619</v>
      </c>
      <c r="R394" s="696">
        <v>19950831</v>
      </c>
      <c r="S394" s="372" t="s">
        <v>3287</v>
      </c>
      <c r="T394" s="697" t="s">
        <v>768</v>
      </c>
      <c r="U394" s="372" t="s">
        <v>3288</v>
      </c>
      <c r="V394" s="722">
        <v>24.27</v>
      </c>
      <c r="W394" s="722">
        <v>0.74</v>
      </c>
      <c r="X394" s="722">
        <v>1.5</v>
      </c>
      <c r="Y394" s="722" t="s">
        <v>770</v>
      </c>
      <c r="Z394" s="382" t="s">
        <v>924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3289</v>
      </c>
      <c r="B395" s="373" t="s">
        <v>3290</v>
      </c>
      <c r="C395" s="372" t="s">
        <v>3291</v>
      </c>
      <c r="D395" s="374">
        <v>1101110863484</v>
      </c>
      <c r="E395" s="372" t="s">
        <v>3292</v>
      </c>
      <c r="F395" s="375" t="s">
        <v>3293</v>
      </c>
      <c r="G395" s="375" t="s">
        <v>3293</v>
      </c>
      <c r="H395" s="375" t="s">
        <v>3096</v>
      </c>
      <c r="I395" s="375" t="s">
        <v>859</v>
      </c>
      <c r="J395" s="375">
        <v>10618785.577369999</v>
      </c>
      <c r="K395" s="375">
        <v>750603.03830000001</v>
      </c>
      <c r="L395" s="375">
        <v>713178.42041000002</v>
      </c>
      <c r="M395" s="375">
        <v>6339988.0796299996</v>
      </c>
      <c r="N395" s="372">
        <v>1.379</v>
      </c>
      <c r="O395" s="704">
        <v>168.47676899746057</v>
      </c>
      <c r="P395" s="375" t="s">
        <v>619</v>
      </c>
      <c r="Q395" s="372" t="s">
        <v>619</v>
      </c>
      <c r="R395" s="696">
        <v>19991218</v>
      </c>
      <c r="S395" s="372" t="s">
        <v>3294</v>
      </c>
      <c r="T395" s="697">
        <v>0.26400000000000001</v>
      </c>
      <c r="U395" s="372" t="s">
        <v>3295</v>
      </c>
      <c r="V395" s="722">
        <v>6.75</v>
      </c>
      <c r="W395" s="722">
        <v>0.34</v>
      </c>
      <c r="X395" s="722">
        <v>0.04</v>
      </c>
      <c r="Y395" s="722">
        <v>6.06</v>
      </c>
      <c r="Z395" s="382" t="s">
        <v>924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3296</v>
      </c>
      <c r="B396" s="373" t="s">
        <v>3297</v>
      </c>
      <c r="C396" s="372" t="s">
        <v>3298</v>
      </c>
      <c r="D396" s="374">
        <v>1101111538391</v>
      </c>
      <c r="E396" s="372" t="s">
        <v>3299</v>
      </c>
      <c r="F396" s="375" t="s">
        <v>1113</v>
      </c>
      <c r="G396" s="375" t="s">
        <v>3300</v>
      </c>
      <c r="H396" s="375" t="s">
        <v>1334</v>
      </c>
      <c r="I396" s="375" t="s">
        <v>859</v>
      </c>
      <c r="J396" s="375">
        <v>137706.04936</v>
      </c>
      <c r="K396" s="375">
        <v>-1333.59854</v>
      </c>
      <c r="L396" s="375">
        <v>4808.1535000000003</v>
      </c>
      <c r="M396" s="375">
        <v>119480.83715000001</v>
      </c>
      <c r="N396" s="372">
        <v>1.337</v>
      </c>
      <c r="O396" s="704">
        <v>2.6205804526199765</v>
      </c>
      <c r="P396" s="375" t="s">
        <v>619</v>
      </c>
      <c r="Q396" s="375" t="s">
        <v>619</v>
      </c>
      <c r="R396" s="696">
        <v>20151221</v>
      </c>
      <c r="S396" s="375" t="s">
        <v>3301</v>
      </c>
      <c r="T396" s="697">
        <v>0.20900000000000002</v>
      </c>
      <c r="U396" s="372" t="s">
        <v>3302</v>
      </c>
      <c r="V396" s="722">
        <v>0</v>
      </c>
      <c r="W396" s="722">
        <v>0</v>
      </c>
      <c r="X396" s="722">
        <v>0</v>
      </c>
      <c r="Y396" s="722">
        <v>0</v>
      </c>
      <c r="Z396" s="382" t="s">
        <v>924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3303</v>
      </c>
      <c r="B397" s="373" t="s">
        <v>3304</v>
      </c>
      <c r="C397" s="372" t="s">
        <v>3305</v>
      </c>
      <c r="D397" s="374">
        <v>1311110288992</v>
      </c>
      <c r="E397" s="372" t="s">
        <v>3306</v>
      </c>
      <c r="F397" s="375" t="s">
        <v>1246</v>
      </c>
      <c r="G397" s="375" t="s">
        <v>1246</v>
      </c>
      <c r="H397" s="375" t="s">
        <v>858</v>
      </c>
      <c r="I397" s="375" t="s">
        <v>859</v>
      </c>
      <c r="J397" s="375">
        <v>70030.988329999993</v>
      </c>
      <c r="K397" s="375">
        <v>2425.1089099999999</v>
      </c>
      <c r="L397" s="375">
        <v>-5783.3906500000003</v>
      </c>
      <c r="M397" s="375">
        <v>153734.73514999999</v>
      </c>
      <c r="N397" s="372">
        <v>0.92300000000000004</v>
      </c>
      <c r="O397" s="704">
        <v>20.411763633645386</v>
      </c>
      <c r="P397" s="375" t="s">
        <v>619</v>
      </c>
      <c r="Q397" s="372" t="s">
        <v>619</v>
      </c>
      <c r="R397" s="696">
        <v>20181101</v>
      </c>
      <c r="S397" s="372" t="s">
        <v>3307</v>
      </c>
      <c r="T397" s="697" t="s">
        <v>768</v>
      </c>
      <c r="U397" s="372" t="s">
        <v>3308</v>
      </c>
      <c r="V397" s="722">
        <v>57.72</v>
      </c>
      <c r="W397" s="722">
        <v>3.16</v>
      </c>
      <c r="X397" s="722">
        <v>6.66</v>
      </c>
      <c r="Y397" s="722" t="s">
        <v>770</v>
      </c>
      <c r="Z397" s="382" t="s">
        <v>924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3309</v>
      </c>
      <c r="B398" s="373" t="s">
        <v>3310</v>
      </c>
      <c r="C398" s="372" t="s">
        <v>3311</v>
      </c>
      <c r="D398" s="374">
        <v>1101116033833</v>
      </c>
      <c r="E398" s="372" t="s">
        <v>3312</v>
      </c>
      <c r="F398" s="375" t="s">
        <v>3313</v>
      </c>
      <c r="G398" s="375" t="s">
        <v>3313</v>
      </c>
      <c r="H398" s="375" t="s">
        <v>1528</v>
      </c>
      <c r="I398" s="375" t="s">
        <v>859</v>
      </c>
      <c r="J398" s="375">
        <v>72937.746069999994</v>
      </c>
      <c r="K398" s="375">
        <v>-17088.977770000001</v>
      </c>
      <c r="L398" s="375">
        <v>24440.250329999999</v>
      </c>
      <c r="M398" s="375">
        <v>219289.81753999999</v>
      </c>
      <c r="N398" s="372">
        <v>1.1819999999999999</v>
      </c>
      <c r="O398" s="704">
        <v>15.917512706938986</v>
      </c>
      <c r="P398" s="375" t="s">
        <v>619</v>
      </c>
      <c r="Q398" s="375" t="s">
        <v>619</v>
      </c>
      <c r="R398" s="696">
        <v>20181220</v>
      </c>
      <c r="S398" s="375" t="s">
        <v>3314</v>
      </c>
      <c r="T398" s="697">
        <v>0.23100000000000001</v>
      </c>
      <c r="U398" s="375" t="s">
        <v>3315</v>
      </c>
      <c r="V398" s="722" t="s">
        <v>770</v>
      </c>
      <c r="W398" s="722">
        <v>1.1299999999999999</v>
      </c>
      <c r="X398" s="722">
        <v>3.35</v>
      </c>
      <c r="Y398" s="722" t="s">
        <v>770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3316</v>
      </c>
      <c r="B399" s="373" t="s">
        <v>3317</v>
      </c>
      <c r="C399" s="372" t="s">
        <v>3318</v>
      </c>
      <c r="D399" s="374">
        <v>2201110087049</v>
      </c>
      <c r="E399" s="372" t="s">
        <v>3319</v>
      </c>
      <c r="F399" s="372" t="s">
        <v>3320</v>
      </c>
      <c r="G399" s="375" t="s">
        <v>3320</v>
      </c>
      <c r="H399" s="375" t="s">
        <v>814</v>
      </c>
      <c r="I399" s="375" t="s">
        <v>751</v>
      </c>
      <c r="J399" s="375">
        <v>405515.64130000002</v>
      </c>
      <c r="K399" s="375">
        <v>-15510.86879</v>
      </c>
      <c r="L399" s="375">
        <v>-42663.479429999999</v>
      </c>
      <c r="M399" s="375">
        <v>187696.31518999999</v>
      </c>
      <c r="N399" s="372">
        <v>0.55800000000000005</v>
      </c>
      <c r="O399" s="704">
        <v>66.969656270135005</v>
      </c>
      <c r="P399" s="375" t="s">
        <v>619</v>
      </c>
      <c r="Q399" s="375" t="s">
        <v>619</v>
      </c>
      <c r="R399" s="696">
        <v>20220822</v>
      </c>
      <c r="S399" s="375" t="s">
        <v>3321</v>
      </c>
      <c r="T399" s="697" t="s">
        <v>768</v>
      </c>
      <c r="U399" s="375" t="s">
        <v>3322</v>
      </c>
      <c r="V399" s="722">
        <v>11.96</v>
      </c>
      <c r="W399" s="722">
        <v>3.13</v>
      </c>
      <c r="X399" s="722">
        <v>1.45</v>
      </c>
      <c r="Y399" s="722" t="s">
        <v>770</v>
      </c>
      <c r="Z399" s="382">
        <v>0.10025799395162149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4235.2</v>
      </c>
      <c r="AF399" s="372">
        <v>5234.3999999999996</v>
      </c>
      <c r="AG399" s="372">
        <v>5839.5</v>
      </c>
      <c r="AH399" s="372">
        <v>0</v>
      </c>
    </row>
    <row r="400" spans="1:34">
      <c r="A400" s="372" t="s">
        <v>3323</v>
      </c>
      <c r="B400" s="373" t="s">
        <v>3324</v>
      </c>
      <c r="C400" s="372" t="s">
        <v>3325</v>
      </c>
      <c r="D400" s="374">
        <v>1601110067234</v>
      </c>
      <c r="E400" s="372" t="s">
        <v>3326</v>
      </c>
      <c r="F400" s="375" t="s">
        <v>16098</v>
      </c>
      <c r="G400" s="375" t="s">
        <v>16098</v>
      </c>
      <c r="H400" s="375" t="s">
        <v>858</v>
      </c>
      <c r="I400" s="375" t="s">
        <v>859</v>
      </c>
      <c r="J400" s="375">
        <v>2407.1931500000001</v>
      </c>
      <c r="K400" s="375">
        <v>-16074.137940000001</v>
      </c>
      <c r="L400" s="375">
        <v>-19953.84533</v>
      </c>
      <c r="M400" s="375">
        <v>20712.37456</v>
      </c>
      <c r="N400" s="372">
        <v>1.22</v>
      </c>
      <c r="O400" s="704">
        <v>0.70463849735602546</v>
      </c>
      <c r="P400" s="375" t="s">
        <v>619</v>
      </c>
      <c r="Q400" s="372" t="s">
        <v>619</v>
      </c>
      <c r="R400" s="696">
        <v>20150722</v>
      </c>
      <c r="S400" s="372" t="s">
        <v>3327</v>
      </c>
      <c r="T400" s="697" t="s">
        <v>768</v>
      </c>
      <c r="U400" s="372" t="s">
        <v>3328</v>
      </c>
      <c r="V400" s="722">
        <v>0</v>
      </c>
      <c r="W400" s="722">
        <v>0</v>
      </c>
      <c r="X400" s="722">
        <v>0</v>
      </c>
      <c r="Y400" s="722">
        <v>0</v>
      </c>
      <c r="Z400" s="382" t="s">
        <v>924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3329</v>
      </c>
      <c r="B401" s="373" t="s">
        <v>3330</v>
      </c>
      <c r="C401" s="372" t="s">
        <v>3331</v>
      </c>
      <c r="D401" s="374">
        <v>0</v>
      </c>
      <c r="E401" s="372" t="s">
        <v>3332</v>
      </c>
      <c r="F401" s="372" t="s">
        <v>3333</v>
      </c>
      <c r="G401" s="375" t="s">
        <v>3333</v>
      </c>
      <c r="H401" s="375">
        <v>0</v>
      </c>
      <c r="I401" s="375" t="s">
        <v>751</v>
      </c>
      <c r="J401" s="375">
        <v>251511.00200000001</v>
      </c>
      <c r="K401" s="375">
        <v>1324.877</v>
      </c>
      <c r="L401" s="375">
        <v>-17414.579000000002</v>
      </c>
      <c r="M401" s="375">
        <v>420302.77</v>
      </c>
      <c r="N401" s="372">
        <v>0.497</v>
      </c>
      <c r="O401" s="704">
        <v>53.446176565803249</v>
      </c>
      <c r="P401" s="375" t="s">
        <v>619</v>
      </c>
      <c r="Q401" s="375" t="s">
        <v>619</v>
      </c>
      <c r="R401" s="696">
        <v>20101130</v>
      </c>
      <c r="S401" s="375" t="s">
        <v>851</v>
      </c>
      <c r="T401" s="697" t="s">
        <v>768</v>
      </c>
      <c r="U401" s="372" t="s">
        <v>3334</v>
      </c>
      <c r="V401" s="722">
        <v>27.34</v>
      </c>
      <c r="W401" s="722">
        <v>0.98</v>
      </c>
      <c r="X401" s="722">
        <v>1.62</v>
      </c>
      <c r="Y401" s="722" t="s">
        <v>770</v>
      </c>
      <c r="Z401" s="382" t="s">
        <v>924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3335</v>
      </c>
      <c r="B402" s="373" t="s">
        <v>3336</v>
      </c>
      <c r="C402" s="372" t="s">
        <v>3337</v>
      </c>
      <c r="D402" s="374">
        <v>1348110159279</v>
      </c>
      <c r="E402" s="372" t="s">
        <v>3338</v>
      </c>
      <c r="F402" s="375" t="s">
        <v>1817</v>
      </c>
      <c r="G402" s="375" t="s">
        <v>1817</v>
      </c>
      <c r="H402" s="375" t="s">
        <v>750</v>
      </c>
      <c r="I402" s="375" t="s">
        <v>751</v>
      </c>
      <c r="J402" s="375">
        <v>1462923.53003</v>
      </c>
      <c r="K402" s="375">
        <v>72267.176980000004</v>
      </c>
      <c r="L402" s="375">
        <v>56102.493799999997</v>
      </c>
      <c r="M402" s="375">
        <v>493463.55307000002</v>
      </c>
      <c r="N402" s="372">
        <v>0.94699999999999995</v>
      </c>
      <c r="O402" s="704">
        <v>12.747477247566492</v>
      </c>
      <c r="P402" s="375" t="s">
        <v>619</v>
      </c>
      <c r="Q402" s="375" t="s">
        <v>619</v>
      </c>
      <c r="R402" s="696">
        <v>20080801</v>
      </c>
      <c r="S402" s="375">
        <v>0</v>
      </c>
      <c r="T402" s="697">
        <v>0.23100000000000001</v>
      </c>
      <c r="U402" s="375" t="s">
        <v>3339</v>
      </c>
      <c r="V402" s="722">
        <v>13.39</v>
      </c>
      <c r="W402" s="722">
        <v>2.15</v>
      </c>
      <c r="X402" s="722">
        <v>0.68</v>
      </c>
      <c r="Y402" s="722">
        <v>24.93</v>
      </c>
      <c r="Z402" s="382">
        <v>0.12386837302717613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15175</v>
      </c>
      <c r="AF402" s="372">
        <v>17512.25</v>
      </c>
      <c r="AG402" s="372">
        <v>19890</v>
      </c>
      <c r="AH402" s="372">
        <v>0</v>
      </c>
    </row>
    <row r="403" spans="1:34">
      <c r="A403" s="372" t="s">
        <v>3340</v>
      </c>
      <c r="B403" s="373" t="s">
        <v>3341</v>
      </c>
      <c r="C403" s="372" t="s">
        <v>3342</v>
      </c>
      <c r="D403" s="374">
        <v>1101116583490</v>
      </c>
      <c r="E403" s="372" t="s">
        <v>3343</v>
      </c>
      <c r="F403" s="375" t="s">
        <v>3344</v>
      </c>
      <c r="G403" s="375" t="s">
        <v>3344</v>
      </c>
      <c r="H403" s="375" t="s">
        <v>843</v>
      </c>
      <c r="I403" s="375" t="s">
        <v>751</v>
      </c>
      <c r="J403" s="375">
        <v>2268745.06978</v>
      </c>
      <c r="K403" s="375">
        <v>64751.404900000001</v>
      </c>
      <c r="L403" s="375">
        <v>53816.371700000003</v>
      </c>
      <c r="M403" s="375">
        <v>229760.44555999999</v>
      </c>
      <c r="N403" s="372">
        <v>0.98699999999999999</v>
      </c>
      <c r="O403" s="704">
        <v>36.14744088236754</v>
      </c>
      <c r="P403" s="375" t="s">
        <v>619</v>
      </c>
      <c r="Q403" s="375" t="s">
        <v>619</v>
      </c>
      <c r="R403" s="696">
        <v>20211013</v>
      </c>
      <c r="S403" s="375" t="s">
        <v>3345</v>
      </c>
      <c r="T403" s="697">
        <v>0.23100000000000001</v>
      </c>
      <c r="U403" s="375" t="s">
        <v>3346</v>
      </c>
      <c r="V403" s="722">
        <v>0</v>
      </c>
      <c r="W403" s="722">
        <v>0</v>
      </c>
      <c r="X403" s="722">
        <v>0</v>
      </c>
      <c r="Y403" s="722">
        <v>0</v>
      </c>
      <c r="Z403" s="382" t="s">
        <v>924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3347</v>
      </c>
      <c r="B404" s="373" t="s">
        <v>3348</v>
      </c>
      <c r="C404" s="372" t="s">
        <v>3349</v>
      </c>
      <c r="D404" s="374">
        <v>1101111999593</v>
      </c>
      <c r="E404" s="372" t="s">
        <v>3350</v>
      </c>
      <c r="F404" s="372" t="s">
        <v>16270</v>
      </c>
      <c r="G404" s="375" t="s">
        <v>16271</v>
      </c>
      <c r="H404" s="375" t="s">
        <v>1334</v>
      </c>
      <c r="I404" s="375" t="s">
        <v>859</v>
      </c>
      <c r="J404" s="375">
        <v>128235.36530999999</v>
      </c>
      <c r="K404" s="375">
        <v>23301.968290000001</v>
      </c>
      <c r="L404" s="375">
        <v>22294.114269999998</v>
      </c>
      <c r="M404" s="375">
        <v>222172.61543000001</v>
      </c>
      <c r="N404" s="372">
        <v>0.38200000000000001</v>
      </c>
      <c r="O404" s="704">
        <v>18.878925881153783</v>
      </c>
      <c r="P404" s="375" t="s">
        <v>619</v>
      </c>
      <c r="Q404" s="375" t="s">
        <v>619</v>
      </c>
      <c r="R404" s="696">
        <v>20110208</v>
      </c>
      <c r="S404" s="375" t="s">
        <v>3351</v>
      </c>
      <c r="T404" s="697">
        <v>0.23100000000000001</v>
      </c>
      <c r="U404" s="372" t="s">
        <v>3352</v>
      </c>
      <c r="V404" s="722">
        <v>10.53</v>
      </c>
      <c r="W404" s="722">
        <v>1.99</v>
      </c>
      <c r="X404" s="722">
        <v>2.87</v>
      </c>
      <c r="Y404" s="722">
        <v>20.39</v>
      </c>
      <c r="Z404" s="382">
        <v>0.11825664864415786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1327.5</v>
      </c>
      <c r="AF404" s="372">
        <v>1600.5</v>
      </c>
      <c r="AG404" s="372">
        <v>1918.5</v>
      </c>
      <c r="AH404" s="372">
        <v>0</v>
      </c>
    </row>
    <row r="405" spans="1:34">
      <c r="A405" s="372" t="s">
        <v>3353</v>
      </c>
      <c r="B405" s="373" t="s">
        <v>3354</v>
      </c>
      <c r="C405" s="372" t="s">
        <v>3355</v>
      </c>
      <c r="D405" s="374">
        <v>1801110550194</v>
      </c>
      <c r="E405" s="372" t="s">
        <v>3356</v>
      </c>
      <c r="F405" s="372" t="s">
        <v>1113</v>
      </c>
      <c r="G405" s="375" t="s">
        <v>1333</v>
      </c>
      <c r="H405" s="375" t="s">
        <v>1334</v>
      </c>
      <c r="I405" s="375" t="s">
        <v>859</v>
      </c>
      <c r="J405" s="375">
        <v>1229.70892</v>
      </c>
      <c r="K405" s="375">
        <v>-25451.98935</v>
      </c>
      <c r="L405" s="375">
        <v>-25769.344249999998</v>
      </c>
      <c r="M405" s="375">
        <v>138763.06289999999</v>
      </c>
      <c r="N405" s="372">
        <v>0.86699999999999999</v>
      </c>
      <c r="O405" s="704">
        <v>2.8881781599081591</v>
      </c>
      <c r="P405" s="375" t="s">
        <v>619</v>
      </c>
      <c r="Q405" s="372" t="s">
        <v>619</v>
      </c>
      <c r="R405" s="696">
        <v>20161206</v>
      </c>
      <c r="S405" s="375" t="s">
        <v>3357</v>
      </c>
      <c r="T405" s="697" t="s">
        <v>768</v>
      </c>
      <c r="U405" s="375" t="s">
        <v>3358</v>
      </c>
      <c r="V405" s="722" t="s">
        <v>770</v>
      </c>
      <c r="W405" s="722">
        <v>2.78</v>
      </c>
      <c r="X405" s="722">
        <v>264.58999999999997</v>
      </c>
      <c r="Y405" s="722" t="s">
        <v>770</v>
      </c>
      <c r="Z405" s="382" t="s">
        <v>924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3359</v>
      </c>
      <c r="B406" s="373" t="s">
        <v>3360</v>
      </c>
      <c r="C406" s="372" t="s">
        <v>3361</v>
      </c>
      <c r="D406" s="374">
        <v>1101112248882</v>
      </c>
      <c r="E406" s="372" t="s">
        <v>3362</v>
      </c>
      <c r="F406" s="375" t="s">
        <v>3363</v>
      </c>
      <c r="G406" s="375" t="s">
        <v>3364</v>
      </c>
      <c r="H406" s="375" t="s">
        <v>843</v>
      </c>
      <c r="I406" s="375" t="s">
        <v>751</v>
      </c>
      <c r="J406" s="375">
        <v>3390757.2549299998</v>
      </c>
      <c r="K406" s="375">
        <v>118421.89661</v>
      </c>
      <c r="L406" s="375">
        <v>205055.24689000001</v>
      </c>
      <c r="M406" s="375">
        <v>3856097.9247099999</v>
      </c>
      <c r="N406" s="372">
        <v>0.67900000000000005</v>
      </c>
      <c r="O406" s="704">
        <v>88.950814473947275</v>
      </c>
      <c r="P406" s="375" t="s">
        <v>619</v>
      </c>
      <c r="Q406" s="375" t="s">
        <v>619</v>
      </c>
      <c r="R406" s="696">
        <v>20100913</v>
      </c>
      <c r="S406" s="375" t="s">
        <v>3365</v>
      </c>
      <c r="T406" s="697">
        <v>0.23100000000000001</v>
      </c>
      <c r="U406" s="375" t="s">
        <v>3366</v>
      </c>
      <c r="V406" s="722">
        <v>8.8699999999999992</v>
      </c>
      <c r="W406" s="722">
        <v>0.25</v>
      </c>
      <c r="X406" s="722">
        <v>0.16</v>
      </c>
      <c r="Y406" s="722">
        <v>3.71</v>
      </c>
      <c r="Z406" s="382">
        <v>0.18426220598462106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38608.65</v>
      </c>
      <c r="AF406" s="372">
        <v>39268.480000000003</v>
      </c>
      <c r="AG406" s="372">
        <v>40606.67</v>
      </c>
      <c r="AH406" s="372">
        <v>0</v>
      </c>
    </row>
    <row r="407" spans="1:34">
      <c r="A407" s="372" t="s">
        <v>3367</v>
      </c>
      <c r="B407" s="373" t="s">
        <v>3368</v>
      </c>
      <c r="C407" s="372" t="s">
        <v>3369</v>
      </c>
      <c r="D407" s="374">
        <v>1101117875359</v>
      </c>
      <c r="E407" s="372" t="s">
        <v>3370</v>
      </c>
      <c r="F407" s="375" t="s">
        <v>890</v>
      </c>
      <c r="G407" s="375" t="s">
        <v>891</v>
      </c>
      <c r="H407" s="375" t="s">
        <v>852</v>
      </c>
      <c r="I407" s="375" t="s">
        <v>751</v>
      </c>
      <c r="J407" s="375">
        <v>190264</v>
      </c>
      <c r="K407" s="375">
        <v>153039</v>
      </c>
      <c r="L407" s="375">
        <v>163273</v>
      </c>
      <c r="M407" s="375">
        <v>1826080</v>
      </c>
      <c r="N407" s="372">
        <v>0.70599999999999996</v>
      </c>
      <c r="O407" s="704">
        <v>0.13503692191118458</v>
      </c>
      <c r="P407" s="375" t="s">
        <v>619</v>
      </c>
      <c r="Q407" s="375" t="s">
        <v>619</v>
      </c>
      <c r="R407" s="696">
        <v>20210527</v>
      </c>
      <c r="S407" s="375" t="s">
        <v>851</v>
      </c>
      <c r="T407" s="697">
        <v>0.23100000000000001</v>
      </c>
      <c r="U407" s="372" t="s">
        <v>3371</v>
      </c>
      <c r="V407" s="722">
        <v>3.56</v>
      </c>
      <c r="W407" s="722">
        <v>0.3</v>
      </c>
      <c r="X407" s="722">
        <v>2.92</v>
      </c>
      <c r="Y407" s="722">
        <v>3.51</v>
      </c>
      <c r="Z407" s="382">
        <v>0.20253314502494879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2200</v>
      </c>
      <c r="AF407" s="372">
        <v>2313.33</v>
      </c>
      <c r="AG407" s="372">
        <v>2470</v>
      </c>
      <c r="AH407" s="372">
        <v>0</v>
      </c>
    </row>
    <row r="408" spans="1:34">
      <c r="A408" s="372" t="s">
        <v>3372</v>
      </c>
      <c r="B408" s="373" t="s">
        <v>3373</v>
      </c>
      <c r="C408" s="372" t="s">
        <v>3374</v>
      </c>
      <c r="D408" s="374">
        <v>1101111698145</v>
      </c>
      <c r="E408" s="372" t="s">
        <v>3375</v>
      </c>
      <c r="F408" s="375" t="s">
        <v>2515</v>
      </c>
      <c r="G408" s="375" t="s">
        <v>2515</v>
      </c>
      <c r="H408" s="375" t="s">
        <v>1334</v>
      </c>
      <c r="I408" s="375" t="s">
        <v>859</v>
      </c>
      <c r="J408" s="375">
        <v>293653.86930999998</v>
      </c>
      <c r="K408" s="375">
        <v>19755.9421</v>
      </c>
      <c r="L408" s="375">
        <v>7181.7205400000003</v>
      </c>
      <c r="M408" s="375">
        <v>200112.47211999999</v>
      </c>
      <c r="N408" s="372">
        <v>1.095</v>
      </c>
      <c r="O408" s="704">
        <v>6.1748897349326803</v>
      </c>
      <c r="P408" s="375" t="s">
        <v>619</v>
      </c>
      <c r="Q408" s="375" t="s">
        <v>619</v>
      </c>
      <c r="R408" s="696">
        <v>20180208</v>
      </c>
      <c r="S408" s="375" t="s">
        <v>3376</v>
      </c>
      <c r="T408" s="697">
        <v>0.20900000000000002</v>
      </c>
      <c r="U408" s="375" t="s">
        <v>3377</v>
      </c>
      <c r="V408" s="722">
        <v>14.48</v>
      </c>
      <c r="W408" s="722">
        <v>3.68</v>
      </c>
      <c r="X408" s="722">
        <v>2.4500000000000002</v>
      </c>
      <c r="Y408" s="722">
        <v>77.150000000000006</v>
      </c>
      <c r="Z408" s="382">
        <v>7.6058674914215807E-2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2970</v>
      </c>
      <c r="AF408" s="372">
        <v>3280.5</v>
      </c>
      <c r="AG408" s="372">
        <v>3728.75</v>
      </c>
      <c r="AH408" s="372">
        <v>4150</v>
      </c>
    </row>
    <row r="409" spans="1:34">
      <c r="A409" s="372" t="s">
        <v>3378</v>
      </c>
      <c r="B409" s="373" t="s">
        <v>3379</v>
      </c>
      <c r="C409" s="372" t="s">
        <v>3380</v>
      </c>
      <c r="D409" s="374">
        <v>1601110058887</v>
      </c>
      <c r="E409" s="372" t="s">
        <v>3381</v>
      </c>
      <c r="F409" s="375" t="s">
        <v>1390</v>
      </c>
      <c r="G409" s="375" t="s">
        <v>1390</v>
      </c>
      <c r="H409" s="375" t="s">
        <v>892</v>
      </c>
      <c r="I409" s="375" t="s">
        <v>859</v>
      </c>
      <c r="J409" s="375">
        <v>0</v>
      </c>
      <c r="K409" s="375">
        <v>0</v>
      </c>
      <c r="L409" s="375">
        <v>0</v>
      </c>
      <c r="M409" s="375">
        <v>0</v>
      </c>
      <c r="N409" s="372">
        <v>0.97899999999999998</v>
      </c>
      <c r="O409" s="704" t="s">
        <v>16298</v>
      </c>
      <c r="P409" s="375" t="s">
        <v>619</v>
      </c>
      <c r="Q409" s="372" t="s">
        <v>619</v>
      </c>
      <c r="R409" s="696">
        <v>20000607</v>
      </c>
      <c r="S409" s="375" t="s">
        <v>3382</v>
      </c>
      <c r="T409" s="697" t="s">
        <v>768</v>
      </c>
      <c r="U409" s="372" t="s">
        <v>3383</v>
      </c>
      <c r="V409" s="722">
        <v>0</v>
      </c>
      <c r="W409" s="722">
        <v>0</v>
      </c>
      <c r="X409" s="722">
        <v>0</v>
      </c>
      <c r="Y409" s="722">
        <v>0</v>
      </c>
      <c r="Z409" s="382" t="s">
        <v>924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3384</v>
      </c>
      <c r="B410" s="373" t="s">
        <v>3385</v>
      </c>
      <c r="C410" s="372" t="s">
        <v>3386</v>
      </c>
      <c r="D410" s="374">
        <v>1101111421273</v>
      </c>
      <c r="E410" s="372" t="s">
        <v>3387</v>
      </c>
      <c r="F410" s="375" t="s">
        <v>1093</v>
      </c>
      <c r="G410" s="375" t="s">
        <v>1094</v>
      </c>
      <c r="H410" s="375" t="s">
        <v>858</v>
      </c>
      <c r="I410" s="375" t="s">
        <v>859</v>
      </c>
      <c r="J410" s="375">
        <v>362811.00047999999</v>
      </c>
      <c r="K410" s="375">
        <v>36080.579669999999</v>
      </c>
      <c r="L410" s="375">
        <v>38216.733249999997</v>
      </c>
      <c r="M410" s="375">
        <v>232214.51469000001</v>
      </c>
      <c r="N410" s="372">
        <v>0.36499999999999999</v>
      </c>
      <c r="O410" s="704">
        <v>0.73928009235405012</v>
      </c>
      <c r="P410" s="375" t="s">
        <v>619</v>
      </c>
      <c r="Q410" s="375" t="s">
        <v>619</v>
      </c>
      <c r="R410" s="696">
        <v>20161109</v>
      </c>
      <c r="S410" s="375" t="s">
        <v>3388</v>
      </c>
      <c r="T410" s="697">
        <v>0.23100000000000001</v>
      </c>
      <c r="U410" s="375" t="s">
        <v>3389</v>
      </c>
      <c r="V410" s="722">
        <v>14.49</v>
      </c>
      <c r="W410" s="722">
        <v>2.2999999999999998</v>
      </c>
      <c r="X410" s="722">
        <v>1.55</v>
      </c>
      <c r="Y410" s="722">
        <v>17.43</v>
      </c>
      <c r="Z410" s="382">
        <v>8.9755827395960441E-2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3761.29</v>
      </c>
      <c r="AF410" s="372">
        <v>4220.71</v>
      </c>
      <c r="AG410" s="372">
        <v>4662.29</v>
      </c>
      <c r="AH410" s="372">
        <v>0</v>
      </c>
    </row>
    <row r="411" spans="1:34">
      <c r="A411" s="372" t="s">
        <v>3390</v>
      </c>
      <c r="B411" s="373" t="s">
        <v>3391</v>
      </c>
      <c r="C411" s="372" t="s">
        <v>3392</v>
      </c>
      <c r="D411" s="374">
        <v>1601110069636</v>
      </c>
      <c r="E411" s="372" t="s">
        <v>3393</v>
      </c>
      <c r="F411" s="375" t="s">
        <v>1182</v>
      </c>
      <c r="G411" s="375" t="s">
        <v>1183</v>
      </c>
      <c r="H411" s="375" t="s">
        <v>858</v>
      </c>
      <c r="I411" s="375" t="s">
        <v>859</v>
      </c>
      <c r="J411" s="375">
        <v>62731.442150000003</v>
      </c>
      <c r="K411" s="375">
        <v>-38951.449180000003</v>
      </c>
      <c r="L411" s="375">
        <v>-53487.546490000001</v>
      </c>
      <c r="M411" s="375">
        <v>74961.708159999995</v>
      </c>
      <c r="N411" s="372">
        <v>0.86099999999999999</v>
      </c>
      <c r="O411" s="704">
        <v>8.3392046572127558</v>
      </c>
      <c r="P411" s="375" t="s">
        <v>619</v>
      </c>
      <c r="Q411" s="375" t="s">
        <v>619</v>
      </c>
      <c r="R411" s="696">
        <v>20050624</v>
      </c>
      <c r="S411" s="375" t="s">
        <v>3394</v>
      </c>
      <c r="T411" s="697" t="s">
        <v>768</v>
      </c>
      <c r="U411" s="375" t="s">
        <v>3395</v>
      </c>
      <c r="V411" s="722" t="s">
        <v>770</v>
      </c>
      <c r="W411" s="722">
        <v>9.9499999999999993</v>
      </c>
      <c r="X411" s="722">
        <v>12.6</v>
      </c>
      <c r="Y411" s="722" t="s">
        <v>770</v>
      </c>
      <c r="Z411" s="382" t="s">
        <v>924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3396</v>
      </c>
      <c r="B412" s="373" t="s">
        <v>3397</v>
      </c>
      <c r="C412" s="372" t="s">
        <v>3398</v>
      </c>
      <c r="D412" s="374">
        <v>1350110049607</v>
      </c>
      <c r="E412" s="372" t="s">
        <v>3399</v>
      </c>
      <c r="F412" s="375" t="s">
        <v>2072</v>
      </c>
      <c r="G412" s="375" t="s">
        <v>3400</v>
      </c>
      <c r="H412" s="375" t="s">
        <v>858</v>
      </c>
      <c r="I412" s="375" t="s">
        <v>859</v>
      </c>
      <c r="J412" s="375">
        <v>304522.78565999999</v>
      </c>
      <c r="K412" s="375">
        <v>25621.4755</v>
      </c>
      <c r="L412" s="375">
        <v>36304.036139999997</v>
      </c>
      <c r="M412" s="375">
        <v>272476.22506999999</v>
      </c>
      <c r="N412" s="372">
        <v>0.65200000000000002</v>
      </c>
      <c r="O412" s="704">
        <v>65.471857189442915</v>
      </c>
      <c r="P412" s="375" t="s">
        <v>619</v>
      </c>
      <c r="Q412" s="375" t="s">
        <v>619</v>
      </c>
      <c r="R412" s="696">
        <v>20100914</v>
      </c>
      <c r="S412" s="375" t="s">
        <v>3401</v>
      </c>
      <c r="T412" s="697">
        <v>0.23100000000000001</v>
      </c>
      <c r="U412" s="375" t="s">
        <v>3402</v>
      </c>
      <c r="V412" s="722">
        <v>13.94</v>
      </c>
      <c r="W412" s="722">
        <v>1.52</v>
      </c>
      <c r="X412" s="722">
        <v>1.29</v>
      </c>
      <c r="Y412" s="722">
        <v>14.38</v>
      </c>
      <c r="Z412" s="382" t="s">
        <v>924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3403</v>
      </c>
      <c r="B413" s="373" t="s">
        <v>3404</v>
      </c>
      <c r="C413" s="372" t="s">
        <v>3405</v>
      </c>
      <c r="D413" s="374">
        <v>1801110001220</v>
      </c>
      <c r="E413" s="372" t="s">
        <v>3406</v>
      </c>
      <c r="F413" s="375" t="s">
        <v>808</v>
      </c>
      <c r="G413" s="375" t="s">
        <v>808</v>
      </c>
      <c r="H413" s="375" t="s">
        <v>809</v>
      </c>
      <c r="I413" s="375" t="s">
        <v>751</v>
      </c>
      <c r="J413" s="375">
        <v>1753202.4600500001</v>
      </c>
      <c r="K413" s="375">
        <v>39995.957240000003</v>
      </c>
      <c r="L413" s="375">
        <v>34800.575440000001</v>
      </c>
      <c r="M413" s="375">
        <v>1859888.42955</v>
      </c>
      <c r="N413" s="372">
        <v>0.73699999999999999</v>
      </c>
      <c r="O413" s="704">
        <v>48.116503190030699</v>
      </c>
      <c r="P413" s="375" t="s">
        <v>619</v>
      </c>
      <c r="Q413" s="372" t="s">
        <v>619</v>
      </c>
      <c r="R413" s="696">
        <v>19760525</v>
      </c>
      <c r="S413" s="372" t="s">
        <v>3407</v>
      </c>
      <c r="T413" s="697">
        <v>0.23100000000000001</v>
      </c>
      <c r="U413" s="375" t="s">
        <v>3408</v>
      </c>
      <c r="V413" s="722">
        <v>5.0999999999999996</v>
      </c>
      <c r="W413" s="722">
        <v>0.28000000000000003</v>
      </c>
      <c r="X413" s="722">
        <v>0.28000000000000003</v>
      </c>
      <c r="Y413" s="722">
        <v>14.43</v>
      </c>
      <c r="Z413" s="382" t="s">
        <v>924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3409</v>
      </c>
      <c r="B414" s="373" t="s">
        <v>3410</v>
      </c>
      <c r="C414" s="372" t="s">
        <v>3411</v>
      </c>
      <c r="D414" s="374">
        <v>1358110290105</v>
      </c>
      <c r="E414" s="372" t="s">
        <v>3412</v>
      </c>
      <c r="F414" s="375" t="s">
        <v>1653</v>
      </c>
      <c r="G414" s="375" t="s">
        <v>2364</v>
      </c>
      <c r="H414" s="375" t="s">
        <v>858</v>
      </c>
      <c r="I414" s="375" t="s">
        <v>859</v>
      </c>
      <c r="J414" s="375">
        <v>71767.188510000007</v>
      </c>
      <c r="K414" s="375">
        <v>-5773.8452699999998</v>
      </c>
      <c r="L414" s="375">
        <v>-6204.5630899999996</v>
      </c>
      <c r="M414" s="375">
        <v>92396.231580000007</v>
      </c>
      <c r="N414" s="372" t="s">
        <v>1023</v>
      </c>
      <c r="O414" s="704">
        <v>5.6217816847573845</v>
      </c>
      <c r="P414" s="375" t="s">
        <v>619</v>
      </c>
      <c r="Q414" s="372" t="s">
        <v>619</v>
      </c>
      <c r="R414" s="696">
        <v>20231113</v>
      </c>
      <c r="S414" s="372" t="s">
        <v>3413</v>
      </c>
      <c r="T414" s="697" t="s">
        <v>768</v>
      </c>
      <c r="U414" s="372" t="s">
        <v>3414</v>
      </c>
      <c r="V414" s="722" t="s">
        <v>770</v>
      </c>
      <c r="W414" s="722">
        <v>3.24</v>
      </c>
      <c r="X414" s="722">
        <v>4.0199999999999996</v>
      </c>
      <c r="Y414" s="722" t="s">
        <v>770</v>
      </c>
      <c r="Z414" s="382">
        <v>0.22410709834602849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910.5</v>
      </c>
      <c r="AF414" s="372">
        <v>1322.5</v>
      </c>
      <c r="AG414" s="372">
        <v>1665</v>
      </c>
      <c r="AH414" s="372">
        <v>0</v>
      </c>
    </row>
    <row r="415" spans="1:34">
      <c r="A415" s="372" t="s">
        <v>3415</v>
      </c>
      <c r="B415" s="373" t="s">
        <v>3416</v>
      </c>
      <c r="C415" s="372" t="s">
        <v>3417</v>
      </c>
      <c r="D415" s="374">
        <v>1152110000287</v>
      </c>
      <c r="E415" s="372" t="s">
        <v>3418</v>
      </c>
      <c r="F415" s="375" t="s">
        <v>16108</v>
      </c>
      <c r="G415" s="375" t="s">
        <v>16108</v>
      </c>
      <c r="H415" s="375" t="s">
        <v>1313</v>
      </c>
      <c r="I415" s="375" t="s">
        <v>751</v>
      </c>
      <c r="J415" s="375">
        <v>1449959.1657700001</v>
      </c>
      <c r="K415" s="375">
        <v>118474.27737</v>
      </c>
      <c r="L415" s="375">
        <v>118080.10576000001</v>
      </c>
      <c r="M415" s="375">
        <v>724015.49496000004</v>
      </c>
      <c r="N415" s="372">
        <v>0.433</v>
      </c>
      <c r="O415" s="704">
        <v>17.754408009867056</v>
      </c>
      <c r="P415" s="375" t="s">
        <v>619</v>
      </c>
      <c r="Q415" s="375" t="s">
        <v>619</v>
      </c>
      <c r="R415" s="696">
        <v>19780831</v>
      </c>
      <c r="S415" s="375" t="s">
        <v>3419</v>
      </c>
      <c r="T415" s="697">
        <v>0.23100000000000001</v>
      </c>
      <c r="U415" s="375" t="s">
        <v>3420</v>
      </c>
      <c r="V415" s="722">
        <v>3.5</v>
      </c>
      <c r="W415" s="722">
        <v>0.85</v>
      </c>
      <c r="X415" s="722">
        <v>0.44</v>
      </c>
      <c r="Y415" s="722">
        <v>6.97</v>
      </c>
      <c r="Z415" s="382">
        <v>3.4010467259889543E-2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14578.4</v>
      </c>
      <c r="AF415" s="372">
        <v>15271.4</v>
      </c>
      <c r="AG415" s="372">
        <v>15939</v>
      </c>
      <c r="AH415" s="372">
        <v>0</v>
      </c>
    </row>
    <row r="416" spans="1:34">
      <c r="A416" s="372" t="s">
        <v>3421</v>
      </c>
      <c r="B416" s="373" t="s">
        <v>3422</v>
      </c>
      <c r="C416" s="372" t="s">
        <v>3423</v>
      </c>
      <c r="D416" s="374">
        <v>1101110275069</v>
      </c>
      <c r="E416" s="372" t="s">
        <v>3424</v>
      </c>
      <c r="F416" s="375" t="s">
        <v>1595</v>
      </c>
      <c r="G416" s="375" t="s">
        <v>1596</v>
      </c>
      <c r="H416" s="375" t="s">
        <v>823</v>
      </c>
      <c r="I416" s="375" t="s">
        <v>751</v>
      </c>
      <c r="J416" s="375">
        <v>1083449.90594</v>
      </c>
      <c r="K416" s="375">
        <v>104398.64505000001</v>
      </c>
      <c r="L416" s="375">
        <v>98338.122600000002</v>
      </c>
      <c r="M416" s="375">
        <v>979090.75477999996</v>
      </c>
      <c r="N416" s="372">
        <v>0.99299999999999999</v>
      </c>
      <c r="O416" s="704">
        <v>48.605655608185685</v>
      </c>
      <c r="P416" s="375" t="s">
        <v>619</v>
      </c>
      <c r="Q416" s="372" t="s">
        <v>619</v>
      </c>
      <c r="R416" s="696">
        <v>20041203</v>
      </c>
      <c r="S416" s="372" t="s">
        <v>3425</v>
      </c>
      <c r="T416" s="697">
        <v>0.23100000000000001</v>
      </c>
      <c r="U416" s="372" t="s">
        <v>3426</v>
      </c>
      <c r="V416" s="722">
        <v>4.0199999999999996</v>
      </c>
      <c r="W416" s="722">
        <v>0.54</v>
      </c>
      <c r="X416" s="722">
        <v>0.49</v>
      </c>
      <c r="Y416" s="722">
        <v>6.41</v>
      </c>
      <c r="Z416" s="382">
        <v>3.8759775082244596E-2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10947.78</v>
      </c>
      <c r="AF416" s="372">
        <v>12349.22</v>
      </c>
      <c r="AG416" s="372">
        <v>13199.71</v>
      </c>
      <c r="AH416" s="372">
        <v>0</v>
      </c>
    </row>
    <row r="417" spans="1:34">
      <c r="A417" s="372" t="s">
        <v>3427</v>
      </c>
      <c r="B417" s="373" t="s">
        <v>3428</v>
      </c>
      <c r="C417" s="372" t="s">
        <v>3429</v>
      </c>
      <c r="D417" s="374">
        <v>1101110090516</v>
      </c>
      <c r="E417" s="372" t="s">
        <v>3430</v>
      </c>
      <c r="F417" s="372" t="s">
        <v>2219</v>
      </c>
      <c r="G417" s="375" t="s">
        <v>2219</v>
      </c>
      <c r="H417" s="375" t="s">
        <v>1313</v>
      </c>
      <c r="I417" s="375" t="s">
        <v>751</v>
      </c>
      <c r="J417" s="375">
        <v>3402370.2775400002</v>
      </c>
      <c r="K417" s="375">
        <v>93753.185400000002</v>
      </c>
      <c r="L417" s="375">
        <v>95164.455319999994</v>
      </c>
      <c r="M417" s="375">
        <v>473377.78354999999</v>
      </c>
      <c r="N417" s="372">
        <v>0.56799999999999995</v>
      </c>
      <c r="O417" s="704">
        <v>94.382613264908798</v>
      </c>
      <c r="P417" s="375" t="s">
        <v>619</v>
      </c>
      <c r="Q417" s="375" t="s">
        <v>619</v>
      </c>
      <c r="R417" s="696">
        <v>19750502</v>
      </c>
      <c r="S417" s="375" t="s">
        <v>3431</v>
      </c>
      <c r="T417" s="697">
        <v>0.23100000000000001</v>
      </c>
      <c r="U417" s="375" t="s">
        <v>3432</v>
      </c>
      <c r="V417" s="722">
        <v>4.21</v>
      </c>
      <c r="W417" s="722">
        <v>0.85</v>
      </c>
      <c r="X417" s="722">
        <v>0.13</v>
      </c>
      <c r="Y417" s="722">
        <v>5.45</v>
      </c>
      <c r="Z417" s="382">
        <v>2.3850042622235001E-2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34788.67</v>
      </c>
      <c r="AF417" s="372">
        <v>36152.33</v>
      </c>
      <c r="AG417" s="372">
        <v>37727.67</v>
      </c>
      <c r="AH417" s="372">
        <v>0</v>
      </c>
    </row>
    <row r="418" spans="1:34">
      <c r="A418" s="372" t="s">
        <v>3433</v>
      </c>
      <c r="B418" s="373" t="s">
        <v>3434</v>
      </c>
      <c r="C418" s="372" t="s">
        <v>3435</v>
      </c>
      <c r="D418" s="374">
        <v>1601110099451</v>
      </c>
      <c r="E418" s="372" t="s">
        <v>3436</v>
      </c>
      <c r="F418" s="375" t="s">
        <v>842</v>
      </c>
      <c r="G418" s="375" t="s">
        <v>842</v>
      </c>
      <c r="H418" s="375" t="s">
        <v>3096</v>
      </c>
      <c r="I418" s="375" t="s">
        <v>859</v>
      </c>
      <c r="J418" s="375">
        <v>51664.066830000003</v>
      </c>
      <c r="K418" s="375">
        <v>-10217.38024</v>
      </c>
      <c r="L418" s="375">
        <v>-28100.046750000001</v>
      </c>
      <c r="M418" s="375">
        <v>168624.40966999999</v>
      </c>
      <c r="N418" s="372">
        <v>1.2030000000000001</v>
      </c>
      <c r="O418" s="704">
        <v>2.6400504953559052</v>
      </c>
      <c r="P418" s="375" t="s">
        <v>619</v>
      </c>
      <c r="Q418" s="372" t="s">
        <v>619</v>
      </c>
      <c r="R418" s="696">
        <v>20100326</v>
      </c>
      <c r="S418" s="375" t="s">
        <v>3437</v>
      </c>
      <c r="T418" s="697" t="s">
        <v>768</v>
      </c>
      <c r="U418" s="372" t="s">
        <v>15851</v>
      </c>
      <c r="V418" s="722" t="s">
        <v>770</v>
      </c>
      <c r="W418" s="722">
        <v>5.18</v>
      </c>
      <c r="X418" s="722">
        <v>14.68</v>
      </c>
      <c r="Y418" s="722" t="s">
        <v>770</v>
      </c>
      <c r="Z418" s="382" t="s">
        <v>924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3438</v>
      </c>
      <c r="B419" s="373" t="s">
        <v>3439</v>
      </c>
      <c r="C419" s="372" t="s">
        <v>3440</v>
      </c>
      <c r="D419" s="374">
        <v>1341110013552</v>
      </c>
      <c r="E419" s="372" t="s">
        <v>3441</v>
      </c>
      <c r="F419" s="375" t="s">
        <v>2831</v>
      </c>
      <c r="G419" s="375" t="s">
        <v>2831</v>
      </c>
      <c r="H419" s="375" t="s">
        <v>858</v>
      </c>
      <c r="I419" s="375" t="s">
        <v>859</v>
      </c>
      <c r="J419" s="375">
        <v>613452.98659999995</v>
      </c>
      <c r="K419" s="375">
        <v>10878.3943</v>
      </c>
      <c r="L419" s="375">
        <v>28687.225890000002</v>
      </c>
      <c r="M419" s="375">
        <v>748029.95430999994</v>
      </c>
      <c r="N419" s="372">
        <v>1.0940000000000001</v>
      </c>
      <c r="O419" s="704">
        <v>11.402349038881914</v>
      </c>
      <c r="P419" s="375" t="s">
        <v>619</v>
      </c>
      <c r="Q419" s="375" t="s">
        <v>619</v>
      </c>
      <c r="R419" s="696">
        <v>20020219</v>
      </c>
      <c r="S419" s="375" t="s">
        <v>3442</v>
      </c>
      <c r="T419" s="697">
        <v>0.23100000000000001</v>
      </c>
      <c r="U419" s="375" t="s">
        <v>3443</v>
      </c>
      <c r="V419" s="722">
        <v>17.38</v>
      </c>
      <c r="W419" s="722">
        <v>0.6</v>
      </c>
      <c r="X419" s="722">
        <v>0.66</v>
      </c>
      <c r="Y419" s="722">
        <v>21.25</v>
      </c>
      <c r="Z419" s="382">
        <v>6.7545123650173844E-2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6626</v>
      </c>
      <c r="AF419" s="372">
        <v>7165</v>
      </c>
      <c r="AG419" s="372">
        <v>7499</v>
      </c>
      <c r="AH419" s="372">
        <v>0</v>
      </c>
    </row>
    <row r="420" spans="1:34">
      <c r="A420" s="372" t="s">
        <v>3444</v>
      </c>
      <c r="B420" s="373" t="s">
        <v>3445</v>
      </c>
      <c r="C420" s="372" t="s">
        <v>3446</v>
      </c>
      <c r="D420" s="374">
        <v>1101110166127</v>
      </c>
      <c r="E420" s="372" t="s">
        <v>3447</v>
      </c>
      <c r="F420" s="375" t="s">
        <v>3448</v>
      </c>
      <c r="G420" s="375" t="s">
        <v>3448</v>
      </c>
      <c r="H420" s="375" t="s">
        <v>3096</v>
      </c>
      <c r="I420" s="375" t="s">
        <v>859</v>
      </c>
      <c r="J420" s="375">
        <v>799999.93559999997</v>
      </c>
      <c r="K420" s="375">
        <v>33793.521370000002</v>
      </c>
      <c r="L420" s="375">
        <v>22902.069049999998</v>
      </c>
      <c r="M420" s="375">
        <v>352775.75114000001</v>
      </c>
      <c r="N420" s="372">
        <v>0.56000000000000005</v>
      </c>
      <c r="O420" s="704">
        <v>329.33881858776004</v>
      </c>
      <c r="P420" s="375" t="s">
        <v>619</v>
      </c>
      <c r="Q420" s="375" t="s">
        <v>619</v>
      </c>
      <c r="R420" s="696">
        <v>19971013</v>
      </c>
      <c r="S420" s="375" t="s">
        <v>3449</v>
      </c>
      <c r="T420" s="697">
        <v>0.23100000000000001</v>
      </c>
      <c r="U420" s="372" t="s">
        <v>3450</v>
      </c>
      <c r="V420" s="722">
        <v>7.49</v>
      </c>
      <c r="W420" s="722">
        <v>0.37</v>
      </c>
      <c r="X420" s="722">
        <v>0.19</v>
      </c>
      <c r="Y420" s="722">
        <v>5.95</v>
      </c>
      <c r="Z420" s="382" t="s">
        <v>924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3451</v>
      </c>
      <c r="B421" s="373" t="s">
        <v>3452</v>
      </c>
      <c r="C421" s="372" t="s">
        <v>3453</v>
      </c>
      <c r="D421" s="374">
        <v>1101110974851</v>
      </c>
      <c r="E421" s="372" t="s">
        <v>3454</v>
      </c>
      <c r="F421" s="375" t="s">
        <v>1793</v>
      </c>
      <c r="G421" s="375" t="s">
        <v>2794</v>
      </c>
      <c r="H421" s="375" t="s">
        <v>858</v>
      </c>
      <c r="I421" s="375" t="s">
        <v>859</v>
      </c>
      <c r="J421" s="375">
        <v>105060.81230999999</v>
      </c>
      <c r="K421" s="375">
        <v>-9763.1715100000001</v>
      </c>
      <c r="L421" s="375">
        <v>-17025.478169999998</v>
      </c>
      <c r="M421" s="375">
        <v>87786.554359999995</v>
      </c>
      <c r="N421" s="372">
        <v>0.41399999999999998</v>
      </c>
      <c r="O421" s="704">
        <v>45.284830357830963</v>
      </c>
      <c r="P421" s="375" t="s">
        <v>619</v>
      </c>
      <c r="Q421" s="372" t="s">
        <v>619</v>
      </c>
      <c r="R421" s="696">
        <v>20080701</v>
      </c>
      <c r="S421" s="375" t="s">
        <v>3455</v>
      </c>
      <c r="T421" s="697" t="s">
        <v>768</v>
      </c>
      <c r="U421" s="375" t="s">
        <v>3456</v>
      </c>
      <c r="V421" s="722" t="s">
        <v>770</v>
      </c>
      <c r="W421" s="722">
        <v>1.98</v>
      </c>
      <c r="X421" s="722">
        <v>1.57</v>
      </c>
      <c r="Y421" s="722" t="s">
        <v>770</v>
      </c>
      <c r="Z421" s="382">
        <v>0.12795402903652864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1050</v>
      </c>
      <c r="AF421" s="372">
        <v>1296</v>
      </c>
      <c r="AG421" s="372">
        <v>1497</v>
      </c>
      <c r="AH421" s="372">
        <v>0</v>
      </c>
    </row>
    <row r="422" spans="1:34">
      <c r="A422" s="372" t="s">
        <v>3457</v>
      </c>
      <c r="B422" s="373" t="s">
        <v>3458</v>
      </c>
      <c r="C422" s="372" t="s">
        <v>3459</v>
      </c>
      <c r="D422" s="374">
        <v>1601110393069</v>
      </c>
      <c r="E422" s="372" t="s">
        <v>3460</v>
      </c>
      <c r="F422" s="375" t="s">
        <v>1003</v>
      </c>
      <c r="G422" s="375" t="s">
        <v>3461</v>
      </c>
      <c r="H422" s="375" t="s">
        <v>858</v>
      </c>
      <c r="I422" s="375" t="s">
        <v>859</v>
      </c>
      <c r="J422" s="375">
        <v>655453.42987999995</v>
      </c>
      <c r="K422" s="375">
        <v>99447.693289999996</v>
      </c>
      <c r="L422" s="375">
        <v>88200.742010000002</v>
      </c>
      <c r="M422" s="375">
        <v>447228.34386999998</v>
      </c>
      <c r="N422" s="372">
        <v>0.66100000000000003</v>
      </c>
      <c r="O422" s="704">
        <v>20.754120004188394</v>
      </c>
      <c r="P422" s="375" t="s">
        <v>619</v>
      </c>
      <c r="Q422" s="375" t="s">
        <v>619</v>
      </c>
      <c r="R422" s="696">
        <v>20150403</v>
      </c>
      <c r="S422" s="375" t="s">
        <v>3462</v>
      </c>
      <c r="T422" s="697">
        <v>0.23100000000000001</v>
      </c>
      <c r="U422" s="375" t="s">
        <v>3463</v>
      </c>
      <c r="V422" s="722">
        <v>2.94</v>
      </c>
      <c r="W422" s="722">
        <v>0.92</v>
      </c>
      <c r="X422" s="722">
        <v>0.66</v>
      </c>
      <c r="Y422" s="722">
        <v>6.48</v>
      </c>
      <c r="Z422" s="382">
        <v>3.3180533480162921E-2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6545</v>
      </c>
      <c r="AF422" s="372">
        <v>7172.33</v>
      </c>
      <c r="AG422" s="372">
        <v>7806.67</v>
      </c>
      <c r="AH422" s="372">
        <v>0</v>
      </c>
    </row>
    <row r="423" spans="1:34">
      <c r="A423" s="372" t="s">
        <v>3464</v>
      </c>
      <c r="B423" s="373" t="s">
        <v>3465</v>
      </c>
      <c r="C423" s="372" t="s">
        <v>3466</v>
      </c>
      <c r="D423" s="374">
        <v>1101110006456</v>
      </c>
      <c r="E423" s="372" t="s">
        <v>3467</v>
      </c>
      <c r="F423" s="375" t="s">
        <v>955</v>
      </c>
      <c r="G423" s="375" t="s">
        <v>956</v>
      </c>
      <c r="H423" s="375" t="s">
        <v>930</v>
      </c>
      <c r="I423" s="375" t="s">
        <v>751</v>
      </c>
      <c r="J423" s="375">
        <v>5215367.8144899998</v>
      </c>
      <c r="K423" s="375">
        <v>437717.37105999998</v>
      </c>
      <c r="L423" s="375">
        <v>440940.90418999997</v>
      </c>
      <c r="M423" s="375">
        <v>2959573.5358799999</v>
      </c>
      <c r="N423" s="372">
        <v>0.59299999999999997</v>
      </c>
      <c r="O423" s="704">
        <v>108.41789652328326</v>
      </c>
      <c r="P423" s="375" t="s">
        <v>619</v>
      </c>
      <c r="Q423" s="372" t="s">
        <v>619</v>
      </c>
      <c r="R423" s="696">
        <v>19750630</v>
      </c>
      <c r="S423" s="372" t="s">
        <v>3468</v>
      </c>
      <c r="T423" s="697">
        <v>0.26400000000000001</v>
      </c>
      <c r="U423" s="372" t="s">
        <v>3469</v>
      </c>
      <c r="V423" s="722">
        <v>0</v>
      </c>
      <c r="W423" s="722">
        <v>0.27</v>
      </c>
      <c r="X423" s="722">
        <v>0.12</v>
      </c>
      <c r="Y423" s="722">
        <v>2.2999999999999998</v>
      </c>
      <c r="Z423" s="382" t="s">
        <v>924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3470</v>
      </c>
      <c r="B424" s="373" t="s">
        <v>3471</v>
      </c>
      <c r="C424" s="372" t="s">
        <v>3472</v>
      </c>
      <c r="D424" s="374">
        <v>1101110042492</v>
      </c>
      <c r="E424" s="372" t="s">
        <v>3473</v>
      </c>
      <c r="F424" s="375" t="s">
        <v>1259</v>
      </c>
      <c r="G424" s="375" t="s">
        <v>1260</v>
      </c>
      <c r="H424" s="375" t="s">
        <v>1261</v>
      </c>
      <c r="I424" s="375" t="s">
        <v>751</v>
      </c>
      <c r="J424" s="375">
        <v>535010.18999999994</v>
      </c>
      <c r="K424" s="375">
        <v>109832.988</v>
      </c>
      <c r="L424" s="375">
        <v>109117.577</v>
      </c>
      <c r="M424" s="375">
        <v>1604839.125</v>
      </c>
      <c r="N424" s="372">
        <v>0.85699999999999998</v>
      </c>
      <c r="O424" s="704">
        <v>1492.7240467146378</v>
      </c>
      <c r="P424" s="375" t="s">
        <v>619</v>
      </c>
      <c r="Q424" s="375" t="s">
        <v>619</v>
      </c>
      <c r="R424" s="696">
        <v>19880121</v>
      </c>
      <c r="S424" s="375" t="s">
        <v>3254</v>
      </c>
      <c r="T424" s="697">
        <v>0.23100000000000001</v>
      </c>
      <c r="U424" s="375" t="s">
        <v>3474</v>
      </c>
      <c r="V424" s="722">
        <v>0</v>
      </c>
      <c r="W424" s="722">
        <v>0.37</v>
      </c>
      <c r="X424" s="722">
        <v>0.23</v>
      </c>
      <c r="Y424" s="722">
        <v>7.82</v>
      </c>
      <c r="Z424" s="382" t="s">
        <v>924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3475</v>
      </c>
      <c r="B425" s="373" t="s">
        <v>3476</v>
      </c>
      <c r="C425" s="372" t="s">
        <v>3477</v>
      </c>
      <c r="D425" s="374">
        <v>1350110042924</v>
      </c>
      <c r="E425" s="372" t="s">
        <v>3478</v>
      </c>
      <c r="F425" s="375" t="s">
        <v>995</v>
      </c>
      <c r="G425" s="375" t="s">
        <v>996</v>
      </c>
      <c r="H425" s="375" t="s">
        <v>858</v>
      </c>
      <c r="I425" s="375" t="s">
        <v>859</v>
      </c>
      <c r="J425" s="375">
        <v>490659.65078000003</v>
      </c>
      <c r="K425" s="375">
        <v>35771.62197</v>
      </c>
      <c r="L425" s="375">
        <v>30205.07156</v>
      </c>
      <c r="M425" s="375">
        <v>252493.99716999999</v>
      </c>
      <c r="N425" s="372">
        <v>0.80900000000000005</v>
      </c>
      <c r="O425" s="704">
        <v>0.12731532194500705</v>
      </c>
      <c r="P425" s="375" t="s">
        <v>619</v>
      </c>
      <c r="Q425" s="375" t="s">
        <v>619</v>
      </c>
      <c r="R425" s="696">
        <v>20030120</v>
      </c>
      <c r="S425" s="375" t="s">
        <v>3479</v>
      </c>
      <c r="T425" s="697">
        <v>0.23100000000000001</v>
      </c>
      <c r="U425" s="372" t="s">
        <v>3480</v>
      </c>
      <c r="V425" s="722">
        <v>5.21</v>
      </c>
      <c r="W425" s="722">
        <v>1.06</v>
      </c>
      <c r="X425" s="722">
        <v>0.54</v>
      </c>
      <c r="Y425" s="722">
        <v>7.87</v>
      </c>
      <c r="Z425" s="382">
        <v>6.8910629924960887E-2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5268.5</v>
      </c>
      <c r="AF425" s="372">
        <v>5655</v>
      </c>
      <c r="AG425" s="372">
        <v>5720</v>
      </c>
      <c r="AH425" s="372">
        <v>0</v>
      </c>
    </row>
    <row r="426" spans="1:34">
      <c r="A426" s="372" t="s">
        <v>3481</v>
      </c>
      <c r="B426" s="373" t="s">
        <v>3482</v>
      </c>
      <c r="C426" s="372" t="s">
        <v>3483</v>
      </c>
      <c r="D426" s="374">
        <v>1101116168614</v>
      </c>
      <c r="E426" s="372" t="s">
        <v>3484</v>
      </c>
      <c r="F426" s="375" t="s">
        <v>1959</v>
      </c>
      <c r="G426" s="375" t="s">
        <v>1959</v>
      </c>
      <c r="H426" s="375" t="s">
        <v>858</v>
      </c>
      <c r="I426" s="375" t="s">
        <v>859</v>
      </c>
      <c r="J426" s="375">
        <v>96471.437109999999</v>
      </c>
      <c r="K426" s="375">
        <v>13611.43341</v>
      </c>
      <c r="L426" s="375">
        <v>14495.730509999999</v>
      </c>
      <c r="M426" s="375">
        <v>106637.88422000001</v>
      </c>
      <c r="N426" s="372">
        <v>1.3779999999999999</v>
      </c>
      <c r="O426" s="704">
        <v>0.87565462652229564</v>
      </c>
      <c r="P426" s="375" t="s">
        <v>619</v>
      </c>
      <c r="Q426" s="375" t="s">
        <v>619</v>
      </c>
      <c r="R426" s="696">
        <v>20180404</v>
      </c>
      <c r="S426" s="375" t="s">
        <v>3485</v>
      </c>
      <c r="T426" s="697">
        <v>0.20900000000000002</v>
      </c>
      <c r="U426" s="372" t="s">
        <v>3486</v>
      </c>
      <c r="V426" s="722">
        <v>33.25</v>
      </c>
      <c r="W426" s="722">
        <v>4.5999999999999996</v>
      </c>
      <c r="X426" s="722">
        <v>5.25</v>
      </c>
      <c r="Y426" s="722">
        <v>40.82</v>
      </c>
      <c r="Z426" s="382">
        <v>0.19014498001466862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1108</v>
      </c>
      <c r="AF426" s="372">
        <v>1498</v>
      </c>
      <c r="AG426" s="372">
        <v>2025</v>
      </c>
      <c r="AH426" s="372">
        <v>0</v>
      </c>
    </row>
    <row r="427" spans="1:34">
      <c r="A427" s="372" t="s">
        <v>3487</v>
      </c>
      <c r="B427" s="373" t="s">
        <v>3488</v>
      </c>
      <c r="C427" s="372" t="s">
        <v>3489</v>
      </c>
      <c r="D427" s="374">
        <v>1101113687568</v>
      </c>
      <c r="E427" s="372" t="s">
        <v>3490</v>
      </c>
      <c r="F427" s="372" t="s">
        <v>1003</v>
      </c>
      <c r="G427" s="375" t="s">
        <v>3491</v>
      </c>
      <c r="H427" s="375" t="s">
        <v>858</v>
      </c>
      <c r="I427" s="375" t="s">
        <v>859</v>
      </c>
      <c r="J427" s="375">
        <v>223844.96088999999</v>
      </c>
      <c r="K427" s="375">
        <v>14670.608190000001</v>
      </c>
      <c r="L427" s="375">
        <v>13916.09028</v>
      </c>
      <c r="M427" s="375">
        <v>167471.23001999999</v>
      </c>
      <c r="N427" s="372">
        <v>0.96299999999999997</v>
      </c>
      <c r="O427" s="704">
        <v>2.9030281304244601</v>
      </c>
      <c r="P427" s="375" t="s">
        <v>619</v>
      </c>
      <c r="Q427" s="375" t="s">
        <v>619</v>
      </c>
      <c r="R427" s="696">
        <v>20141006</v>
      </c>
      <c r="S427" s="375" t="s">
        <v>3492</v>
      </c>
      <c r="T427" s="697">
        <v>0.20900000000000002</v>
      </c>
      <c r="U427" s="372" t="s">
        <v>3493</v>
      </c>
      <c r="V427" s="722">
        <v>20.78</v>
      </c>
      <c r="W427" s="722">
        <v>2.2999999999999998</v>
      </c>
      <c r="X427" s="722">
        <v>2.09</v>
      </c>
      <c r="Y427" s="722">
        <v>34.659999999999997</v>
      </c>
      <c r="Z427" s="382">
        <v>0.23090727347534012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2721</v>
      </c>
      <c r="AF427" s="372">
        <v>3206</v>
      </c>
      <c r="AG427" s="372">
        <v>3699.25</v>
      </c>
      <c r="AH427" s="372">
        <v>0</v>
      </c>
    </row>
    <row r="428" spans="1:34">
      <c r="A428" s="372" t="s">
        <v>3494</v>
      </c>
      <c r="B428" s="373" t="s">
        <v>3495</v>
      </c>
      <c r="C428" s="372" t="s">
        <v>3496</v>
      </c>
      <c r="D428" s="374">
        <v>1101110256788</v>
      </c>
      <c r="E428" s="372" t="s">
        <v>3497</v>
      </c>
      <c r="F428" s="375" t="s">
        <v>3286</v>
      </c>
      <c r="G428" s="375" t="s">
        <v>3286</v>
      </c>
      <c r="H428" s="375">
        <v>0</v>
      </c>
      <c r="I428" s="375" t="s">
        <v>859</v>
      </c>
      <c r="J428" s="375">
        <v>183692.49651999999</v>
      </c>
      <c r="K428" s="375">
        <v>47159.725299999998</v>
      </c>
      <c r="L428" s="375">
        <v>177899.92973</v>
      </c>
      <c r="M428" s="375">
        <v>981953.43500000006</v>
      </c>
      <c r="N428" s="372">
        <v>0.73099999999999998</v>
      </c>
      <c r="O428" s="704">
        <v>230.98408673573374</v>
      </c>
      <c r="P428" s="375" t="s">
        <v>619</v>
      </c>
      <c r="Q428" s="372" t="s">
        <v>619</v>
      </c>
      <c r="R428" s="696">
        <v>19950929</v>
      </c>
      <c r="S428" s="372" t="s">
        <v>3498</v>
      </c>
      <c r="T428" s="697">
        <v>0.23100000000000001</v>
      </c>
      <c r="U428" s="375" t="s">
        <v>3499</v>
      </c>
      <c r="V428" s="722">
        <v>21.43</v>
      </c>
      <c r="W428" s="722">
        <v>0.48</v>
      </c>
      <c r="X428" s="722">
        <v>2.25</v>
      </c>
      <c r="Y428" s="722">
        <v>2.87</v>
      </c>
      <c r="Z428" s="382">
        <v>6.2087159010926651E-2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1878</v>
      </c>
      <c r="AF428" s="372">
        <v>2002.5</v>
      </c>
      <c r="AG428" s="372">
        <v>2152.5</v>
      </c>
      <c r="AH428" s="372">
        <v>0</v>
      </c>
    </row>
    <row r="429" spans="1:34">
      <c r="A429" s="372" t="s">
        <v>3500</v>
      </c>
      <c r="B429" s="373" t="s">
        <v>3501</v>
      </c>
      <c r="C429" s="372" t="s">
        <v>3502</v>
      </c>
      <c r="D429" s="374">
        <v>1101111673816</v>
      </c>
      <c r="E429" s="372" t="s">
        <v>3503</v>
      </c>
      <c r="F429" s="375" t="s">
        <v>1793</v>
      </c>
      <c r="G429" s="375" t="s">
        <v>1793</v>
      </c>
      <c r="H429" s="375" t="s">
        <v>858</v>
      </c>
      <c r="I429" s="375" t="s">
        <v>859</v>
      </c>
      <c r="J429" s="375">
        <v>96046.384650000007</v>
      </c>
      <c r="K429" s="375">
        <v>-844.50783000000001</v>
      </c>
      <c r="L429" s="375">
        <v>1780.45451</v>
      </c>
      <c r="M429" s="375">
        <v>268308.57001000002</v>
      </c>
      <c r="N429" s="372">
        <v>0.67500000000000004</v>
      </c>
      <c r="O429" s="704">
        <v>6.5543226656047935</v>
      </c>
      <c r="P429" s="375" t="s">
        <v>619</v>
      </c>
      <c r="Q429" s="375" t="s">
        <v>619</v>
      </c>
      <c r="R429" s="696">
        <v>20091210</v>
      </c>
      <c r="S429" s="375" t="s">
        <v>3504</v>
      </c>
      <c r="T429" s="697">
        <v>0.20900000000000002</v>
      </c>
      <c r="U429" s="375" t="s">
        <v>3505</v>
      </c>
      <c r="V429" s="722">
        <v>78.17</v>
      </c>
      <c r="W429" s="722">
        <v>2.36</v>
      </c>
      <c r="X429" s="722">
        <v>3.17</v>
      </c>
      <c r="Y429" s="722" t="s">
        <v>770</v>
      </c>
      <c r="Z429" s="382">
        <v>0.29458644445813542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1173</v>
      </c>
      <c r="AF429" s="372">
        <v>1359</v>
      </c>
      <c r="AG429" s="372">
        <v>1489</v>
      </c>
      <c r="AH429" s="372">
        <v>0</v>
      </c>
    </row>
    <row r="430" spans="1:34">
      <c r="A430" s="372" t="s">
        <v>3506</v>
      </c>
      <c r="B430" s="373" t="s">
        <v>3507</v>
      </c>
      <c r="C430" s="372" t="s">
        <v>3508</v>
      </c>
      <c r="D430" s="374">
        <v>0</v>
      </c>
      <c r="E430" s="372" t="s">
        <v>3509</v>
      </c>
      <c r="F430" s="372" t="s">
        <v>1113</v>
      </c>
      <c r="G430" s="375" t="s">
        <v>1333</v>
      </c>
      <c r="H430" s="375">
        <v>0</v>
      </c>
      <c r="I430" s="375" t="s">
        <v>751</v>
      </c>
      <c r="J430" s="375">
        <v>987.16200000000003</v>
      </c>
      <c r="K430" s="375">
        <v>-73316.884000000005</v>
      </c>
      <c r="L430" s="375">
        <v>-57035.334000000003</v>
      </c>
      <c r="M430" s="375">
        <v>516163.462</v>
      </c>
      <c r="N430" s="372">
        <v>0.84199999999999997</v>
      </c>
      <c r="O430" s="704">
        <v>8.1415070312317042</v>
      </c>
      <c r="P430" s="375" t="s">
        <v>619</v>
      </c>
      <c r="Q430" s="375" t="s">
        <v>619</v>
      </c>
      <c r="R430" s="696">
        <v>20210205</v>
      </c>
      <c r="S430" s="375" t="s">
        <v>3510</v>
      </c>
      <c r="T430" s="697" t="s">
        <v>768</v>
      </c>
      <c r="U430" s="372" t="s">
        <v>3511</v>
      </c>
      <c r="V430" s="722" t="s">
        <v>770</v>
      </c>
      <c r="W430" s="722">
        <v>1.22</v>
      </c>
      <c r="X430" s="722">
        <v>541.20000000000005</v>
      </c>
      <c r="Y430" s="722" t="s">
        <v>770</v>
      </c>
      <c r="Z430" s="382" t="s">
        <v>924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3512</v>
      </c>
      <c r="B431" s="373" t="s">
        <v>3513</v>
      </c>
      <c r="C431" s="372" t="s">
        <v>15984</v>
      </c>
      <c r="D431" s="374">
        <v>1101115869346</v>
      </c>
      <c r="E431" s="372" t="s">
        <v>15985</v>
      </c>
      <c r="F431" s="375" t="s">
        <v>1959</v>
      </c>
      <c r="G431" s="375" t="s">
        <v>1959</v>
      </c>
      <c r="H431" s="375" t="s">
        <v>858</v>
      </c>
      <c r="I431" s="375" t="s">
        <v>859</v>
      </c>
      <c r="J431" s="375">
        <v>202433.72042</v>
      </c>
      <c r="K431" s="375">
        <v>15126.17902</v>
      </c>
      <c r="L431" s="375">
        <v>18033.830999999998</v>
      </c>
      <c r="M431" s="375">
        <v>410438.67220999999</v>
      </c>
      <c r="N431" s="372">
        <v>0.72</v>
      </c>
      <c r="O431" s="704">
        <v>8.7763634072358645</v>
      </c>
      <c r="P431" s="375" t="s">
        <v>619</v>
      </c>
      <c r="Q431" s="375" t="s">
        <v>619</v>
      </c>
      <c r="R431" s="696">
        <v>20151224</v>
      </c>
      <c r="S431" s="375" t="s">
        <v>3514</v>
      </c>
      <c r="T431" s="697">
        <v>0.20900000000000002</v>
      </c>
      <c r="U431" s="372" t="s">
        <v>3515</v>
      </c>
      <c r="V431" s="722">
        <v>52.04</v>
      </c>
      <c r="W431" s="722">
        <v>3.39</v>
      </c>
      <c r="X431" s="722">
        <v>5.35</v>
      </c>
      <c r="Y431" s="722">
        <v>98.82</v>
      </c>
      <c r="Z431" s="382">
        <v>0.13333391301927144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2190</v>
      </c>
      <c r="AF431" s="372">
        <v>3970</v>
      </c>
      <c r="AG431" s="372">
        <v>4210</v>
      </c>
      <c r="AH431" s="372">
        <v>0</v>
      </c>
    </row>
    <row r="432" spans="1:34">
      <c r="A432" s="372" t="s">
        <v>3516</v>
      </c>
      <c r="B432" s="373" t="s">
        <v>3517</v>
      </c>
      <c r="C432" s="372" t="s">
        <v>3518</v>
      </c>
      <c r="D432" s="374">
        <v>1615110017818</v>
      </c>
      <c r="E432" s="372" t="s">
        <v>3519</v>
      </c>
      <c r="F432" s="375" t="s">
        <v>2181</v>
      </c>
      <c r="G432" s="375" t="s">
        <v>3520</v>
      </c>
      <c r="H432" s="375" t="s">
        <v>858</v>
      </c>
      <c r="I432" s="375" t="s">
        <v>859</v>
      </c>
      <c r="J432" s="375">
        <v>315213.63913000003</v>
      </c>
      <c r="K432" s="375">
        <v>27145.33367</v>
      </c>
      <c r="L432" s="375">
        <v>25316.444650000001</v>
      </c>
      <c r="M432" s="375">
        <v>378759.64818000002</v>
      </c>
      <c r="N432" s="372">
        <v>1.5369999999999999</v>
      </c>
      <c r="O432" s="704">
        <v>7.9583769151442665</v>
      </c>
      <c r="P432" s="375" t="s">
        <v>619</v>
      </c>
      <c r="Q432" s="375" t="s">
        <v>619</v>
      </c>
      <c r="R432" s="696">
        <v>20110105</v>
      </c>
      <c r="S432" s="375" t="s">
        <v>3521</v>
      </c>
      <c r="T432" s="697">
        <v>0.23100000000000001</v>
      </c>
      <c r="U432" s="375" t="s">
        <v>3522</v>
      </c>
      <c r="V432" s="722">
        <v>10.99</v>
      </c>
      <c r="W432" s="722">
        <v>1.66</v>
      </c>
      <c r="X432" s="722">
        <v>1.74</v>
      </c>
      <c r="Y432" s="722">
        <v>25.94</v>
      </c>
      <c r="Z432" s="382">
        <v>0.13575449953669594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3203.67</v>
      </c>
      <c r="AF432" s="372">
        <v>3639.67</v>
      </c>
      <c r="AG432" s="372">
        <v>4145.67</v>
      </c>
      <c r="AH432" s="372">
        <v>0</v>
      </c>
    </row>
    <row r="433" spans="1:34">
      <c r="A433" s="372" t="s">
        <v>3523</v>
      </c>
      <c r="B433" s="373" t="s">
        <v>3524</v>
      </c>
      <c r="C433" s="372" t="s">
        <v>3525</v>
      </c>
      <c r="D433" s="374">
        <v>1101114720945</v>
      </c>
      <c r="E433" s="372" t="s">
        <v>3526</v>
      </c>
      <c r="F433" s="375" t="s">
        <v>2219</v>
      </c>
      <c r="G433" s="375" t="s">
        <v>2219</v>
      </c>
      <c r="H433" s="375" t="s">
        <v>1313</v>
      </c>
      <c r="I433" s="375" t="s">
        <v>751</v>
      </c>
      <c r="J433" s="375">
        <v>2665322.0607699999</v>
      </c>
      <c r="K433" s="375">
        <v>146297.46419999999</v>
      </c>
      <c r="L433" s="375">
        <v>169576.93268</v>
      </c>
      <c r="M433" s="375">
        <v>1892981.9038</v>
      </c>
      <c r="N433" s="372">
        <v>0.78900000000000003</v>
      </c>
      <c r="O433" s="704">
        <v>186.93379926379606</v>
      </c>
      <c r="P433" s="375" t="s">
        <v>619</v>
      </c>
      <c r="Q433" s="375" t="s">
        <v>619</v>
      </c>
      <c r="R433" s="696">
        <v>20111205</v>
      </c>
      <c r="S433" s="375" t="s">
        <v>3527</v>
      </c>
      <c r="T433" s="697">
        <v>0.23100000000000001</v>
      </c>
      <c r="U433" s="372" t="s">
        <v>3528</v>
      </c>
      <c r="V433" s="722">
        <v>5.26</v>
      </c>
      <c r="W433" s="722">
        <v>0.32</v>
      </c>
      <c r="X433" s="722">
        <v>0.2</v>
      </c>
      <c r="Y433" s="722">
        <v>4.42</v>
      </c>
      <c r="Z433" s="382" t="s">
        <v>924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3529</v>
      </c>
      <c r="B434" s="373" t="s">
        <v>3530</v>
      </c>
      <c r="C434" s="372" t="s">
        <v>3531</v>
      </c>
      <c r="D434" s="374">
        <v>1101110042880</v>
      </c>
      <c r="E434" s="372" t="s">
        <v>3532</v>
      </c>
      <c r="F434" s="375" t="s">
        <v>2004</v>
      </c>
      <c r="G434" s="375" t="s">
        <v>2004</v>
      </c>
      <c r="H434" s="375" t="s">
        <v>789</v>
      </c>
      <c r="I434" s="375" t="s">
        <v>751</v>
      </c>
      <c r="J434" s="375">
        <v>569653.28530999995</v>
      </c>
      <c r="K434" s="375">
        <v>94470.241190000001</v>
      </c>
      <c r="L434" s="375">
        <v>115946.4455</v>
      </c>
      <c r="M434" s="375">
        <v>765932.43995000003</v>
      </c>
      <c r="N434" s="372">
        <v>0.48499999999999999</v>
      </c>
      <c r="O434" s="704">
        <v>0.11856449066525473</v>
      </c>
      <c r="P434" s="375" t="s">
        <v>619</v>
      </c>
      <c r="Q434" s="375" t="s">
        <v>619</v>
      </c>
      <c r="R434" s="696">
        <v>19760708</v>
      </c>
      <c r="S434" s="375" t="s">
        <v>3533</v>
      </c>
      <c r="T434" s="697">
        <v>0.23100000000000001</v>
      </c>
      <c r="U434" s="375" t="s">
        <v>3534</v>
      </c>
      <c r="V434" s="722">
        <v>7.79</v>
      </c>
      <c r="W434" s="722">
        <v>0.94</v>
      </c>
      <c r="X434" s="722">
        <v>1.41</v>
      </c>
      <c r="Y434" s="722">
        <v>8.58</v>
      </c>
      <c r="Z434" s="382">
        <v>7.6950568516177764E-2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5941</v>
      </c>
      <c r="AF434" s="372">
        <v>7032</v>
      </c>
      <c r="AG434" s="372">
        <v>6537</v>
      </c>
      <c r="AH434" s="372">
        <v>0</v>
      </c>
    </row>
    <row r="435" spans="1:34">
      <c r="A435" s="372" t="s">
        <v>3535</v>
      </c>
      <c r="B435" s="373" t="s">
        <v>3536</v>
      </c>
      <c r="C435" s="372" t="s">
        <v>3537</v>
      </c>
      <c r="D435" s="374">
        <v>1101115695337</v>
      </c>
      <c r="E435" s="372" t="s">
        <v>3538</v>
      </c>
      <c r="F435" s="375" t="s">
        <v>618</v>
      </c>
      <c r="G435" s="375" t="s">
        <v>618</v>
      </c>
      <c r="H435" s="375" t="s">
        <v>858</v>
      </c>
      <c r="I435" s="375" t="s">
        <v>859</v>
      </c>
      <c r="J435" s="375">
        <v>112543.037</v>
      </c>
      <c r="K435" s="375">
        <v>7553.3128299999998</v>
      </c>
      <c r="L435" s="375">
        <v>39588.282590000003</v>
      </c>
      <c r="M435" s="375">
        <v>349641.45192000002</v>
      </c>
      <c r="N435" s="372">
        <v>1.0389999999999999</v>
      </c>
      <c r="O435" s="704">
        <v>17.292649374210995</v>
      </c>
      <c r="P435" s="375" t="s">
        <v>619</v>
      </c>
      <c r="Q435" s="372" t="s">
        <v>619</v>
      </c>
      <c r="R435" s="696">
        <v>20150630</v>
      </c>
      <c r="S435" s="372" t="s">
        <v>3539</v>
      </c>
      <c r="T435" s="697">
        <v>0.23100000000000001</v>
      </c>
      <c r="U435" s="372" t="s">
        <v>3540</v>
      </c>
      <c r="V435" s="722">
        <v>22.84</v>
      </c>
      <c r="W435" s="722">
        <v>0.98</v>
      </c>
      <c r="X435" s="722">
        <v>2.87</v>
      </c>
      <c r="Y435" s="722">
        <v>7.03</v>
      </c>
      <c r="Z435" s="382">
        <v>0.15636816782210139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1184</v>
      </c>
      <c r="AF435" s="372">
        <v>1617.33</v>
      </c>
      <c r="AG435" s="372">
        <v>1992.5</v>
      </c>
      <c r="AH435" s="372">
        <v>0</v>
      </c>
    </row>
    <row r="436" spans="1:34">
      <c r="A436" s="372" t="s">
        <v>3541</v>
      </c>
      <c r="B436" s="373" t="s">
        <v>3542</v>
      </c>
      <c r="C436" s="372" t="s">
        <v>3543</v>
      </c>
      <c r="D436" s="374">
        <v>1101111113929</v>
      </c>
      <c r="E436" s="372" t="s">
        <v>3544</v>
      </c>
      <c r="F436" s="375" t="s">
        <v>5468</v>
      </c>
      <c r="G436" s="375" t="s">
        <v>5468</v>
      </c>
      <c r="H436" s="375" t="s">
        <v>892</v>
      </c>
      <c r="I436" s="375" t="s">
        <v>859</v>
      </c>
      <c r="J436" s="375">
        <v>1084893.5311100001</v>
      </c>
      <c r="K436" s="375">
        <v>43994.817929999997</v>
      </c>
      <c r="L436" s="375">
        <v>52339.615180000001</v>
      </c>
      <c r="M436" s="375">
        <v>247855.79384999999</v>
      </c>
      <c r="N436" s="372">
        <v>0.70099999999999996</v>
      </c>
      <c r="O436" s="704">
        <v>0.53842015650338382</v>
      </c>
      <c r="P436" s="375" t="s">
        <v>619</v>
      </c>
      <c r="Q436" s="375" t="s">
        <v>619</v>
      </c>
      <c r="R436" s="696">
        <v>20020104</v>
      </c>
      <c r="S436" s="375" t="s">
        <v>3546</v>
      </c>
      <c r="T436" s="697">
        <v>0.23100000000000001</v>
      </c>
      <c r="U436" s="375" t="s">
        <v>3547</v>
      </c>
      <c r="V436" s="722">
        <v>6.23</v>
      </c>
      <c r="W436" s="722">
        <v>1.06</v>
      </c>
      <c r="X436" s="722">
        <v>0.28000000000000003</v>
      </c>
      <c r="Y436" s="722">
        <v>7.45</v>
      </c>
      <c r="Z436" s="382">
        <v>7.6243424359742074E-2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11074.38</v>
      </c>
      <c r="AF436" s="372">
        <v>12063.63</v>
      </c>
      <c r="AG436" s="372">
        <v>13041.14</v>
      </c>
      <c r="AH436" s="372">
        <v>0</v>
      </c>
    </row>
    <row r="437" spans="1:34">
      <c r="A437" s="372" t="s">
        <v>3548</v>
      </c>
      <c r="B437" s="373" t="s">
        <v>3549</v>
      </c>
      <c r="C437" s="372" t="s">
        <v>3550</v>
      </c>
      <c r="D437" s="374">
        <v>1101112425448</v>
      </c>
      <c r="E437" s="372" t="s">
        <v>3551</v>
      </c>
      <c r="F437" s="375" t="s">
        <v>1740</v>
      </c>
      <c r="G437" s="375" t="s">
        <v>1740</v>
      </c>
      <c r="H437" s="375" t="s">
        <v>3096</v>
      </c>
      <c r="I437" s="375" t="s">
        <v>859</v>
      </c>
      <c r="J437" s="375">
        <v>623639.37733000005</v>
      </c>
      <c r="K437" s="375">
        <v>125867.57801</v>
      </c>
      <c r="L437" s="375">
        <v>122499.60421999999</v>
      </c>
      <c r="M437" s="375">
        <v>222763.70422000001</v>
      </c>
      <c r="N437" s="372">
        <v>0.72499999999999998</v>
      </c>
      <c r="O437" s="704">
        <v>6.6685049413958959</v>
      </c>
      <c r="P437" s="375" t="s">
        <v>619</v>
      </c>
      <c r="Q437" s="372" t="s">
        <v>619</v>
      </c>
      <c r="R437" s="696">
        <v>20210929</v>
      </c>
      <c r="S437" s="372" t="s">
        <v>3552</v>
      </c>
      <c r="T437" s="697">
        <v>0.23100000000000001</v>
      </c>
      <c r="U437" s="372" t="s">
        <v>3553</v>
      </c>
      <c r="V437" s="722">
        <v>22.15</v>
      </c>
      <c r="W437" s="722">
        <v>12.62</v>
      </c>
      <c r="X437" s="722">
        <v>4.4800000000000004</v>
      </c>
      <c r="Y437" s="722">
        <v>28.33</v>
      </c>
      <c r="Z437" s="382">
        <v>0.41079128849179725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7209.29</v>
      </c>
      <c r="AF437" s="372">
        <v>10438.290000000001</v>
      </c>
      <c r="AG437" s="372">
        <v>13582.17</v>
      </c>
      <c r="AH437" s="372">
        <v>0</v>
      </c>
    </row>
    <row r="438" spans="1:34">
      <c r="A438" s="372" t="s">
        <v>3554</v>
      </c>
      <c r="B438" s="373" t="s">
        <v>3555</v>
      </c>
      <c r="C438" s="372" t="s">
        <v>3556</v>
      </c>
      <c r="D438" s="374">
        <v>1101110505614</v>
      </c>
      <c r="E438" s="372" t="s">
        <v>3557</v>
      </c>
      <c r="F438" s="375" t="s">
        <v>2622</v>
      </c>
      <c r="G438" s="375" t="s">
        <v>2623</v>
      </c>
      <c r="H438" s="375" t="s">
        <v>814</v>
      </c>
      <c r="I438" s="375" t="s">
        <v>751</v>
      </c>
      <c r="J438" s="375">
        <v>2961065.6213600002</v>
      </c>
      <c r="K438" s="375">
        <v>159754.65841</v>
      </c>
      <c r="L438" s="375">
        <v>69236.395080000002</v>
      </c>
      <c r="M438" s="375">
        <v>1323700.0407199999</v>
      </c>
      <c r="N438" s="372">
        <v>0.501</v>
      </c>
      <c r="O438" s="704">
        <v>240.53327376166703</v>
      </c>
      <c r="P438" s="375" t="s">
        <v>619</v>
      </c>
      <c r="Q438" s="375" t="s">
        <v>619</v>
      </c>
      <c r="R438" s="696">
        <v>20040204</v>
      </c>
      <c r="S438" s="375" t="s">
        <v>3558</v>
      </c>
      <c r="T438" s="697">
        <v>0.23100000000000001</v>
      </c>
      <c r="U438" s="375" t="s">
        <v>3559</v>
      </c>
      <c r="V438" s="722">
        <v>3.27</v>
      </c>
      <c r="W438" s="722">
        <v>0.52</v>
      </c>
      <c r="X438" s="722">
        <v>0.14000000000000001</v>
      </c>
      <c r="Y438" s="722" t="s">
        <v>770</v>
      </c>
      <c r="Z438" s="382" t="s">
        <v>924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3560</v>
      </c>
      <c r="B439" s="373" t="s">
        <v>3561</v>
      </c>
      <c r="C439" s="372" t="s">
        <v>3562</v>
      </c>
      <c r="D439" s="374">
        <v>1101115399517</v>
      </c>
      <c r="E439" s="372" t="s">
        <v>3563</v>
      </c>
      <c r="F439" s="375" t="s">
        <v>16098</v>
      </c>
      <c r="G439" s="375" t="s">
        <v>16098</v>
      </c>
      <c r="H439" s="375" t="s">
        <v>858</v>
      </c>
      <c r="I439" s="375" t="s">
        <v>859</v>
      </c>
      <c r="J439" s="375">
        <v>619269.70669000002</v>
      </c>
      <c r="K439" s="375">
        <v>25367.707610000001</v>
      </c>
      <c r="L439" s="375">
        <v>20502.360509999999</v>
      </c>
      <c r="M439" s="375">
        <v>402214.65012000001</v>
      </c>
      <c r="N439" s="372">
        <v>0.65</v>
      </c>
      <c r="O439" s="704">
        <v>58.340734294301996</v>
      </c>
      <c r="P439" s="375" t="s">
        <v>619</v>
      </c>
      <c r="Q439" s="372" t="s">
        <v>619</v>
      </c>
      <c r="R439" s="696">
        <v>20140723</v>
      </c>
      <c r="S439" s="372" t="s">
        <v>3564</v>
      </c>
      <c r="T439" s="697">
        <v>0.23100000000000001</v>
      </c>
      <c r="U439" s="375" t="s">
        <v>3565</v>
      </c>
      <c r="V439" s="722">
        <v>13.54</v>
      </c>
      <c r="W439" s="722">
        <v>1.08</v>
      </c>
      <c r="X439" s="722">
        <v>0.72</v>
      </c>
      <c r="Y439" s="722">
        <v>27.94</v>
      </c>
      <c r="Z439" s="382">
        <v>5.6882178411649997E-2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6498.33</v>
      </c>
      <c r="AF439" s="372">
        <v>7172.67</v>
      </c>
      <c r="AG439" s="372">
        <v>7231</v>
      </c>
      <c r="AH439" s="372">
        <v>0</v>
      </c>
    </row>
    <row r="440" spans="1:34">
      <c r="A440" s="372" t="s">
        <v>3566</v>
      </c>
      <c r="B440" s="373" t="s">
        <v>3567</v>
      </c>
      <c r="C440" s="372" t="s">
        <v>3568</v>
      </c>
      <c r="D440" s="374">
        <v>1101110030405</v>
      </c>
      <c r="E440" s="372" t="s">
        <v>3569</v>
      </c>
      <c r="F440" s="375" t="s">
        <v>1320</v>
      </c>
      <c r="G440" s="375" t="s">
        <v>16103</v>
      </c>
      <c r="H440" s="375" t="s">
        <v>781</v>
      </c>
      <c r="I440" s="375" t="s">
        <v>751</v>
      </c>
      <c r="J440" s="375">
        <v>138926.69476000001</v>
      </c>
      <c r="K440" s="375">
        <v>-16047.1468</v>
      </c>
      <c r="L440" s="375">
        <v>-17487.592049999999</v>
      </c>
      <c r="M440" s="375">
        <v>228969.69584999999</v>
      </c>
      <c r="N440" s="372">
        <v>0.72299999999999998</v>
      </c>
      <c r="O440" s="704">
        <v>23.810041401967108</v>
      </c>
      <c r="P440" s="375" t="s">
        <v>619</v>
      </c>
      <c r="Q440" s="372" t="s">
        <v>619</v>
      </c>
      <c r="R440" s="696">
        <v>19880805</v>
      </c>
      <c r="S440" s="372" t="s">
        <v>3570</v>
      </c>
      <c r="T440" s="697" t="s">
        <v>768</v>
      </c>
      <c r="U440" s="375" t="s">
        <v>3571</v>
      </c>
      <c r="V440" s="722" t="s">
        <v>770</v>
      </c>
      <c r="W440" s="722">
        <v>1.55</v>
      </c>
      <c r="X440" s="722">
        <v>2.5499999999999998</v>
      </c>
      <c r="Y440" s="722" t="s">
        <v>770</v>
      </c>
      <c r="Z440" s="382" t="s">
        <v>924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3572</v>
      </c>
      <c r="B441" s="373" t="s">
        <v>3573</v>
      </c>
      <c r="C441" s="372" t="s">
        <v>3574</v>
      </c>
      <c r="D441" s="374">
        <v>1349110012243</v>
      </c>
      <c r="E441" s="372" t="s">
        <v>3575</v>
      </c>
      <c r="F441" s="375" t="s">
        <v>1182</v>
      </c>
      <c r="G441" s="375" t="s">
        <v>1183</v>
      </c>
      <c r="H441" s="375" t="s">
        <v>858</v>
      </c>
      <c r="I441" s="375" t="s">
        <v>859</v>
      </c>
      <c r="J441" s="375">
        <v>178765.58313000001</v>
      </c>
      <c r="K441" s="375">
        <v>18774.682929999999</v>
      </c>
      <c r="L441" s="375">
        <v>19464.489710000002</v>
      </c>
      <c r="M441" s="375">
        <v>320135.06838000001</v>
      </c>
      <c r="N441" s="372">
        <v>1.1910000000000001</v>
      </c>
      <c r="O441" s="704">
        <v>8.218423447251114</v>
      </c>
      <c r="P441" s="375" t="s">
        <v>619</v>
      </c>
      <c r="Q441" s="375" t="s">
        <v>619</v>
      </c>
      <c r="R441" s="696">
        <v>20010814</v>
      </c>
      <c r="S441" s="375" t="s">
        <v>3576</v>
      </c>
      <c r="T441" s="697">
        <v>0.20900000000000002</v>
      </c>
      <c r="U441" s="372" t="s">
        <v>3577</v>
      </c>
      <c r="V441" s="722">
        <v>13.19</v>
      </c>
      <c r="W441" s="722">
        <v>1.03</v>
      </c>
      <c r="X441" s="722">
        <v>1.88</v>
      </c>
      <c r="Y441" s="722">
        <v>15.73</v>
      </c>
      <c r="Z441" s="382">
        <v>8.0846969107780442E-2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1740</v>
      </c>
      <c r="AF441" s="372">
        <v>1910</v>
      </c>
      <c r="AG441" s="372">
        <v>2130</v>
      </c>
      <c r="AH441" s="372">
        <v>0</v>
      </c>
    </row>
    <row r="442" spans="1:34">
      <c r="A442" s="372" t="s">
        <v>3578</v>
      </c>
      <c r="B442" s="373" t="s">
        <v>3579</v>
      </c>
      <c r="C442" s="372" t="s">
        <v>3580</v>
      </c>
      <c r="D442" s="374">
        <v>1101110546006</v>
      </c>
      <c r="E442" s="372" t="s">
        <v>3581</v>
      </c>
      <c r="F442" s="375" t="s">
        <v>1273</v>
      </c>
      <c r="G442" s="375" t="s">
        <v>1449</v>
      </c>
      <c r="H442" s="375" t="s">
        <v>858</v>
      </c>
      <c r="I442" s="375" t="s">
        <v>859</v>
      </c>
      <c r="J442" s="375">
        <v>203907.62330000001</v>
      </c>
      <c r="K442" s="375">
        <v>-13606.51374</v>
      </c>
      <c r="L442" s="375">
        <v>-21140.947960000001</v>
      </c>
      <c r="M442" s="375">
        <v>235225.06426000001</v>
      </c>
      <c r="N442" s="372">
        <v>1.3180000000000001</v>
      </c>
      <c r="O442" s="704">
        <v>52.757399894792854</v>
      </c>
      <c r="P442" s="375" t="s">
        <v>619</v>
      </c>
      <c r="Q442" s="372" t="s">
        <v>619</v>
      </c>
      <c r="R442" s="696">
        <v>20000114</v>
      </c>
      <c r="S442" s="372" t="s">
        <v>3582</v>
      </c>
      <c r="T442" s="697" t="s">
        <v>768</v>
      </c>
      <c r="U442" s="372" t="s">
        <v>3583</v>
      </c>
      <c r="V442" s="722">
        <v>118.68</v>
      </c>
      <c r="W442" s="722">
        <v>1.94</v>
      </c>
      <c r="X442" s="722">
        <v>2.3199999999999998</v>
      </c>
      <c r="Y442" s="722" t="s">
        <v>770</v>
      </c>
      <c r="Z442" s="382" t="s">
        <v>924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3584</v>
      </c>
      <c r="B443" s="373" t="s">
        <v>3585</v>
      </c>
      <c r="C443" s="372" t="s">
        <v>3586</v>
      </c>
      <c r="D443" s="374">
        <v>1101113136383</v>
      </c>
      <c r="E443" s="372" t="s">
        <v>3587</v>
      </c>
      <c r="F443" s="372" t="s">
        <v>3588</v>
      </c>
      <c r="G443" s="375" t="s">
        <v>3589</v>
      </c>
      <c r="H443" s="375" t="s">
        <v>750</v>
      </c>
      <c r="I443" s="375" t="s">
        <v>751</v>
      </c>
      <c r="J443" s="375">
        <v>1011627.53608</v>
      </c>
      <c r="K443" s="375">
        <v>33256.152009999998</v>
      </c>
      <c r="L443" s="375">
        <v>38518.273099999999</v>
      </c>
      <c r="M443" s="375">
        <v>342579.25909000001</v>
      </c>
      <c r="N443" s="372">
        <v>0.81399999999999995</v>
      </c>
      <c r="O443" s="704">
        <v>27.768645703397027</v>
      </c>
      <c r="P443" s="375" t="s">
        <v>619</v>
      </c>
      <c r="Q443" s="375" t="s">
        <v>619</v>
      </c>
      <c r="R443" s="696">
        <v>20120725</v>
      </c>
      <c r="S443" s="375" t="s">
        <v>3590</v>
      </c>
      <c r="T443" s="697">
        <v>0.23100000000000001</v>
      </c>
      <c r="U443" s="372" t="s">
        <v>3591</v>
      </c>
      <c r="V443" s="722">
        <v>4.29</v>
      </c>
      <c r="W443" s="722">
        <v>0.92</v>
      </c>
      <c r="X443" s="722">
        <v>0.33</v>
      </c>
      <c r="Y443" s="722">
        <v>7.69</v>
      </c>
      <c r="Z443" s="382">
        <v>7.7179133098795205E-2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10200.17</v>
      </c>
      <c r="AF443" s="372">
        <v>11155.5</v>
      </c>
      <c r="AG443" s="372">
        <v>12554.4</v>
      </c>
      <c r="AH443" s="372">
        <v>0</v>
      </c>
    </row>
    <row r="444" spans="1:34">
      <c r="A444" s="372" t="s">
        <v>3592</v>
      </c>
      <c r="B444" s="373" t="s">
        <v>3593</v>
      </c>
      <c r="C444" s="372" t="s">
        <v>3594</v>
      </c>
      <c r="D444" s="374">
        <v>1101115891943</v>
      </c>
      <c r="E444" s="372" t="s">
        <v>3595</v>
      </c>
      <c r="F444" s="375" t="s">
        <v>3596</v>
      </c>
      <c r="G444" s="375" t="s">
        <v>3597</v>
      </c>
      <c r="H444" s="375" t="s">
        <v>965</v>
      </c>
      <c r="I444" s="375" t="s">
        <v>751</v>
      </c>
      <c r="J444" s="375">
        <v>1448351.61353</v>
      </c>
      <c r="K444" s="375">
        <v>51207.853920000001</v>
      </c>
      <c r="L444" s="375">
        <v>12195.96127</v>
      </c>
      <c r="M444" s="375">
        <v>539795.08872</v>
      </c>
      <c r="N444" s="372">
        <v>0.41299999999999998</v>
      </c>
      <c r="O444" s="704">
        <v>111.13800239852748</v>
      </c>
      <c r="P444" s="375" t="s">
        <v>619</v>
      </c>
      <c r="Q444" s="372" t="s">
        <v>619</v>
      </c>
      <c r="R444" s="696">
        <v>20161004</v>
      </c>
      <c r="S444" s="375">
        <v>0</v>
      </c>
      <c r="T444" s="697">
        <v>0.20900000000000002</v>
      </c>
      <c r="U444" s="375" t="s">
        <v>3598</v>
      </c>
      <c r="V444" s="722">
        <v>8.1</v>
      </c>
      <c r="W444" s="722">
        <v>1.03</v>
      </c>
      <c r="X444" s="722">
        <v>0.35</v>
      </c>
      <c r="Y444" s="722">
        <v>131.44999999999999</v>
      </c>
      <c r="Z444" s="382">
        <v>0.12888613143292726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15616</v>
      </c>
      <c r="AF444" s="372">
        <v>18094.63</v>
      </c>
      <c r="AG444" s="372">
        <v>19713.29</v>
      </c>
      <c r="AH444" s="372">
        <v>0</v>
      </c>
    </row>
    <row r="445" spans="1:34">
      <c r="A445" s="372" t="s">
        <v>3599</v>
      </c>
      <c r="B445" s="373" t="s">
        <v>3600</v>
      </c>
      <c r="C445" s="372" t="s">
        <v>3601</v>
      </c>
      <c r="D445" s="374">
        <v>1358110090117</v>
      </c>
      <c r="E445" s="372" t="s">
        <v>3602</v>
      </c>
      <c r="F445" s="375" t="s">
        <v>1273</v>
      </c>
      <c r="G445" s="375" t="s">
        <v>1449</v>
      </c>
      <c r="H445" s="375" t="s">
        <v>858</v>
      </c>
      <c r="I445" s="375" t="s">
        <v>859</v>
      </c>
      <c r="J445" s="375">
        <v>1466806.5619300001</v>
      </c>
      <c r="K445" s="375">
        <v>54452.713539999997</v>
      </c>
      <c r="L445" s="375">
        <v>52122.691859999999</v>
      </c>
      <c r="M445" s="375">
        <v>536900.65353999997</v>
      </c>
      <c r="N445" s="372">
        <v>0.66300000000000003</v>
      </c>
      <c r="O445" s="704">
        <v>17.424552638561671</v>
      </c>
      <c r="P445" s="375" t="s">
        <v>619</v>
      </c>
      <c r="Q445" s="375" t="s">
        <v>619</v>
      </c>
      <c r="R445" s="696">
        <v>20061213</v>
      </c>
      <c r="S445" s="375" t="s">
        <v>3603</v>
      </c>
      <c r="T445" s="697">
        <v>0.23100000000000001</v>
      </c>
      <c r="U445" s="375" t="s">
        <v>3604</v>
      </c>
      <c r="V445" s="722">
        <v>4.5199999999999996</v>
      </c>
      <c r="W445" s="722">
        <v>0.76</v>
      </c>
      <c r="X445" s="722">
        <v>0.28999999999999998</v>
      </c>
      <c r="Y445" s="722">
        <v>9.75</v>
      </c>
      <c r="Z445" s="382">
        <v>8.3362220197948256E-2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14488.33</v>
      </c>
      <c r="AF445" s="372">
        <v>15349</v>
      </c>
      <c r="AG445" s="372">
        <v>16150</v>
      </c>
      <c r="AH445" s="372">
        <v>0</v>
      </c>
    </row>
    <row r="446" spans="1:34">
      <c r="A446" s="372" t="s">
        <v>3605</v>
      </c>
      <c r="B446" s="373" t="s">
        <v>3606</v>
      </c>
      <c r="C446" s="372" t="s">
        <v>3607</v>
      </c>
      <c r="D446" s="374">
        <v>1341110036348</v>
      </c>
      <c r="E446" s="372" t="s">
        <v>3608</v>
      </c>
      <c r="F446" s="375" t="s">
        <v>1747</v>
      </c>
      <c r="G446" s="375" t="s">
        <v>1747</v>
      </c>
      <c r="H446" s="375" t="s">
        <v>858</v>
      </c>
      <c r="I446" s="375" t="s">
        <v>859</v>
      </c>
      <c r="J446" s="375">
        <v>387871.13828000001</v>
      </c>
      <c r="K446" s="375">
        <v>56927.019869999996</v>
      </c>
      <c r="L446" s="375">
        <v>57959.14</v>
      </c>
      <c r="M446" s="375">
        <v>452073.61995000002</v>
      </c>
      <c r="N446" s="372">
        <v>0.77100000000000002</v>
      </c>
      <c r="O446" s="704">
        <v>12.644541925844738</v>
      </c>
      <c r="P446" s="375" t="s">
        <v>619</v>
      </c>
      <c r="Q446" s="375" t="s">
        <v>619</v>
      </c>
      <c r="R446" s="696">
        <v>20060929</v>
      </c>
      <c r="S446" s="375" t="s">
        <v>3609</v>
      </c>
      <c r="T446" s="697">
        <v>0.23100000000000001</v>
      </c>
      <c r="U446" s="375" t="s">
        <v>3610</v>
      </c>
      <c r="V446" s="722">
        <v>5.2</v>
      </c>
      <c r="W446" s="722">
        <v>0.82</v>
      </c>
      <c r="X446" s="722">
        <v>0.92</v>
      </c>
      <c r="Y446" s="722">
        <v>8.5399999999999991</v>
      </c>
      <c r="Z446" s="382">
        <v>4.837704448788549E-2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3915.67</v>
      </c>
      <c r="AF446" s="372">
        <v>4260</v>
      </c>
      <c r="AG446" s="372">
        <v>4650.17</v>
      </c>
      <c r="AH446" s="372">
        <v>0</v>
      </c>
    </row>
    <row r="447" spans="1:34">
      <c r="A447" s="372" t="s">
        <v>3611</v>
      </c>
      <c r="B447" s="373" t="s">
        <v>3612</v>
      </c>
      <c r="C447" s="372" t="s">
        <v>3613</v>
      </c>
      <c r="D447" s="374">
        <v>1243110005721</v>
      </c>
      <c r="E447" s="372" t="s">
        <v>3614</v>
      </c>
      <c r="F447" s="375" t="s">
        <v>16098</v>
      </c>
      <c r="G447" s="375" t="s">
        <v>16098</v>
      </c>
      <c r="H447" s="375" t="s">
        <v>858</v>
      </c>
      <c r="I447" s="375" t="s">
        <v>859</v>
      </c>
      <c r="J447" s="375">
        <v>28664.00362</v>
      </c>
      <c r="K447" s="375">
        <v>-5310.7422500000002</v>
      </c>
      <c r="L447" s="375">
        <v>-5524.9401099999995</v>
      </c>
      <c r="M447" s="375">
        <v>64115.763379999997</v>
      </c>
      <c r="N447" s="372">
        <v>0.63400000000000001</v>
      </c>
      <c r="O447" s="704">
        <v>0.13407039160573669</v>
      </c>
      <c r="P447" s="375" t="s">
        <v>619</v>
      </c>
      <c r="Q447" s="375" t="s">
        <v>619</v>
      </c>
      <c r="R447" s="696">
        <v>19921123</v>
      </c>
      <c r="S447" s="375" t="s">
        <v>3615</v>
      </c>
      <c r="T447" s="697" t="s">
        <v>768</v>
      </c>
      <c r="U447" s="375" t="s">
        <v>3616</v>
      </c>
      <c r="V447" s="722" t="s">
        <v>770</v>
      </c>
      <c r="W447" s="722">
        <v>9.89</v>
      </c>
      <c r="X447" s="722">
        <v>22.06</v>
      </c>
      <c r="Y447" s="722" t="s">
        <v>770</v>
      </c>
      <c r="Z447" s="382" t="s">
        <v>924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3617</v>
      </c>
      <c r="B448" s="373" t="s">
        <v>3618</v>
      </c>
      <c r="C448" s="372" t="s">
        <v>3619</v>
      </c>
      <c r="D448" s="374">
        <v>1355110319406</v>
      </c>
      <c r="E448" s="372" t="s">
        <v>3620</v>
      </c>
      <c r="F448" s="375" t="s">
        <v>3621</v>
      </c>
      <c r="G448" s="375" t="s">
        <v>3621</v>
      </c>
      <c r="H448" s="375" t="s">
        <v>814</v>
      </c>
      <c r="I448" s="375" t="s">
        <v>751</v>
      </c>
      <c r="J448" s="375">
        <v>1005409.52582</v>
      </c>
      <c r="K448" s="375">
        <v>140132.07485</v>
      </c>
      <c r="L448" s="375">
        <v>182686.66808</v>
      </c>
      <c r="M448" s="375">
        <v>1005345.16451</v>
      </c>
      <c r="N448" s="372">
        <v>0.879</v>
      </c>
      <c r="O448" s="704">
        <v>21.899339535276305</v>
      </c>
      <c r="P448" s="375" t="s">
        <v>619</v>
      </c>
      <c r="Q448" s="375" t="s">
        <v>619</v>
      </c>
      <c r="R448" s="696">
        <v>20180111</v>
      </c>
      <c r="S448" s="375" t="s">
        <v>3622</v>
      </c>
      <c r="T448" s="697">
        <v>0.23100000000000001</v>
      </c>
      <c r="U448" s="375" t="s">
        <v>3267</v>
      </c>
      <c r="V448" s="722">
        <v>3.26</v>
      </c>
      <c r="W448" s="722">
        <v>0.56999999999999995</v>
      </c>
      <c r="X448" s="722">
        <v>0.52</v>
      </c>
      <c r="Y448" s="722">
        <v>4.05</v>
      </c>
      <c r="Z448" s="382" t="s">
        <v>924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3623</v>
      </c>
      <c r="B449" s="373" t="s">
        <v>3624</v>
      </c>
      <c r="C449" s="372" t="s">
        <v>3625</v>
      </c>
      <c r="D449" s="374">
        <v>1346110009460</v>
      </c>
      <c r="E449" s="372" t="s">
        <v>3626</v>
      </c>
      <c r="F449" s="375" t="s">
        <v>1182</v>
      </c>
      <c r="G449" s="375" t="s">
        <v>1183</v>
      </c>
      <c r="H449" s="375" t="s">
        <v>858</v>
      </c>
      <c r="I449" s="375" t="s">
        <v>859</v>
      </c>
      <c r="J449" s="375">
        <v>292304.99660999997</v>
      </c>
      <c r="K449" s="375">
        <v>20846.53499</v>
      </c>
      <c r="L449" s="375">
        <v>21860.156800000001</v>
      </c>
      <c r="M449" s="375">
        <v>244534.81460000001</v>
      </c>
      <c r="N449" s="372">
        <v>1.593</v>
      </c>
      <c r="O449" s="704">
        <v>0.87103561197121626</v>
      </c>
      <c r="P449" s="375" t="s">
        <v>619</v>
      </c>
      <c r="Q449" s="375" t="s">
        <v>619</v>
      </c>
      <c r="R449" s="696">
        <v>20020226</v>
      </c>
      <c r="S449" s="375" t="s">
        <v>3627</v>
      </c>
      <c r="T449" s="697">
        <v>0.23100000000000001</v>
      </c>
      <c r="U449" s="375" t="s">
        <v>15852</v>
      </c>
      <c r="V449" s="722">
        <v>13.57</v>
      </c>
      <c r="W449" s="722">
        <v>1.3</v>
      </c>
      <c r="X449" s="722">
        <v>1.1599999999999999</v>
      </c>
      <c r="Y449" s="722">
        <v>17.34</v>
      </c>
      <c r="Z449" s="382">
        <v>0.15846053628859069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3462.67</v>
      </c>
      <c r="AF449" s="372">
        <v>5543</v>
      </c>
      <c r="AG449" s="372">
        <v>5753.67</v>
      </c>
      <c r="AH449" s="372">
        <v>8440</v>
      </c>
    </row>
    <row r="450" spans="1:34">
      <c r="A450" s="372" t="s">
        <v>3628</v>
      </c>
      <c r="B450" s="373" t="s">
        <v>3629</v>
      </c>
      <c r="C450" s="372" t="s">
        <v>3630</v>
      </c>
      <c r="D450" s="374">
        <v>1101112276809</v>
      </c>
      <c r="E450" s="372" t="s">
        <v>3631</v>
      </c>
      <c r="F450" s="375" t="s">
        <v>3215</v>
      </c>
      <c r="G450" s="375" t="s">
        <v>3215</v>
      </c>
      <c r="H450" s="375" t="s">
        <v>809</v>
      </c>
      <c r="I450" s="375" t="s">
        <v>751</v>
      </c>
      <c r="J450" s="375">
        <v>5988989.5877700001</v>
      </c>
      <c r="K450" s="375">
        <v>135464.65195999999</v>
      </c>
      <c r="L450" s="375">
        <v>91467.919680000006</v>
      </c>
      <c r="M450" s="375">
        <v>3188258.6081099999</v>
      </c>
      <c r="N450" s="372">
        <v>0.45</v>
      </c>
      <c r="O450" s="704">
        <v>452.99255657241736</v>
      </c>
      <c r="P450" s="375" t="s">
        <v>619</v>
      </c>
      <c r="Q450" s="375" t="s">
        <v>619</v>
      </c>
      <c r="R450" s="696">
        <v>20010730</v>
      </c>
      <c r="S450" s="375" t="s">
        <v>3632</v>
      </c>
      <c r="T450" s="697">
        <v>0.23100000000000001</v>
      </c>
      <c r="U450" s="372" t="s">
        <v>3633</v>
      </c>
      <c r="V450" s="722">
        <v>9.92</v>
      </c>
      <c r="W450" s="722">
        <v>0.18</v>
      </c>
      <c r="X450" s="722">
        <v>7.0000000000000007E-2</v>
      </c>
      <c r="Y450" s="722">
        <v>8.17</v>
      </c>
      <c r="Z450" s="382" t="s">
        <v>924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3634</v>
      </c>
      <c r="B451" s="373" t="s">
        <v>3635</v>
      </c>
      <c r="C451" s="372" t="s">
        <v>3636</v>
      </c>
      <c r="D451" s="374">
        <v>1101110531578</v>
      </c>
      <c r="E451" s="372" t="s">
        <v>3637</v>
      </c>
      <c r="F451" s="375" t="s">
        <v>1534</v>
      </c>
      <c r="G451" s="375" t="s">
        <v>3638</v>
      </c>
      <c r="H451" s="375" t="s">
        <v>1536</v>
      </c>
      <c r="I451" s="375" t="s">
        <v>751</v>
      </c>
      <c r="J451" s="375">
        <v>1502543.6844500001</v>
      </c>
      <c r="K451" s="375">
        <v>74160.781019999995</v>
      </c>
      <c r="L451" s="375">
        <v>72168.55528</v>
      </c>
      <c r="M451" s="375">
        <v>1392721.8107499999</v>
      </c>
      <c r="N451" s="372">
        <v>0.79900000000000004</v>
      </c>
      <c r="O451" s="704">
        <v>50.959069443825754</v>
      </c>
      <c r="P451" s="375" t="s">
        <v>619</v>
      </c>
      <c r="Q451" s="375" t="s">
        <v>619</v>
      </c>
      <c r="R451" s="696">
        <v>19960703</v>
      </c>
      <c r="S451" s="375" t="s">
        <v>3639</v>
      </c>
      <c r="T451" s="697">
        <v>0.23100000000000001</v>
      </c>
      <c r="U451" s="375" t="s">
        <v>3640</v>
      </c>
      <c r="V451" s="722">
        <v>3.08</v>
      </c>
      <c r="W451" s="722">
        <v>0.27</v>
      </c>
      <c r="X451" s="722">
        <v>0.26</v>
      </c>
      <c r="Y451" s="722">
        <v>7.19</v>
      </c>
      <c r="Z451" s="382">
        <v>1.4923894756924794E-2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15098</v>
      </c>
      <c r="AF451" s="372">
        <v>15691.56</v>
      </c>
      <c r="AG451" s="372">
        <v>16219.57</v>
      </c>
      <c r="AH451" s="372">
        <v>0</v>
      </c>
    </row>
    <row r="452" spans="1:34">
      <c r="A452" s="372" t="s">
        <v>3641</v>
      </c>
      <c r="B452" s="373" t="s">
        <v>3642</v>
      </c>
      <c r="C452" s="372" t="s">
        <v>3643</v>
      </c>
      <c r="D452" s="374">
        <v>1348110324294</v>
      </c>
      <c r="E452" s="372" t="s">
        <v>3644</v>
      </c>
      <c r="F452" s="375" t="s">
        <v>1052</v>
      </c>
      <c r="G452" s="375" t="s">
        <v>16101</v>
      </c>
      <c r="H452" s="375" t="s">
        <v>781</v>
      </c>
      <c r="I452" s="375" t="s">
        <v>751</v>
      </c>
      <c r="J452" s="375">
        <v>99805.535210000002</v>
      </c>
      <c r="K452" s="375">
        <v>11518.456319999999</v>
      </c>
      <c r="L452" s="375">
        <v>-28857.004420000001</v>
      </c>
      <c r="M452" s="375">
        <v>1589470.7556100001</v>
      </c>
      <c r="N452" s="372">
        <v>0.93899999999999995</v>
      </c>
      <c r="O452" s="704">
        <v>0.80542874213892757</v>
      </c>
      <c r="P452" s="375" t="s">
        <v>619</v>
      </c>
      <c r="Q452" s="375" t="s">
        <v>619</v>
      </c>
      <c r="R452" s="696">
        <v>20221222</v>
      </c>
      <c r="S452" s="375" t="s">
        <v>3645</v>
      </c>
      <c r="T452" s="697" t="s">
        <v>768</v>
      </c>
      <c r="U452" s="375" t="s">
        <v>3646</v>
      </c>
      <c r="V452" s="722">
        <v>23.62</v>
      </c>
      <c r="W452" s="722">
        <v>0.28999999999999998</v>
      </c>
      <c r="X452" s="722">
        <v>4.66</v>
      </c>
      <c r="Y452" s="722">
        <v>11.53</v>
      </c>
      <c r="Z452" s="382">
        <v>0.21250413875082752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1136</v>
      </c>
      <c r="AF452" s="372">
        <v>1505</v>
      </c>
      <c r="AG452" s="372">
        <v>1947</v>
      </c>
      <c r="AH452" s="372">
        <v>0</v>
      </c>
    </row>
    <row r="453" spans="1:34">
      <c r="A453" s="372" t="s">
        <v>3647</v>
      </c>
      <c r="B453" s="373" t="s">
        <v>3648</v>
      </c>
      <c r="C453" s="372" t="s">
        <v>3649</v>
      </c>
      <c r="D453" s="374">
        <v>1301110026749</v>
      </c>
      <c r="E453" s="372" t="s">
        <v>3650</v>
      </c>
      <c r="F453" s="372" t="s">
        <v>995</v>
      </c>
      <c r="G453" s="375" t="s">
        <v>996</v>
      </c>
      <c r="H453" s="375" t="s">
        <v>750</v>
      </c>
      <c r="I453" s="375" t="s">
        <v>751</v>
      </c>
      <c r="J453" s="375">
        <v>1384133.54877</v>
      </c>
      <c r="K453" s="375">
        <v>-32195.824120000001</v>
      </c>
      <c r="L453" s="375">
        <v>-35391.250679999997</v>
      </c>
      <c r="M453" s="375">
        <v>733648.06961999997</v>
      </c>
      <c r="N453" s="372">
        <v>1.359</v>
      </c>
      <c r="O453" s="704">
        <v>113.96490191817425</v>
      </c>
      <c r="P453" s="375" t="s">
        <v>619</v>
      </c>
      <c r="Q453" s="375" t="s">
        <v>619</v>
      </c>
      <c r="R453" s="696">
        <v>19850909</v>
      </c>
      <c r="S453" s="375" t="s">
        <v>3651</v>
      </c>
      <c r="T453" s="697" t="s">
        <v>768</v>
      </c>
      <c r="U453" s="375" t="s">
        <v>3652</v>
      </c>
      <c r="V453" s="722">
        <v>8.56</v>
      </c>
      <c r="W453" s="722">
        <v>0.68</v>
      </c>
      <c r="X453" s="722">
        <v>0.22</v>
      </c>
      <c r="Y453" s="722" t="s">
        <v>770</v>
      </c>
      <c r="Z453" s="382">
        <v>6.7691654828506254E-2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14728.33</v>
      </c>
      <c r="AF453" s="372">
        <v>15967.67</v>
      </c>
      <c r="AG453" s="372">
        <v>17312.669999999998</v>
      </c>
      <c r="AH453" s="372">
        <v>0</v>
      </c>
    </row>
    <row r="454" spans="1:34">
      <c r="A454" s="372" t="s">
        <v>3653</v>
      </c>
      <c r="B454" s="373" t="s">
        <v>3654</v>
      </c>
      <c r="C454" s="372" t="s">
        <v>3655</v>
      </c>
      <c r="D454" s="374">
        <v>1311110501435</v>
      </c>
      <c r="E454" s="372" t="s">
        <v>3656</v>
      </c>
      <c r="F454" s="375" t="s">
        <v>1367</v>
      </c>
      <c r="G454" s="375" t="s">
        <v>1367</v>
      </c>
      <c r="H454" s="375" t="s">
        <v>858</v>
      </c>
      <c r="I454" s="375" t="s">
        <v>859</v>
      </c>
      <c r="J454" s="375">
        <v>26966.742340000001</v>
      </c>
      <c r="K454" s="375">
        <v>-10431.733819999999</v>
      </c>
      <c r="L454" s="375">
        <v>-9624.8500499999991</v>
      </c>
      <c r="M454" s="375">
        <v>67313.831510000004</v>
      </c>
      <c r="N454" s="372">
        <v>1.3169999999999999</v>
      </c>
      <c r="O454" s="704">
        <v>7.0056664179997963</v>
      </c>
      <c r="P454" s="375" t="s">
        <v>619</v>
      </c>
      <c r="Q454" s="375" t="s">
        <v>619</v>
      </c>
      <c r="R454" s="696">
        <v>20220926</v>
      </c>
      <c r="S454" s="375" t="s">
        <v>3657</v>
      </c>
      <c r="T454" s="697" t="s">
        <v>768</v>
      </c>
      <c r="U454" s="375" t="s">
        <v>3658</v>
      </c>
      <c r="V454" s="722" t="s">
        <v>770</v>
      </c>
      <c r="W454" s="722">
        <v>4.88</v>
      </c>
      <c r="X454" s="722">
        <v>10.9</v>
      </c>
      <c r="Y454" s="722" t="s">
        <v>770</v>
      </c>
      <c r="Z454" s="382">
        <v>0.45471490136956372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289.33</v>
      </c>
      <c r="AF454" s="372">
        <v>541.66999999999996</v>
      </c>
      <c r="AG454" s="372">
        <v>877.5</v>
      </c>
      <c r="AH454" s="372">
        <v>0</v>
      </c>
    </row>
    <row r="455" spans="1:34">
      <c r="A455" s="372" t="s">
        <v>3659</v>
      </c>
      <c r="B455" s="373" t="s">
        <v>3660</v>
      </c>
      <c r="C455" s="372" t="s">
        <v>3661</v>
      </c>
      <c r="D455" s="374">
        <v>1101117221677</v>
      </c>
      <c r="E455" s="372" t="s">
        <v>3662</v>
      </c>
      <c r="F455" s="375" t="s">
        <v>1747</v>
      </c>
      <c r="G455" s="375" t="s">
        <v>1747</v>
      </c>
      <c r="H455" s="375" t="s">
        <v>858</v>
      </c>
      <c r="I455" s="375" t="s">
        <v>859</v>
      </c>
      <c r="J455" s="375">
        <v>52006.657859999999</v>
      </c>
      <c r="K455" s="375">
        <v>30867.716479999999</v>
      </c>
      <c r="L455" s="375">
        <v>32368.065739999998</v>
      </c>
      <c r="M455" s="375">
        <v>78551.519310000003</v>
      </c>
      <c r="N455" s="372">
        <v>0.45200000000000001</v>
      </c>
      <c r="O455" s="704">
        <v>0.16403240137835456</v>
      </c>
      <c r="P455" s="375" t="s">
        <v>619</v>
      </c>
      <c r="Q455" s="372" t="s">
        <v>619</v>
      </c>
      <c r="R455" s="696">
        <v>20191203</v>
      </c>
      <c r="S455" s="375" t="s">
        <v>3663</v>
      </c>
      <c r="T455" s="697">
        <v>0.23100000000000001</v>
      </c>
      <c r="U455" s="375" t="s">
        <v>3664</v>
      </c>
      <c r="V455" s="722">
        <v>0</v>
      </c>
      <c r="W455" s="722">
        <v>0</v>
      </c>
      <c r="X455" s="722">
        <v>0</v>
      </c>
      <c r="Y455" s="722">
        <v>0</v>
      </c>
      <c r="Z455" s="382">
        <v>0.23960647842635363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568</v>
      </c>
      <c r="AF455" s="372">
        <v>767</v>
      </c>
      <c r="AG455" s="372">
        <v>1004</v>
      </c>
      <c r="AH455" s="372">
        <v>0</v>
      </c>
    </row>
    <row r="456" spans="1:34">
      <c r="A456" s="372" t="s">
        <v>3665</v>
      </c>
      <c r="B456" s="373" t="s">
        <v>3666</v>
      </c>
      <c r="C456" s="372" t="s">
        <v>3667</v>
      </c>
      <c r="D456" s="374">
        <v>1601110105498</v>
      </c>
      <c r="E456" s="372" t="s">
        <v>3668</v>
      </c>
      <c r="F456" s="372" t="s">
        <v>3669</v>
      </c>
      <c r="G456" s="375" t="s">
        <v>3669</v>
      </c>
      <c r="H456" s="375" t="s">
        <v>1334</v>
      </c>
      <c r="I456" s="375" t="s">
        <v>859</v>
      </c>
      <c r="J456" s="375">
        <v>2199.56079</v>
      </c>
      <c r="K456" s="375">
        <v>-14655.329159999999</v>
      </c>
      <c r="L456" s="375">
        <v>-10758.173150000001</v>
      </c>
      <c r="M456" s="375">
        <v>124334.29325</v>
      </c>
      <c r="N456" s="372">
        <v>0.73199999999999998</v>
      </c>
      <c r="O456" s="704">
        <v>0.51577600298923487</v>
      </c>
      <c r="P456" s="375" t="s">
        <v>619</v>
      </c>
      <c r="Q456" s="375" t="s">
        <v>619</v>
      </c>
      <c r="R456" s="696">
        <v>20160719</v>
      </c>
      <c r="S456" s="375" t="s">
        <v>3670</v>
      </c>
      <c r="T456" s="697" t="s">
        <v>768</v>
      </c>
      <c r="U456" s="372" t="s">
        <v>3671</v>
      </c>
      <c r="V456" s="722" t="s">
        <v>770</v>
      </c>
      <c r="W456" s="722">
        <v>2.87</v>
      </c>
      <c r="X456" s="722">
        <v>168.36</v>
      </c>
      <c r="Y456" s="722" t="s">
        <v>770</v>
      </c>
      <c r="Z456" s="382">
        <v>0.78242580709974874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39</v>
      </c>
      <c r="AF456" s="372">
        <v>195</v>
      </c>
      <c r="AG456" s="372">
        <v>345</v>
      </c>
      <c r="AH456" s="372">
        <v>0</v>
      </c>
    </row>
    <row r="457" spans="1:34">
      <c r="A457" s="372" t="s">
        <v>3672</v>
      </c>
      <c r="B457" s="373" t="s">
        <v>3673</v>
      </c>
      <c r="C457" s="372" t="s">
        <v>3674</v>
      </c>
      <c r="D457" s="374">
        <v>1101115455476</v>
      </c>
      <c r="E457" s="372" t="s">
        <v>3675</v>
      </c>
      <c r="F457" s="375" t="s">
        <v>2989</v>
      </c>
      <c r="G457" s="375" t="s">
        <v>2989</v>
      </c>
      <c r="H457" s="375" t="s">
        <v>789</v>
      </c>
      <c r="I457" s="375" t="s">
        <v>751</v>
      </c>
      <c r="J457" s="375">
        <v>3946524.9372399999</v>
      </c>
      <c r="K457" s="375">
        <v>196041.56385000001</v>
      </c>
      <c r="L457" s="375">
        <v>179819.62907</v>
      </c>
      <c r="M457" s="375">
        <v>1046742.82051</v>
      </c>
      <c r="N457" s="372">
        <v>1.5509999999999999</v>
      </c>
      <c r="O457" s="704">
        <v>184.75094797297254</v>
      </c>
      <c r="P457" s="375" t="s">
        <v>619</v>
      </c>
      <c r="Q457" s="372" t="s">
        <v>619</v>
      </c>
      <c r="R457" s="696">
        <v>20140808</v>
      </c>
      <c r="S457" s="372" t="s">
        <v>3676</v>
      </c>
      <c r="T457" s="697">
        <v>0.23100000000000001</v>
      </c>
      <c r="U457" s="372" t="s">
        <v>3677</v>
      </c>
      <c r="V457" s="722">
        <v>2.64</v>
      </c>
      <c r="W457" s="722">
        <v>0.39</v>
      </c>
      <c r="X457" s="722">
        <v>0.1</v>
      </c>
      <c r="Y457" s="722">
        <v>2.91</v>
      </c>
      <c r="Z457" s="382">
        <v>5.9328237750515544E-2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39850</v>
      </c>
      <c r="AF457" s="372">
        <v>41860</v>
      </c>
      <c r="AG457" s="372">
        <v>45010</v>
      </c>
      <c r="AH457" s="372">
        <v>0</v>
      </c>
    </row>
    <row r="458" spans="1:34">
      <c r="A458" s="372" t="s">
        <v>3678</v>
      </c>
      <c r="B458" s="373" t="s">
        <v>3679</v>
      </c>
      <c r="C458" s="372" t="s">
        <v>3680</v>
      </c>
      <c r="D458" s="374">
        <v>1101110731483</v>
      </c>
      <c r="E458" s="372" t="s">
        <v>3681</v>
      </c>
      <c r="F458" s="375" t="s">
        <v>3682</v>
      </c>
      <c r="G458" s="375" t="s">
        <v>3682</v>
      </c>
      <c r="H458" s="375" t="s">
        <v>814</v>
      </c>
      <c r="I458" s="375" t="s">
        <v>751</v>
      </c>
      <c r="J458" s="375">
        <v>1085628.8326900001</v>
      </c>
      <c r="K458" s="375">
        <v>-8699.8956099999996</v>
      </c>
      <c r="L458" s="375">
        <v>476.02042999999998</v>
      </c>
      <c r="M458" s="375">
        <v>870579.99994000001</v>
      </c>
      <c r="N458" s="372">
        <v>0.68100000000000005</v>
      </c>
      <c r="O458" s="704">
        <v>128.86399653060576</v>
      </c>
      <c r="P458" s="375" t="s">
        <v>619</v>
      </c>
      <c r="Q458" s="372" t="s">
        <v>619</v>
      </c>
      <c r="R458" s="696">
        <v>19990512</v>
      </c>
      <c r="S458" s="372" t="s">
        <v>3683</v>
      </c>
      <c r="T458" s="697">
        <v>0.20900000000000002</v>
      </c>
      <c r="U458" s="375" t="s">
        <v>3684</v>
      </c>
      <c r="V458" s="722">
        <v>11</v>
      </c>
      <c r="W458" s="722">
        <v>0.33</v>
      </c>
      <c r="X458" s="722">
        <v>0.27</v>
      </c>
      <c r="Y458" s="722">
        <v>255.29</v>
      </c>
      <c r="Z458" s="382">
        <v>1.5137033433525904E-2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11007.5</v>
      </c>
      <c r="AF458" s="372">
        <v>10563.5</v>
      </c>
      <c r="AG458" s="372">
        <v>10585</v>
      </c>
      <c r="AH458" s="372">
        <v>0</v>
      </c>
    </row>
    <row r="459" spans="1:34">
      <c r="A459" s="372" t="s">
        <v>3685</v>
      </c>
      <c r="B459" s="373" t="s">
        <v>3686</v>
      </c>
      <c r="C459" s="372" t="s">
        <v>3687</v>
      </c>
      <c r="D459" s="374">
        <v>2052110029832</v>
      </c>
      <c r="E459" s="372" t="s">
        <v>3688</v>
      </c>
      <c r="F459" s="375" t="s">
        <v>1113</v>
      </c>
      <c r="G459" s="375" t="s">
        <v>1333</v>
      </c>
      <c r="H459" s="375" t="s">
        <v>1334</v>
      </c>
      <c r="I459" s="375" t="s">
        <v>859</v>
      </c>
      <c r="J459" s="375">
        <v>0</v>
      </c>
      <c r="K459" s="375">
        <v>0</v>
      </c>
      <c r="L459" s="375">
        <v>0</v>
      </c>
      <c r="M459" s="375">
        <v>75054.24308</v>
      </c>
      <c r="N459" s="372">
        <v>1.319</v>
      </c>
      <c r="O459" s="704">
        <v>0.8289666398975617</v>
      </c>
      <c r="P459" s="375" t="s">
        <v>619</v>
      </c>
      <c r="Q459" s="375" t="s">
        <v>619</v>
      </c>
      <c r="R459" s="696">
        <v>20200922</v>
      </c>
      <c r="S459" s="375" t="s">
        <v>3689</v>
      </c>
      <c r="T459" s="697" t="s">
        <v>768</v>
      </c>
      <c r="U459" s="372" t="s">
        <v>3690</v>
      </c>
      <c r="V459" s="722">
        <v>0</v>
      </c>
      <c r="W459" s="722">
        <v>4.37</v>
      </c>
      <c r="X459" s="722">
        <v>0</v>
      </c>
      <c r="Y459" s="722">
        <v>0</v>
      </c>
      <c r="Z459" s="382" t="s">
        <v>924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3691</v>
      </c>
      <c r="B460" s="373" t="s">
        <v>3692</v>
      </c>
      <c r="C460" s="372" t="s">
        <v>3693</v>
      </c>
      <c r="D460" s="374">
        <v>1545110002355</v>
      </c>
      <c r="E460" s="372" t="s">
        <v>3694</v>
      </c>
      <c r="F460" s="375" t="s">
        <v>3233</v>
      </c>
      <c r="G460" s="375" t="s">
        <v>3233</v>
      </c>
      <c r="H460" s="375" t="s">
        <v>858</v>
      </c>
      <c r="I460" s="375" t="s">
        <v>859</v>
      </c>
      <c r="J460" s="375">
        <v>477988.03862000001</v>
      </c>
      <c r="K460" s="375">
        <v>-38367.117599999998</v>
      </c>
      <c r="L460" s="375">
        <v>-158087.54818000001</v>
      </c>
      <c r="M460" s="375">
        <v>200315.10568000001</v>
      </c>
      <c r="N460" s="372">
        <v>1.23</v>
      </c>
      <c r="O460" s="704">
        <v>244.09099633007645</v>
      </c>
      <c r="P460" s="375" t="s">
        <v>619</v>
      </c>
      <c r="Q460" s="375" t="s">
        <v>619</v>
      </c>
      <c r="R460" s="696">
        <v>19991211</v>
      </c>
      <c r="S460" s="375" t="s">
        <v>3695</v>
      </c>
      <c r="T460" s="697" t="s">
        <v>768</v>
      </c>
      <c r="U460" s="372" t="s">
        <v>3696</v>
      </c>
      <c r="V460" s="722">
        <v>5.76</v>
      </c>
      <c r="W460" s="722">
        <v>1.94</v>
      </c>
      <c r="X460" s="722">
        <v>0.43</v>
      </c>
      <c r="Y460" s="722" t="s">
        <v>770</v>
      </c>
      <c r="Z460" s="382" t="s">
        <v>924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3697</v>
      </c>
      <c r="B461" s="373" t="s">
        <v>3698</v>
      </c>
      <c r="C461" s="372" t="s">
        <v>3699</v>
      </c>
      <c r="D461" s="374">
        <v>1101110398275</v>
      </c>
      <c r="E461" s="372" t="s">
        <v>3700</v>
      </c>
      <c r="F461" s="372" t="s">
        <v>1093</v>
      </c>
      <c r="G461" s="375" t="s">
        <v>1225</v>
      </c>
      <c r="H461" s="375" t="s">
        <v>823</v>
      </c>
      <c r="I461" s="375" t="s">
        <v>751</v>
      </c>
      <c r="J461" s="375">
        <v>683758.21042000002</v>
      </c>
      <c r="K461" s="375">
        <v>55079.992160000002</v>
      </c>
      <c r="L461" s="375">
        <v>49905.546049999997</v>
      </c>
      <c r="M461" s="375">
        <v>394801.89953</v>
      </c>
      <c r="N461" s="372">
        <v>0.29199999999999998</v>
      </c>
      <c r="O461" s="704">
        <v>3.2472215069539554</v>
      </c>
      <c r="P461" s="375" t="s">
        <v>619</v>
      </c>
      <c r="Q461" s="375" t="s">
        <v>619</v>
      </c>
      <c r="R461" s="696">
        <v>20180322</v>
      </c>
      <c r="S461" s="375" t="s">
        <v>3701</v>
      </c>
      <c r="T461" s="697">
        <v>0.23100000000000001</v>
      </c>
      <c r="U461" s="375" t="s">
        <v>3702</v>
      </c>
      <c r="V461" s="722">
        <v>6.92</v>
      </c>
      <c r="W461" s="722">
        <v>1.17</v>
      </c>
      <c r="X461" s="722">
        <v>0.72</v>
      </c>
      <c r="Y461" s="722">
        <v>12.4</v>
      </c>
      <c r="Z461" s="382">
        <v>5.687019580571584E-2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7171.33</v>
      </c>
      <c r="AF461" s="372">
        <v>7735.83</v>
      </c>
      <c r="AG461" s="372">
        <v>8345</v>
      </c>
      <c r="AH461" s="372">
        <v>0</v>
      </c>
    </row>
    <row r="462" spans="1:34">
      <c r="A462" s="372" t="s">
        <v>3703</v>
      </c>
      <c r="B462" s="373" t="s">
        <v>3704</v>
      </c>
      <c r="C462" s="372" t="s">
        <v>3705</v>
      </c>
      <c r="D462" s="374">
        <v>1101110279433</v>
      </c>
      <c r="E462" s="372" t="s">
        <v>3706</v>
      </c>
      <c r="F462" s="375" t="s">
        <v>2100</v>
      </c>
      <c r="G462" s="375" t="s">
        <v>2100</v>
      </c>
      <c r="H462" s="375" t="s">
        <v>852</v>
      </c>
      <c r="I462" s="375" t="s">
        <v>751</v>
      </c>
      <c r="J462" s="375">
        <v>6069453.8479399998</v>
      </c>
      <c r="K462" s="375">
        <v>354776.05904999998</v>
      </c>
      <c r="L462" s="375">
        <v>355143.09555999999</v>
      </c>
      <c r="M462" s="375">
        <v>5112723.5113500003</v>
      </c>
      <c r="N462" s="372">
        <v>0.70899999999999996</v>
      </c>
      <c r="O462" s="704">
        <v>764.11111901643415</v>
      </c>
      <c r="P462" s="375" t="s">
        <v>619</v>
      </c>
      <c r="Q462" s="375" t="s">
        <v>619</v>
      </c>
      <c r="R462" s="696">
        <v>19961016</v>
      </c>
      <c r="S462" s="375" t="s">
        <v>851</v>
      </c>
      <c r="T462" s="697">
        <v>0.26400000000000001</v>
      </c>
      <c r="U462" s="375" t="s">
        <v>3707</v>
      </c>
      <c r="V462" s="722">
        <v>13.15</v>
      </c>
      <c r="W462" s="722">
        <v>0.23</v>
      </c>
      <c r="X462" s="722">
        <v>0.11</v>
      </c>
      <c r="Y462" s="722">
        <v>4.96</v>
      </c>
      <c r="Z462" s="382" t="s">
        <v>924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3708</v>
      </c>
      <c r="B463" s="373" t="s">
        <v>3709</v>
      </c>
      <c r="C463" s="372" t="s">
        <v>3710</v>
      </c>
      <c r="D463" s="374">
        <v>1101116139277</v>
      </c>
      <c r="E463" s="372" t="s">
        <v>3711</v>
      </c>
      <c r="F463" s="375" t="s">
        <v>1320</v>
      </c>
      <c r="G463" s="375" t="s">
        <v>16103</v>
      </c>
      <c r="H463" s="375" t="s">
        <v>781</v>
      </c>
      <c r="I463" s="375" t="s">
        <v>751</v>
      </c>
      <c r="J463" s="375">
        <v>610282.10273000004</v>
      </c>
      <c r="K463" s="375">
        <v>1839.1644899999999</v>
      </c>
      <c r="L463" s="375">
        <v>-16261.99279</v>
      </c>
      <c r="M463" s="375">
        <v>157432.29246</v>
      </c>
      <c r="N463" s="372">
        <v>0.92700000000000005</v>
      </c>
      <c r="O463" s="704">
        <v>52.968673357439279</v>
      </c>
      <c r="P463" s="375" t="s">
        <v>619</v>
      </c>
      <c r="Q463" s="372" t="s">
        <v>619</v>
      </c>
      <c r="R463" s="696">
        <v>20160831</v>
      </c>
      <c r="S463" s="372" t="s">
        <v>3712</v>
      </c>
      <c r="T463" s="697" t="s">
        <v>768</v>
      </c>
      <c r="U463" s="372" t="s">
        <v>3713</v>
      </c>
      <c r="V463" s="722">
        <v>18.89</v>
      </c>
      <c r="W463" s="722">
        <v>2.4500000000000002</v>
      </c>
      <c r="X463" s="722">
        <v>0.64</v>
      </c>
      <c r="Y463" s="722" t="s">
        <v>770</v>
      </c>
      <c r="Z463" s="382" t="s">
        <v>924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3714</v>
      </c>
      <c r="B464" s="373" t="s">
        <v>3715</v>
      </c>
      <c r="C464" s="372" t="s">
        <v>3716</v>
      </c>
      <c r="D464" s="374">
        <v>1101112577885</v>
      </c>
      <c r="E464" s="372" t="s">
        <v>3717</v>
      </c>
      <c r="F464" s="375" t="s">
        <v>3718</v>
      </c>
      <c r="G464" s="375" t="s">
        <v>3719</v>
      </c>
      <c r="H464" s="375" t="s">
        <v>858</v>
      </c>
      <c r="I464" s="375" t="s">
        <v>859</v>
      </c>
      <c r="J464" s="375">
        <v>672168.45765</v>
      </c>
      <c r="K464" s="375">
        <v>24203.836210000001</v>
      </c>
      <c r="L464" s="375">
        <v>13912.9102</v>
      </c>
      <c r="M464" s="375">
        <v>299341.14442000003</v>
      </c>
      <c r="N464" s="372">
        <v>1.3660000000000001</v>
      </c>
      <c r="O464" s="704">
        <v>67.995036201141502</v>
      </c>
      <c r="P464" s="375" t="s">
        <v>619</v>
      </c>
      <c r="Q464" s="375" t="s">
        <v>619</v>
      </c>
      <c r="R464" s="696">
        <v>20071001</v>
      </c>
      <c r="S464" s="375" t="s">
        <v>3720</v>
      </c>
      <c r="T464" s="697">
        <v>0.20900000000000002</v>
      </c>
      <c r="U464" s="375" t="s">
        <v>3721</v>
      </c>
      <c r="V464" s="722">
        <v>12.07</v>
      </c>
      <c r="W464" s="722">
        <v>1.28</v>
      </c>
      <c r="X464" s="722">
        <v>0.54</v>
      </c>
      <c r="Y464" s="722">
        <v>44.82</v>
      </c>
      <c r="Z464" s="382" t="s">
        <v>924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3722</v>
      </c>
      <c r="B465" s="373" t="s">
        <v>3723</v>
      </c>
      <c r="C465" s="372" t="s">
        <v>3724</v>
      </c>
      <c r="D465" s="374">
        <v>1243110008999</v>
      </c>
      <c r="E465" s="372" t="s">
        <v>3725</v>
      </c>
      <c r="F465" s="375" t="s">
        <v>1300</v>
      </c>
      <c r="G465" s="375" t="s">
        <v>1300</v>
      </c>
      <c r="H465" s="375" t="s">
        <v>823</v>
      </c>
      <c r="I465" s="375" t="s">
        <v>751</v>
      </c>
      <c r="J465" s="375">
        <v>8691179.8432800006</v>
      </c>
      <c r="K465" s="375">
        <v>283558.82834000001</v>
      </c>
      <c r="L465" s="375">
        <v>271919.66252999997</v>
      </c>
      <c r="M465" s="375">
        <v>3785841.8810800002</v>
      </c>
      <c r="N465" s="372">
        <v>0.90200000000000002</v>
      </c>
      <c r="O465" s="704">
        <v>655.96592955272035</v>
      </c>
      <c r="P465" s="375" t="s">
        <v>619</v>
      </c>
      <c r="Q465" s="375" t="s">
        <v>619</v>
      </c>
      <c r="R465" s="696">
        <v>19890825</v>
      </c>
      <c r="S465" s="375" t="s">
        <v>3726</v>
      </c>
      <c r="T465" s="697">
        <v>0.23100000000000001</v>
      </c>
      <c r="U465" s="372" t="s">
        <v>3727</v>
      </c>
      <c r="V465" s="722">
        <v>7.59</v>
      </c>
      <c r="W465" s="722">
        <v>0.31</v>
      </c>
      <c r="X465" s="722">
        <v>0.03</v>
      </c>
      <c r="Y465" s="722">
        <v>5</v>
      </c>
      <c r="Z465" s="382" t="s">
        <v>924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3728</v>
      </c>
      <c r="B466" s="373" t="s">
        <v>3729</v>
      </c>
      <c r="C466" s="372" t="s">
        <v>3730</v>
      </c>
      <c r="D466" s="374">
        <v>1348110080937</v>
      </c>
      <c r="E466" s="372" t="s">
        <v>3731</v>
      </c>
      <c r="F466" s="375" t="s">
        <v>2423</v>
      </c>
      <c r="G466" s="375" t="s">
        <v>2424</v>
      </c>
      <c r="H466" s="375" t="s">
        <v>858</v>
      </c>
      <c r="I466" s="375" t="s">
        <v>859</v>
      </c>
      <c r="J466" s="375">
        <v>100936.67296</v>
      </c>
      <c r="K466" s="375">
        <v>-18300.321349999998</v>
      </c>
      <c r="L466" s="375">
        <v>-17690.736550000001</v>
      </c>
      <c r="M466" s="375">
        <v>102632.35180999999</v>
      </c>
      <c r="N466" s="372">
        <v>1.282</v>
      </c>
      <c r="O466" s="704">
        <v>42.74293330418957</v>
      </c>
      <c r="P466" s="375" t="s">
        <v>619</v>
      </c>
      <c r="Q466" s="372" t="s">
        <v>619</v>
      </c>
      <c r="R466" s="696">
        <v>20201125</v>
      </c>
      <c r="S466" s="372" t="s">
        <v>3732</v>
      </c>
      <c r="T466" s="697" t="s">
        <v>768</v>
      </c>
      <c r="U466" s="375" t="s">
        <v>3733</v>
      </c>
      <c r="V466" s="722" t="s">
        <v>770</v>
      </c>
      <c r="W466" s="722">
        <v>2.37</v>
      </c>
      <c r="X466" s="722">
        <v>2.4500000000000002</v>
      </c>
      <c r="Y466" s="722" t="s">
        <v>770</v>
      </c>
      <c r="Z466" s="382">
        <v>0.11486061793993074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1076</v>
      </c>
      <c r="AF466" s="372">
        <v>1528</v>
      </c>
      <c r="AG466" s="372">
        <v>1853</v>
      </c>
      <c r="AH466" s="372">
        <v>0</v>
      </c>
    </row>
    <row r="467" spans="1:34">
      <c r="A467" s="372" t="s">
        <v>3734</v>
      </c>
      <c r="B467" s="373" t="s">
        <v>3735</v>
      </c>
      <c r="C467" s="372" t="s">
        <v>3736</v>
      </c>
      <c r="D467" s="374">
        <v>1101111799513</v>
      </c>
      <c r="E467" s="372" t="s">
        <v>3737</v>
      </c>
      <c r="F467" s="372" t="s">
        <v>1653</v>
      </c>
      <c r="G467" s="375" t="s">
        <v>1653</v>
      </c>
      <c r="H467" s="375" t="s">
        <v>858</v>
      </c>
      <c r="I467" s="375" t="s">
        <v>859</v>
      </c>
      <c r="J467" s="375">
        <v>183461.94930000001</v>
      </c>
      <c r="K467" s="375">
        <v>5714.2235300000002</v>
      </c>
      <c r="L467" s="375">
        <v>634.29888000000005</v>
      </c>
      <c r="M467" s="375">
        <v>212121.46311000001</v>
      </c>
      <c r="N467" s="372">
        <v>1.2110000000000001</v>
      </c>
      <c r="O467" s="704">
        <v>64.065936087584646</v>
      </c>
      <c r="P467" s="375" t="s">
        <v>619</v>
      </c>
      <c r="Q467" s="375" t="s">
        <v>619</v>
      </c>
      <c r="R467" s="696">
        <v>20041208</v>
      </c>
      <c r="S467" s="375" t="s">
        <v>3738</v>
      </c>
      <c r="T467" s="697">
        <v>0.20900000000000002</v>
      </c>
      <c r="U467" s="372" t="s">
        <v>3739</v>
      </c>
      <c r="V467" s="722">
        <v>15.9</v>
      </c>
      <c r="W467" s="722">
        <v>0.98</v>
      </c>
      <c r="X467" s="722">
        <v>1.1599999999999999</v>
      </c>
      <c r="Y467" s="722" t="s">
        <v>770</v>
      </c>
      <c r="Z467" s="382">
        <v>9.1667270876288454E-2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1870.5</v>
      </c>
      <c r="AF467" s="372">
        <v>2066.5</v>
      </c>
      <c r="AG467" s="372">
        <v>2714</v>
      </c>
      <c r="AH467" s="372">
        <v>0</v>
      </c>
    </row>
    <row r="468" spans="1:34">
      <c r="A468" s="372" t="s">
        <v>3740</v>
      </c>
      <c r="B468" s="373" t="s">
        <v>3741</v>
      </c>
      <c r="C468" s="372" t="s">
        <v>3742</v>
      </c>
      <c r="D468" s="374">
        <v>1545110016091</v>
      </c>
      <c r="E468" s="372" t="s">
        <v>3743</v>
      </c>
      <c r="F468" s="372" t="s">
        <v>1093</v>
      </c>
      <c r="G468" s="375" t="s">
        <v>1094</v>
      </c>
      <c r="H468" s="375" t="s">
        <v>858</v>
      </c>
      <c r="I468" s="375" t="s">
        <v>859</v>
      </c>
      <c r="J468" s="375">
        <v>518721.77318000002</v>
      </c>
      <c r="K468" s="375">
        <v>62066.3315</v>
      </c>
      <c r="L468" s="375">
        <v>57642.454559999998</v>
      </c>
      <c r="M468" s="375">
        <v>280785.42693000002</v>
      </c>
      <c r="N468" s="372">
        <v>0.624</v>
      </c>
      <c r="O468" s="704">
        <v>13.636493117507012</v>
      </c>
      <c r="P468" s="375" t="s">
        <v>619</v>
      </c>
      <c r="Q468" s="375" t="s">
        <v>619</v>
      </c>
      <c r="R468" s="696">
        <v>20161028</v>
      </c>
      <c r="S468" s="375" t="s">
        <v>3744</v>
      </c>
      <c r="T468" s="697">
        <v>0.23100000000000001</v>
      </c>
      <c r="U468" s="375" t="s">
        <v>3745</v>
      </c>
      <c r="V468" s="722">
        <v>14.08</v>
      </c>
      <c r="W468" s="722">
        <v>4.8600000000000003</v>
      </c>
      <c r="X468" s="722">
        <v>1.89</v>
      </c>
      <c r="Y468" s="722">
        <v>27.5</v>
      </c>
      <c r="Z468" s="382">
        <v>0.11274322169273665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5413.88</v>
      </c>
      <c r="AF468" s="372">
        <v>6341.25</v>
      </c>
      <c r="AG468" s="372">
        <v>7216.75</v>
      </c>
      <c r="AH468" s="372">
        <v>9620</v>
      </c>
    </row>
    <row r="469" spans="1:34">
      <c r="A469" s="372" t="s">
        <v>3746</v>
      </c>
      <c r="B469" s="373" t="s">
        <v>3747</v>
      </c>
      <c r="C469" s="372" t="s">
        <v>3748</v>
      </c>
      <c r="D469" s="374">
        <v>1101113487546</v>
      </c>
      <c r="E469" s="372" t="s">
        <v>3749</v>
      </c>
      <c r="F469" s="375" t="s">
        <v>1653</v>
      </c>
      <c r="G469" s="375" t="s">
        <v>1653</v>
      </c>
      <c r="H469" s="375" t="s">
        <v>858</v>
      </c>
      <c r="I469" s="375" t="s">
        <v>859</v>
      </c>
      <c r="J469" s="375">
        <v>139690.36900000001</v>
      </c>
      <c r="K469" s="375">
        <v>22800.2709</v>
      </c>
      <c r="L469" s="375">
        <v>19467.618289999999</v>
      </c>
      <c r="M469" s="375">
        <v>73449.555810000005</v>
      </c>
      <c r="N469" s="372">
        <v>0.751</v>
      </c>
      <c r="O469" s="704">
        <v>1.9367332007297264</v>
      </c>
      <c r="P469" s="375" t="s">
        <v>619</v>
      </c>
      <c r="Q469" s="375" t="s">
        <v>619</v>
      </c>
      <c r="R469" s="696">
        <v>20150630</v>
      </c>
      <c r="S469" s="375" t="s">
        <v>3750</v>
      </c>
      <c r="T469" s="697">
        <v>0.20900000000000002</v>
      </c>
      <c r="U469" s="375" t="s">
        <v>3751</v>
      </c>
      <c r="V469" s="722">
        <v>0</v>
      </c>
      <c r="W469" s="722">
        <v>0</v>
      </c>
      <c r="X469" s="722">
        <v>0</v>
      </c>
      <c r="Y469" s="722">
        <v>0</v>
      </c>
      <c r="Z469" s="382" t="s">
        <v>924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3752</v>
      </c>
      <c r="B470" s="373" t="s">
        <v>3753</v>
      </c>
      <c r="C470" s="372" t="s">
        <v>3754</v>
      </c>
      <c r="D470" s="374">
        <v>1101111459191</v>
      </c>
      <c r="E470" s="372" t="s">
        <v>3755</v>
      </c>
      <c r="F470" s="375" t="s">
        <v>1753</v>
      </c>
      <c r="G470" s="375" t="s">
        <v>1754</v>
      </c>
      <c r="H470" s="375" t="s">
        <v>858</v>
      </c>
      <c r="I470" s="375" t="s">
        <v>859</v>
      </c>
      <c r="J470" s="375">
        <v>744062.72852</v>
      </c>
      <c r="K470" s="375">
        <v>-6547.2488499999999</v>
      </c>
      <c r="L470" s="375">
        <v>-3335.1055500000002</v>
      </c>
      <c r="M470" s="375">
        <v>194376.17545000001</v>
      </c>
      <c r="N470" s="372">
        <v>0.60099999999999998</v>
      </c>
      <c r="O470" s="704">
        <v>31.73170095795485</v>
      </c>
      <c r="P470" s="375" t="s">
        <v>619</v>
      </c>
      <c r="Q470" s="375" t="s">
        <v>619</v>
      </c>
      <c r="R470" s="696">
        <v>20030723</v>
      </c>
      <c r="S470" s="375" t="s">
        <v>3756</v>
      </c>
      <c r="T470" s="697" t="s">
        <v>768</v>
      </c>
      <c r="U470" s="372" t="s">
        <v>3757</v>
      </c>
      <c r="V470" s="722">
        <v>14.26</v>
      </c>
      <c r="W470" s="722">
        <v>1.03</v>
      </c>
      <c r="X470" s="722">
        <v>0.27</v>
      </c>
      <c r="Y470" s="722" t="s">
        <v>770</v>
      </c>
      <c r="Z470" s="382" t="s">
        <v>924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3758</v>
      </c>
      <c r="B471" s="373" t="s">
        <v>3759</v>
      </c>
      <c r="C471" s="372" t="s">
        <v>3760</v>
      </c>
      <c r="D471" s="374">
        <v>1101110030710</v>
      </c>
      <c r="E471" s="372" t="s">
        <v>3761</v>
      </c>
      <c r="F471" s="375" t="s">
        <v>2622</v>
      </c>
      <c r="G471" s="375" t="s">
        <v>2623</v>
      </c>
      <c r="H471" s="375" t="s">
        <v>814</v>
      </c>
      <c r="I471" s="375" t="s">
        <v>751</v>
      </c>
      <c r="J471" s="375">
        <v>2034489.90962</v>
      </c>
      <c r="K471" s="375">
        <v>210307.76633000001</v>
      </c>
      <c r="L471" s="375">
        <v>187180.33966</v>
      </c>
      <c r="M471" s="375">
        <v>2028883.7149199999</v>
      </c>
      <c r="N471" s="372">
        <v>0.52200000000000002</v>
      </c>
      <c r="O471" s="704">
        <v>192.06369995129671</v>
      </c>
      <c r="P471" s="375" t="s">
        <v>619</v>
      </c>
      <c r="Q471" s="372" t="s">
        <v>619</v>
      </c>
      <c r="R471" s="696">
        <v>19740603</v>
      </c>
      <c r="S471" s="372" t="s">
        <v>3762</v>
      </c>
      <c r="T471" s="697">
        <v>0.23100000000000001</v>
      </c>
      <c r="U471" s="372" t="s">
        <v>3763</v>
      </c>
      <c r="V471" s="722">
        <v>5.46</v>
      </c>
      <c r="W471" s="722">
        <v>0.46</v>
      </c>
      <c r="X471" s="722">
        <v>0.27</v>
      </c>
      <c r="Y471" s="722">
        <v>6.6</v>
      </c>
      <c r="Z471" s="382" t="s">
        <v>924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3764</v>
      </c>
      <c r="B472" s="373" t="s">
        <v>3765</v>
      </c>
      <c r="C472" s="372" t="s">
        <v>3766</v>
      </c>
      <c r="D472" s="374">
        <v>1101112785355</v>
      </c>
      <c r="E472" s="372" t="s">
        <v>3767</v>
      </c>
      <c r="F472" s="375" t="s">
        <v>16098</v>
      </c>
      <c r="G472" s="375" t="s">
        <v>16098</v>
      </c>
      <c r="H472" s="375" t="s">
        <v>858</v>
      </c>
      <c r="I472" s="375" t="s">
        <v>859</v>
      </c>
      <c r="J472" s="375">
        <v>53478.964220000002</v>
      </c>
      <c r="K472" s="375">
        <v>16128.70544</v>
      </c>
      <c r="L472" s="375">
        <v>22758.954730000001</v>
      </c>
      <c r="M472" s="375">
        <v>142253.66581999999</v>
      </c>
      <c r="N472" s="372">
        <v>0.69299999999999995</v>
      </c>
      <c r="O472" s="704">
        <v>20.78251209564554</v>
      </c>
      <c r="P472" s="375" t="s">
        <v>619</v>
      </c>
      <c r="Q472" s="375" t="s">
        <v>619</v>
      </c>
      <c r="R472" s="696">
        <v>20210927</v>
      </c>
      <c r="S472" s="375" t="s">
        <v>3768</v>
      </c>
      <c r="T472" s="697">
        <v>0.23100000000000001</v>
      </c>
      <c r="U472" s="375" t="s">
        <v>15853</v>
      </c>
      <c r="V472" s="722">
        <v>16.46</v>
      </c>
      <c r="W472" s="722">
        <v>2.2599999999999998</v>
      </c>
      <c r="X472" s="722">
        <v>5.9</v>
      </c>
      <c r="Y472" s="722">
        <v>17.73</v>
      </c>
      <c r="Z472" s="382" t="s">
        <v>924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634</v>
      </c>
      <c r="AF472" s="372">
        <v>789</v>
      </c>
      <c r="AG472" s="372">
        <v>0</v>
      </c>
      <c r="AH472" s="372">
        <v>0</v>
      </c>
    </row>
    <row r="473" spans="1:34">
      <c r="A473" s="372" t="s">
        <v>3769</v>
      </c>
      <c r="B473" s="373" t="s">
        <v>3770</v>
      </c>
      <c r="C473" s="372" t="s">
        <v>3771</v>
      </c>
      <c r="D473" s="374">
        <v>1101110381387</v>
      </c>
      <c r="E473" s="372" t="s">
        <v>3772</v>
      </c>
      <c r="F473" s="375" t="s">
        <v>2037</v>
      </c>
      <c r="G473" s="375" t="s">
        <v>2038</v>
      </c>
      <c r="H473" s="375" t="s">
        <v>843</v>
      </c>
      <c r="I473" s="375" t="s">
        <v>751</v>
      </c>
      <c r="J473" s="375">
        <v>10315455.34038</v>
      </c>
      <c r="K473" s="375">
        <v>154847.83781</v>
      </c>
      <c r="L473" s="375">
        <v>190698.49789999999</v>
      </c>
      <c r="M473" s="375">
        <v>2252529.6587899998</v>
      </c>
      <c r="N473" s="372">
        <v>0.73199999999999998</v>
      </c>
      <c r="O473" s="704">
        <v>660.96994178436955</v>
      </c>
      <c r="P473" s="375" t="s">
        <v>619</v>
      </c>
      <c r="Q473" s="375" t="s">
        <v>619</v>
      </c>
      <c r="R473" s="696">
        <v>19970827</v>
      </c>
      <c r="S473" s="375" t="s">
        <v>3773</v>
      </c>
      <c r="T473" s="697">
        <v>0.23100000000000001</v>
      </c>
      <c r="U473" s="372" t="s">
        <v>3774</v>
      </c>
      <c r="V473" s="722">
        <v>10.62</v>
      </c>
      <c r="W473" s="722">
        <v>0.3</v>
      </c>
      <c r="X473" s="722">
        <v>0.05</v>
      </c>
      <c r="Y473" s="722">
        <v>4.32</v>
      </c>
      <c r="Z473" s="382">
        <v>0.12762148858571076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113835</v>
      </c>
      <c r="AF473" s="372">
        <v>119904</v>
      </c>
      <c r="AG473" s="372">
        <v>126558</v>
      </c>
      <c r="AH473" s="372">
        <v>0</v>
      </c>
    </row>
    <row r="474" spans="1:34">
      <c r="A474" s="372" t="s">
        <v>3775</v>
      </c>
      <c r="B474" s="373" t="s">
        <v>3776</v>
      </c>
      <c r="C474" s="372" t="s">
        <v>3777</v>
      </c>
      <c r="D474" s="374">
        <v>1311110446029</v>
      </c>
      <c r="E474" s="372" t="s">
        <v>3778</v>
      </c>
      <c r="F474" s="372" t="s">
        <v>1320</v>
      </c>
      <c r="G474" s="375" t="s">
        <v>16103</v>
      </c>
      <c r="H474" s="375" t="s">
        <v>858</v>
      </c>
      <c r="I474" s="375" t="s">
        <v>859</v>
      </c>
      <c r="J474" s="375">
        <v>588831.81030000001</v>
      </c>
      <c r="K474" s="375">
        <v>40671.098319999997</v>
      </c>
      <c r="L474" s="375">
        <v>44356.883159999998</v>
      </c>
      <c r="M474" s="375">
        <v>346296.12544999999</v>
      </c>
      <c r="N474" s="372">
        <v>0.73699999999999999</v>
      </c>
      <c r="O474" s="704">
        <v>48.371077599405574</v>
      </c>
      <c r="P474" s="375" t="s">
        <v>619</v>
      </c>
      <c r="Q474" s="375" t="s">
        <v>619</v>
      </c>
      <c r="R474" s="696">
        <v>20160603</v>
      </c>
      <c r="S474" s="375" t="s">
        <v>3779</v>
      </c>
      <c r="T474" s="697">
        <v>0.23100000000000001</v>
      </c>
      <c r="U474" s="375" t="s">
        <v>3780</v>
      </c>
      <c r="V474" s="722">
        <v>7.24</v>
      </c>
      <c r="W474" s="722">
        <v>0.98</v>
      </c>
      <c r="X474" s="722">
        <v>0.57999999999999996</v>
      </c>
      <c r="Y474" s="722">
        <v>9.69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6318</v>
      </c>
      <c r="AF474" s="372">
        <v>6898</v>
      </c>
      <c r="AG474" s="372">
        <v>7476</v>
      </c>
      <c r="AH474" s="372">
        <v>0</v>
      </c>
    </row>
    <row r="475" spans="1:34">
      <c r="A475" s="372" t="s">
        <v>3781</v>
      </c>
      <c r="B475" s="373" t="s">
        <v>3782</v>
      </c>
      <c r="C475" s="372" t="s">
        <v>3783</v>
      </c>
      <c r="D475" s="374">
        <v>1342110002769</v>
      </c>
      <c r="E475" s="372" t="s">
        <v>3784</v>
      </c>
      <c r="F475" s="375" t="s">
        <v>1320</v>
      </c>
      <c r="G475" s="375" t="s">
        <v>16103</v>
      </c>
      <c r="H475" s="375" t="s">
        <v>781</v>
      </c>
      <c r="I475" s="375" t="s">
        <v>751</v>
      </c>
      <c r="J475" s="375">
        <v>286519.24894999998</v>
      </c>
      <c r="K475" s="375">
        <v>54853.973180000001</v>
      </c>
      <c r="L475" s="375">
        <v>31630.36089</v>
      </c>
      <c r="M475" s="375">
        <v>391833.10116999998</v>
      </c>
      <c r="N475" s="372">
        <v>0.77200000000000002</v>
      </c>
      <c r="O475" s="704">
        <v>5.2504383402524217</v>
      </c>
      <c r="P475" s="375" t="s">
        <v>619</v>
      </c>
      <c r="Q475" s="372" t="s">
        <v>619</v>
      </c>
      <c r="R475" s="696">
        <v>19991109</v>
      </c>
      <c r="S475" s="375" t="s">
        <v>3785</v>
      </c>
      <c r="T475" s="697">
        <v>0.23100000000000001</v>
      </c>
      <c r="U475" s="375" t="s">
        <v>3786</v>
      </c>
      <c r="V475" s="722">
        <v>0</v>
      </c>
      <c r="W475" s="722">
        <v>0</v>
      </c>
      <c r="X475" s="722">
        <v>0</v>
      </c>
      <c r="Y475" s="722">
        <v>0</v>
      </c>
      <c r="Z475" s="382" t="s">
        <v>924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3787</v>
      </c>
      <c r="B476" s="373" t="s">
        <v>3788</v>
      </c>
      <c r="C476" s="372" t="s">
        <v>3789</v>
      </c>
      <c r="D476" s="374">
        <v>1101110041634</v>
      </c>
      <c r="E476" s="372" t="s">
        <v>3790</v>
      </c>
      <c r="F476" s="375" t="s">
        <v>1381</v>
      </c>
      <c r="G476" s="375" t="s">
        <v>1382</v>
      </c>
      <c r="H476" s="375" t="s">
        <v>1383</v>
      </c>
      <c r="I476" s="375" t="s">
        <v>751</v>
      </c>
      <c r="J476" s="375">
        <v>382624.92989999999</v>
      </c>
      <c r="K476" s="375">
        <v>-120410.76171999999</v>
      </c>
      <c r="L476" s="375">
        <v>-158440.7916</v>
      </c>
      <c r="M476" s="375">
        <v>44989.613340000004</v>
      </c>
      <c r="N476" s="372">
        <v>1.06</v>
      </c>
      <c r="O476" s="704">
        <v>138.04201167479749</v>
      </c>
      <c r="P476" s="375" t="s">
        <v>619</v>
      </c>
      <c r="Q476" s="375" t="s">
        <v>16113</v>
      </c>
      <c r="R476" s="696">
        <v>19760626</v>
      </c>
      <c r="S476" s="375" t="s">
        <v>3791</v>
      </c>
      <c r="T476" s="697" t="s">
        <v>768</v>
      </c>
      <c r="U476" s="372" t="s">
        <v>3792</v>
      </c>
      <c r="V476" s="722" t="s">
        <v>770</v>
      </c>
      <c r="W476" s="722">
        <v>2.4300000000000002</v>
      </c>
      <c r="X476" s="722">
        <v>0.3</v>
      </c>
      <c r="Y476" s="722" t="s">
        <v>770</v>
      </c>
      <c r="Z476" s="382" t="s">
        <v>924</v>
      </c>
      <c r="AA476" s="372">
        <v>3793.6224562000002</v>
      </c>
      <c r="AB476" s="372">
        <v>3570.4794000000002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3793</v>
      </c>
      <c r="B477" s="373" t="s">
        <v>3794</v>
      </c>
      <c r="C477" s="372" t="s">
        <v>3795</v>
      </c>
      <c r="D477" s="374">
        <v>1101115527168</v>
      </c>
      <c r="E477" s="372" t="s">
        <v>3796</v>
      </c>
      <c r="F477" s="375" t="s">
        <v>1052</v>
      </c>
      <c r="G477" s="375" t="s">
        <v>1052</v>
      </c>
      <c r="H477" s="375" t="s">
        <v>858</v>
      </c>
      <c r="I477" s="375" t="s">
        <v>859</v>
      </c>
      <c r="J477" s="375">
        <v>141862.83804</v>
      </c>
      <c r="K477" s="375">
        <v>30730.966789999999</v>
      </c>
      <c r="L477" s="375">
        <v>32091.914540000002</v>
      </c>
      <c r="M477" s="375">
        <v>223008.20009</v>
      </c>
      <c r="N477" s="372">
        <v>0.745</v>
      </c>
      <c r="O477" s="704">
        <v>1.8564696439876831</v>
      </c>
      <c r="P477" s="375" t="s">
        <v>619</v>
      </c>
      <c r="Q477" s="375" t="s">
        <v>619</v>
      </c>
      <c r="R477" s="696">
        <v>20141229</v>
      </c>
      <c r="S477" s="375" t="s">
        <v>3797</v>
      </c>
      <c r="T477" s="697">
        <v>0.23100000000000001</v>
      </c>
      <c r="U477" s="375" t="s">
        <v>3798</v>
      </c>
      <c r="V477" s="722">
        <v>10.34</v>
      </c>
      <c r="W477" s="722">
        <v>1.69</v>
      </c>
      <c r="X477" s="722">
        <v>2.76</v>
      </c>
      <c r="Y477" s="722">
        <v>14.37</v>
      </c>
      <c r="Z477" s="382">
        <v>0.10833297716041845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1528.67</v>
      </c>
      <c r="AF477" s="372">
        <v>1745</v>
      </c>
      <c r="AG477" s="372">
        <v>2025.33</v>
      </c>
      <c r="AH477" s="372">
        <v>0</v>
      </c>
    </row>
    <row r="478" spans="1:34">
      <c r="A478" s="372" t="s">
        <v>3799</v>
      </c>
      <c r="B478" s="373" t="s">
        <v>3800</v>
      </c>
      <c r="C478" s="372" t="s">
        <v>3801</v>
      </c>
      <c r="D478" s="374">
        <v>1501110198453</v>
      </c>
      <c r="E478" s="372" t="s">
        <v>3802</v>
      </c>
      <c r="F478" s="375" t="s">
        <v>1595</v>
      </c>
      <c r="G478" s="375" t="s">
        <v>16109</v>
      </c>
      <c r="H478" s="375" t="s">
        <v>858</v>
      </c>
      <c r="I478" s="375" t="s">
        <v>859</v>
      </c>
      <c r="J478" s="375">
        <v>280544.48485000001</v>
      </c>
      <c r="K478" s="375">
        <v>15969.16894</v>
      </c>
      <c r="L478" s="375">
        <v>18363.70145</v>
      </c>
      <c r="M478" s="375">
        <v>275419.16339</v>
      </c>
      <c r="N478" s="372">
        <v>1.58</v>
      </c>
      <c r="O478" s="704">
        <v>47.97144293923531</v>
      </c>
      <c r="P478" s="375" t="s">
        <v>619</v>
      </c>
      <c r="Q478" s="375" t="s">
        <v>619</v>
      </c>
      <c r="R478" s="696">
        <v>20230119</v>
      </c>
      <c r="S478" s="375" t="s">
        <v>3803</v>
      </c>
      <c r="T478" s="697">
        <v>0.20900000000000002</v>
      </c>
      <c r="U478" s="372" t="s">
        <v>3804</v>
      </c>
      <c r="V478" s="722">
        <v>9.98</v>
      </c>
      <c r="W478" s="722">
        <v>1.1499999999999999</v>
      </c>
      <c r="X478" s="722">
        <v>0.75</v>
      </c>
      <c r="Y478" s="722">
        <v>16.739999999999998</v>
      </c>
      <c r="Z478" s="382">
        <v>0.19816299334771559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3296</v>
      </c>
      <c r="AF478" s="372">
        <v>4097</v>
      </c>
      <c r="AG478" s="372">
        <v>4138</v>
      </c>
      <c r="AH478" s="372">
        <v>0</v>
      </c>
    </row>
    <row r="479" spans="1:34">
      <c r="A479" s="372" t="s">
        <v>3805</v>
      </c>
      <c r="B479" s="373" t="s">
        <v>3806</v>
      </c>
      <c r="C479" s="372" t="s">
        <v>3807</v>
      </c>
      <c r="D479" s="374">
        <v>1348110319279</v>
      </c>
      <c r="E479" s="372" t="s">
        <v>3808</v>
      </c>
      <c r="F479" s="375" t="s">
        <v>1367</v>
      </c>
      <c r="G479" s="375" t="s">
        <v>1367</v>
      </c>
      <c r="H479" s="375" t="s">
        <v>858</v>
      </c>
      <c r="I479" s="375" t="s">
        <v>859</v>
      </c>
      <c r="J479" s="375">
        <v>23719.75547</v>
      </c>
      <c r="K479" s="375">
        <v>-13244.23972</v>
      </c>
      <c r="L479" s="375">
        <v>-16395.710920000001</v>
      </c>
      <c r="M479" s="375">
        <v>6177.7483300000004</v>
      </c>
      <c r="N479" s="372">
        <v>1.407</v>
      </c>
      <c r="O479" s="704">
        <v>2.8838482989601313</v>
      </c>
      <c r="P479" s="375" t="s">
        <v>619</v>
      </c>
      <c r="Q479" s="375" t="s">
        <v>619</v>
      </c>
      <c r="R479" s="696">
        <v>20210226</v>
      </c>
      <c r="S479" s="375" t="s">
        <v>3809</v>
      </c>
      <c r="T479" s="697" t="s">
        <v>768</v>
      </c>
      <c r="U479" s="375" t="s">
        <v>3810</v>
      </c>
      <c r="V479" s="722" t="s">
        <v>770</v>
      </c>
      <c r="W479" s="722">
        <v>76.099999999999994</v>
      </c>
      <c r="X479" s="722">
        <v>19.82</v>
      </c>
      <c r="Y479" s="722" t="s">
        <v>770</v>
      </c>
      <c r="Z479" s="382">
        <v>0.54362179866159099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287.92</v>
      </c>
      <c r="AF479" s="372">
        <v>484.1</v>
      </c>
      <c r="AG479" s="372">
        <v>753.75</v>
      </c>
      <c r="AH479" s="372">
        <v>0</v>
      </c>
    </row>
    <row r="480" spans="1:34">
      <c r="A480" s="372" t="s">
        <v>3811</v>
      </c>
      <c r="B480" s="373" t="s">
        <v>3812</v>
      </c>
      <c r="C480" s="372" t="s">
        <v>3813</v>
      </c>
      <c r="D480" s="374">
        <v>1101115238096</v>
      </c>
      <c r="E480" s="372" t="s">
        <v>3814</v>
      </c>
      <c r="F480" s="375" t="s">
        <v>1463</v>
      </c>
      <c r="G480" s="375" t="s">
        <v>1464</v>
      </c>
      <c r="H480" s="375" t="s">
        <v>1465</v>
      </c>
      <c r="I480" s="375" t="s">
        <v>751</v>
      </c>
      <c r="J480" s="375">
        <v>1129361.65818</v>
      </c>
      <c r="K480" s="375">
        <v>158159.75477999999</v>
      </c>
      <c r="L480" s="375">
        <v>122161.75573</v>
      </c>
      <c r="M480" s="375">
        <v>1103666.3505800001</v>
      </c>
      <c r="N480" s="372">
        <v>0.6</v>
      </c>
      <c r="O480" s="704">
        <v>182.5200155557587</v>
      </c>
      <c r="P480" s="375" t="s">
        <v>619</v>
      </c>
      <c r="Q480" s="372" t="s">
        <v>619</v>
      </c>
      <c r="R480" s="696">
        <v>20131106</v>
      </c>
      <c r="S480" s="375" t="s">
        <v>3815</v>
      </c>
      <c r="T480" s="697">
        <v>0.23100000000000001</v>
      </c>
      <c r="U480" s="375" t="s">
        <v>3816</v>
      </c>
      <c r="V480" s="722">
        <v>4.1900000000000004</v>
      </c>
      <c r="W480" s="722">
        <v>0.38</v>
      </c>
      <c r="X480" s="722">
        <v>0.37</v>
      </c>
      <c r="Y480" s="722">
        <v>4.3499999999999996</v>
      </c>
      <c r="Z480" s="382">
        <v>-1.1813699427769997E-2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11591.5</v>
      </c>
      <c r="AF480" s="372">
        <v>11202.5</v>
      </c>
      <c r="AG480" s="372">
        <v>11447.25</v>
      </c>
      <c r="AH480" s="372">
        <v>0</v>
      </c>
    </row>
    <row r="481" spans="1:34">
      <c r="A481" s="372" t="s">
        <v>3817</v>
      </c>
      <c r="B481" s="373" t="s">
        <v>3818</v>
      </c>
      <c r="C481" s="372" t="s">
        <v>3819</v>
      </c>
      <c r="D481" s="374">
        <v>1101110092976</v>
      </c>
      <c r="E481" s="372" t="s">
        <v>3820</v>
      </c>
      <c r="F481" s="372" t="s">
        <v>16108</v>
      </c>
      <c r="G481" s="375" t="s">
        <v>16108</v>
      </c>
      <c r="H481" s="375" t="s">
        <v>1313</v>
      </c>
      <c r="I481" s="375" t="s">
        <v>751</v>
      </c>
      <c r="J481" s="375">
        <v>962750.64554000006</v>
      </c>
      <c r="K481" s="375">
        <v>-67265.686040000001</v>
      </c>
      <c r="L481" s="375">
        <v>-63370.092129999997</v>
      </c>
      <c r="M481" s="375">
        <v>646048.53452999995</v>
      </c>
      <c r="N481" s="372">
        <v>0.52200000000000002</v>
      </c>
      <c r="O481" s="704">
        <v>3.068675351941093</v>
      </c>
      <c r="P481" s="375" t="s">
        <v>619</v>
      </c>
      <c r="Q481" s="375" t="s">
        <v>619</v>
      </c>
      <c r="R481" s="696">
        <v>19780624</v>
      </c>
      <c r="S481" s="375" t="s">
        <v>3821</v>
      </c>
      <c r="T481" s="697" t="s">
        <v>768</v>
      </c>
      <c r="U481" s="375" t="s">
        <v>3822</v>
      </c>
      <c r="V481" s="722" t="s">
        <v>770</v>
      </c>
      <c r="W481" s="722">
        <v>0.76</v>
      </c>
      <c r="X481" s="722">
        <v>0.54</v>
      </c>
      <c r="Y481" s="722" t="s">
        <v>770</v>
      </c>
      <c r="Z481" s="382" t="s">
        <v>924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3823</v>
      </c>
      <c r="B482" s="373" t="s">
        <v>3824</v>
      </c>
      <c r="C482" s="372" t="s">
        <v>3825</v>
      </c>
      <c r="D482" s="374">
        <v>1101111401051</v>
      </c>
      <c r="E482" s="372" t="s">
        <v>3826</v>
      </c>
      <c r="F482" s="375" t="s">
        <v>1003</v>
      </c>
      <c r="G482" s="375" t="s">
        <v>1212</v>
      </c>
      <c r="H482" s="375" t="s">
        <v>858</v>
      </c>
      <c r="I482" s="375" t="s">
        <v>859</v>
      </c>
      <c r="J482" s="375">
        <v>72645.083140000002</v>
      </c>
      <c r="K482" s="375">
        <v>-6089.7195400000001</v>
      </c>
      <c r="L482" s="375">
        <v>-13772.76462</v>
      </c>
      <c r="M482" s="375">
        <v>75917.476120000007</v>
      </c>
      <c r="N482" s="372">
        <v>0.71699999999999997</v>
      </c>
      <c r="O482" s="704">
        <v>9.143064336449628</v>
      </c>
      <c r="P482" s="375" t="s">
        <v>619</v>
      </c>
      <c r="Q482" s="375" t="s">
        <v>619</v>
      </c>
      <c r="R482" s="696">
        <v>20090603</v>
      </c>
      <c r="S482" s="375" t="s">
        <v>3827</v>
      </c>
      <c r="T482" s="697" t="s">
        <v>768</v>
      </c>
      <c r="U482" s="375" t="s">
        <v>3828</v>
      </c>
      <c r="V482" s="722" t="s">
        <v>770</v>
      </c>
      <c r="W482" s="722">
        <v>3.92</v>
      </c>
      <c r="X482" s="722">
        <v>4.62</v>
      </c>
      <c r="Y482" s="722" t="s">
        <v>770</v>
      </c>
      <c r="Z482" s="382" t="s">
        <v>924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3829</v>
      </c>
      <c r="B483" s="373" t="s">
        <v>3830</v>
      </c>
      <c r="C483" s="372" t="s">
        <v>3831</v>
      </c>
      <c r="D483" s="374">
        <v>1101111785827</v>
      </c>
      <c r="E483" s="372" t="s">
        <v>3832</v>
      </c>
      <c r="F483" s="375" t="s">
        <v>3669</v>
      </c>
      <c r="G483" s="375" t="s">
        <v>3669</v>
      </c>
      <c r="H483" s="375" t="s">
        <v>1334</v>
      </c>
      <c r="I483" s="375" t="s">
        <v>859</v>
      </c>
      <c r="J483" s="375">
        <v>998.57559000000003</v>
      </c>
      <c r="K483" s="375">
        <v>-20908.29248</v>
      </c>
      <c r="L483" s="375">
        <v>-47760.635670000003</v>
      </c>
      <c r="M483" s="375">
        <v>14897.357379999999</v>
      </c>
      <c r="N483" s="372">
        <v>1.58</v>
      </c>
      <c r="O483" s="704">
        <v>13.917130190177188</v>
      </c>
      <c r="P483" s="375" t="s">
        <v>619</v>
      </c>
      <c r="Q483" s="372" t="s">
        <v>619</v>
      </c>
      <c r="R483" s="696">
        <v>20140625</v>
      </c>
      <c r="S483" s="372" t="s">
        <v>3833</v>
      </c>
      <c r="T483" s="697" t="s">
        <v>768</v>
      </c>
      <c r="U483" s="372" t="s">
        <v>3834</v>
      </c>
      <c r="V483" s="722" t="s">
        <v>770</v>
      </c>
      <c r="W483" s="722">
        <v>30.83</v>
      </c>
      <c r="X483" s="722">
        <v>459.1</v>
      </c>
      <c r="Y483" s="722" t="s">
        <v>770</v>
      </c>
      <c r="Z483" s="382" t="s">
        <v>924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3835</v>
      </c>
      <c r="B484" s="373" t="s">
        <v>3836</v>
      </c>
      <c r="C484" s="372" t="s">
        <v>3837</v>
      </c>
      <c r="D484" s="374">
        <v>1760110020723</v>
      </c>
      <c r="E484" s="372" t="s">
        <v>3838</v>
      </c>
      <c r="F484" s="375" t="s">
        <v>1272</v>
      </c>
      <c r="G484" s="375" t="s">
        <v>1272</v>
      </c>
      <c r="H484" s="375" t="s">
        <v>858</v>
      </c>
      <c r="I484" s="375" t="s">
        <v>859</v>
      </c>
      <c r="J484" s="375">
        <v>288341.52834000002</v>
      </c>
      <c r="K484" s="375">
        <v>64544.415050000003</v>
      </c>
      <c r="L484" s="375">
        <v>65484.515670000001</v>
      </c>
      <c r="M484" s="375">
        <v>283504.63581000001</v>
      </c>
      <c r="N484" s="372">
        <v>1.228</v>
      </c>
      <c r="O484" s="704">
        <v>15.948434584252338</v>
      </c>
      <c r="P484" s="375" t="s">
        <v>619</v>
      </c>
      <c r="Q484" s="375" t="s">
        <v>619</v>
      </c>
      <c r="R484" s="696">
        <v>20080619</v>
      </c>
      <c r="S484" s="375" t="s">
        <v>3839</v>
      </c>
      <c r="T484" s="697">
        <v>0.23100000000000001</v>
      </c>
      <c r="U484" s="372" t="s">
        <v>3840</v>
      </c>
      <c r="V484" s="722">
        <v>4.1100000000000003</v>
      </c>
      <c r="W484" s="722">
        <v>1.1599999999999999</v>
      </c>
      <c r="X484" s="722">
        <v>1.1399999999999999</v>
      </c>
      <c r="Y484" s="722">
        <v>6.28</v>
      </c>
      <c r="Z484" s="382" t="s">
        <v>924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3841</v>
      </c>
      <c r="B485" s="373" t="s">
        <v>3842</v>
      </c>
      <c r="C485" s="372" t="s">
        <v>3843</v>
      </c>
      <c r="D485" s="374">
        <v>1501110093926</v>
      </c>
      <c r="E485" s="372" t="s">
        <v>3844</v>
      </c>
      <c r="F485" s="372" t="s">
        <v>766</v>
      </c>
      <c r="G485" s="375" t="s">
        <v>766</v>
      </c>
      <c r="H485" s="375" t="s">
        <v>858</v>
      </c>
      <c r="I485" s="375" t="s">
        <v>859</v>
      </c>
      <c r="J485" s="375">
        <v>240539.52009000001</v>
      </c>
      <c r="K485" s="375">
        <v>-5970.8371200000001</v>
      </c>
      <c r="L485" s="375">
        <v>-18411.59865</v>
      </c>
      <c r="M485" s="375">
        <v>161438.84464</v>
      </c>
      <c r="N485" s="372">
        <v>1.3959999999999999</v>
      </c>
      <c r="O485" s="704">
        <v>69.296008470815181</v>
      </c>
      <c r="P485" s="375" t="s">
        <v>619</v>
      </c>
      <c r="Q485" s="372" t="s">
        <v>619</v>
      </c>
      <c r="R485" s="696">
        <v>20090605</v>
      </c>
      <c r="S485" s="372" t="s">
        <v>3845</v>
      </c>
      <c r="T485" s="697" t="s">
        <v>768</v>
      </c>
      <c r="U485" s="375" t="s">
        <v>3846</v>
      </c>
      <c r="V485" s="722">
        <v>15.17</v>
      </c>
      <c r="W485" s="722">
        <v>1.62</v>
      </c>
      <c r="X485" s="722">
        <v>0.82</v>
      </c>
      <c r="Y485" s="722" t="s">
        <v>770</v>
      </c>
      <c r="Z485" s="382" t="s">
        <v>924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3847</v>
      </c>
      <c r="B486" s="373" t="s">
        <v>3848</v>
      </c>
      <c r="C486" s="372" t="s">
        <v>3849</v>
      </c>
      <c r="D486" s="374">
        <v>1101110548771</v>
      </c>
      <c r="E486" s="372" t="s">
        <v>3850</v>
      </c>
      <c r="F486" s="375" t="s">
        <v>16097</v>
      </c>
      <c r="G486" s="375" t="s">
        <v>3851</v>
      </c>
      <c r="H486" s="375" t="s">
        <v>858</v>
      </c>
      <c r="I486" s="375" t="s">
        <v>859</v>
      </c>
      <c r="J486" s="375">
        <v>186453.66836000001</v>
      </c>
      <c r="K486" s="375">
        <v>43316.342490000003</v>
      </c>
      <c r="L486" s="375">
        <v>42576.51369</v>
      </c>
      <c r="M486" s="375">
        <v>263213.14117999998</v>
      </c>
      <c r="N486" s="372">
        <v>0.61899999999999999</v>
      </c>
      <c r="O486" s="704">
        <v>0.21625924055265075</v>
      </c>
      <c r="P486" s="375" t="s">
        <v>619</v>
      </c>
      <c r="Q486" s="375" t="s">
        <v>619</v>
      </c>
      <c r="R486" s="696">
        <v>20091028</v>
      </c>
      <c r="S486" s="375" t="s">
        <v>3852</v>
      </c>
      <c r="T486" s="697">
        <v>0.23100000000000001</v>
      </c>
      <c r="U486" s="372" t="s">
        <v>3853</v>
      </c>
      <c r="V486" s="722">
        <v>7.43</v>
      </c>
      <c r="W486" s="722">
        <v>1.58</v>
      </c>
      <c r="X486" s="722">
        <v>2.2799999999999998</v>
      </c>
      <c r="Y486" s="722">
        <v>12.02</v>
      </c>
      <c r="Z486" s="382">
        <v>7.7688379259404083E-2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2002.33</v>
      </c>
      <c r="AF486" s="372">
        <v>2183</v>
      </c>
      <c r="AG486" s="372">
        <v>2377</v>
      </c>
      <c r="AH486" s="372">
        <v>0</v>
      </c>
    </row>
    <row r="487" spans="1:34">
      <c r="A487" s="372" t="s">
        <v>3854</v>
      </c>
      <c r="B487" s="373" t="s">
        <v>3855</v>
      </c>
      <c r="C487" s="372" t="s">
        <v>3856</v>
      </c>
      <c r="D487" s="374">
        <v>1345110623337</v>
      </c>
      <c r="E487" s="372" t="s">
        <v>3857</v>
      </c>
      <c r="F487" s="375" t="s">
        <v>3858</v>
      </c>
      <c r="G487" s="375" t="s">
        <v>3858</v>
      </c>
      <c r="H487" s="375" t="s">
        <v>843</v>
      </c>
      <c r="I487" s="375" t="s">
        <v>751</v>
      </c>
      <c r="J487" s="375">
        <v>2260940.4240000001</v>
      </c>
      <c r="K487" s="375">
        <v>100105.74</v>
      </c>
      <c r="L487" s="375">
        <v>89533.214000000007</v>
      </c>
      <c r="M487" s="375">
        <v>695110.23300000001</v>
      </c>
      <c r="N487" s="372" t="s">
        <v>1023</v>
      </c>
      <c r="O487" s="704">
        <v>7.4580300570000517</v>
      </c>
      <c r="P487" s="375" t="s">
        <v>619</v>
      </c>
      <c r="Q487" s="375" t="s">
        <v>619</v>
      </c>
      <c r="R487" s="696">
        <v>20230410</v>
      </c>
      <c r="S487" s="375" t="s">
        <v>3859</v>
      </c>
      <c r="T487" s="697">
        <v>0.23100000000000001</v>
      </c>
      <c r="U487" s="372" t="s">
        <v>3041</v>
      </c>
      <c r="V487" s="722">
        <v>2.76</v>
      </c>
      <c r="W487" s="722">
        <v>0.57999999999999996</v>
      </c>
      <c r="X487" s="722">
        <v>0.18</v>
      </c>
      <c r="Y487" s="722">
        <v>6.22</v>
      </c>
      <c r="Z487" s="382">
        <v>8.9317070383009289E-2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22996.55</v>
      </c>
      <c r="AF487" s="372">
        <v>24470.95</v>
      </c>
      <c r="AG487" s="372">
        <v>25725</v>
      </c>
      <c r="AH487" s="372">
        <v>0</v>
      </c>
    </row>
    <row r="488" spans="1:34">
      <c r="A488" s="372" t="s">
        <v>3860</v>
      </c>
      <c r="B488" s="373" t="s">
        <v>3861</v>
      </c>
      <c r="C488" s="372" t="s">
        <v>3862</v>
      </c>
      <c r="D488" s="374">
        <v>1701110014936</v>
      </c>
      <c r="E488" s="372" t="s">
        <v>3863</v>
      </c>
      <c r="F488" s="375" t="s">
        <v>1860</v>
      </c>
      <c r="G488" s="375" t="s">
        <v>16110</v>
      </c>
      <c r="H488" s="375" t="s">
        <v>789</v>
      </c>
      <c r="I488" s="375" t="s">
        <v>751</v>
      </c>
      <c r="J488" s="375">
        <v>1699837.0697000001</v>
      </c>
      <c r="K488" s="375">
        <v>57992.78125</v>
      </c>
      <c r="L488" s="375">
        <v>40876.924310000002</v>
      </c>
      <c r="M488" s="375">
        <v>477560.87485999998</v>
      </c>
      <c r="N488" s="372">
        <v>1.3759999999999999</v>
      </c>
      <c r="O488" s="704">
        <v>162.05223254331335</v>
      </c>
      <c r="P488" s="375" t="s">
        <v>619</v>
      </c>
      <c r="Q488" s="375" t="s">
        <v>619</v>
      </c>
      <c r="R488" s="696">
        <v>19940114</v>
      </c>
      <c r="S488" s="375" t="s">
        <v>3864</v>
      </c>
      <c r="T488" s="697">
        <v>0.23100000000000001</v>
      </c>
      <c r="U488" s="375" t="s">
        <v>3865</v>
      </c>
      <c r="V488" s="722">
        <v>5.34</v>
      </c>
      <c r="W488" s="722">
        <v>0.66</v>
      </c>
      <c r="X488" s="722">
        <v>0.19</v>
      </c>
      <c r="Y488" s="722">
        <v>8.75</v>
      </c>
      <c r="Z488" s="382">
        <v>5.7881199280759299E-2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18199</v>
      </c>
      <c r="AF488" s="372">
        <v>20245</v>
      </c>
      <c r="AG488" s="372">
        <v>22578</v>
      </c>
      <c r="AH488" s="372">
        <v>26810</v>
      </c>
    </row>
    <row r="489" spans="1:34">
      <c r="A489" s="372" t="s">
        <v>3866</v>
      </c>
      <c r="B489" s="373" t="s">
        <v>3867</v>
      </c>
      <c r="C489" s="372" t="s">
        <v>3868</v>
      </c>
      <c r="D489" s="374">
        <v>2841110112915</v>
      </c>
      <c r="E489" s="372" t="s">
        <v>3869</v>
      </c>
      <c r="F489" s="375" t="s">
        <v>1287</v>
      </c>
      <c r="G489" s="375" t="s">
        <v>1287</v>
      </c>
      <c r="H489" s="375" t="s">
        <v>858</v>
      </c>
      <c r="I489" s="375" t="s">
        <v>859</v>
      </c>
      <c r="J489" s="375">
        <v>23829.723549999999</v>
      </c>
      <c r="K489" s="375">
        <v>-21404.3907</v>
      </c>
      <c r="L489" s="375">
        <v>-21673.180469999999</v>
      </c>
      <c r="M489" s="375">
        <v>11953.29047</v>
      </c>
      <c r="N489" s="372">
        <v>1.0129999999999999</v>
      </c>
      <c r="O489" s="704">
        <v>21.389060846946091</v>
      </c>
      <c r="P489" s="375" t="s">
        <v>619</v>
      </c>
      <c r="Q489" s="375" t="s">
        <v>619</v>
      </c>
      <c r="R489" s="696">
        <v>20221104</v>
      </c>
      <c r="S489" s="375" t="s">
        <v>3870</v>
      </c>
      <c r="T489" s="697" t="s">
        <v>768</v>
      </c>
      <c r="U489" s="372" t="s">
        <v>3871</v>
      </c>
      <c r="V489" s="722" t="s">
        <v>770</v>
      </c>
      <c r="W489" s="722">
        <v>20.25</v>
      </c>
      <c r="X489" s="722">
        <v>10.130000000000001</v>
      </c>
      <c r="Y489" s="722" t="s">
        <v>770</v>
      </c>
      <c r="Z489" s="382">
        <v>0.62572711761499966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310</v>
      </c>
      <c r="AF489" s="372">
        <v>560</v>
      </c>
      <c r="AG489" s="372">
        <v>960</v>
      </c>
      <c r="AH489" s="372">
        <v>0</v>
      </c>
    </row>
    <row r="490" spans="1:34">
      <c r="A490" s="372" t="s">
        <v>3872</v>
      </c>
      <c r="B490" s="373" t="s">
        <v>3873</v>
      </c>
      <c r="C490" s="372" t="s">
        <v>3874</v>
      </c>
      <c r="D490" s="374">
        <v>1101114294122</v>
      </c>
      <c r="E490" s="372" t="s">
        <v>3875</v>
      </c>
      <c r="F490" s="375" t="s">
        <v>1246</v>
      </c>
      <c r="G490" s="375" t="s">
        <v>1246</v>
      </c>
      <c r="H490" s="375" t="s">
        <v>858</v>
      </c>
      <c r="I490" s="375" t="s">
        <v>859</v>
      </c>
      <c r="J490" s="375">
        <v>85330.002510000006</v>
      </c>
      <c r="K490" s="375">
        <v>28258.295600000001</v>
      </c>
      <c r="L490" s="375">
        <v>749.20236999999997</v>
      </c>
      <c r="M490" s="375">
        <v>123930.72162</v>
      </c>
      <c r="N490" s="372">
        <v>0.92100000000000004</v>
      </c>
      <c r="O490" s="704">
        <v>2.0439781347248402</v>
      </c>
      <c r="P490" s="375" t="s">
        <v>619</v>
      </c>
      <c r="Q490" s="375" t="s">
        <v>619</v>
      </c>
      <c r="R490" s="696">
        <v>20170124</v>
      </c>
      <c r="S490" s="375" t="s">
        <v>3876</v>
      </c>
      <c r="T490" s="697">
        <v>0.20900000000000002</v>
      </c>
      <c r="U490" s="372" t="s">
        <v>3877</v>
      </c>
      <c r="V490" s="722">
        <v>0</v>
      </c>
      <c r="W490" s="722">
        <v>0</v>
      </c>
      <c r="X490" s="722">
        <v>0</v>
      </c>
      <c r="Y490" s="722">
        <v>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1121</v>
      </c>
      <c r="AF490" s="372">
        <v>1510</v>
      </c>
      <c r="AG490" s="372">
        <v>1520</v>
      </c>
      <c r="AH490" s="372">
        <v>0</v>
      </c>
    </row>
    <row r="491" spans="1:34">
      <c r="A491" s="372" t="s">
        <v>3878</v>
      </c>
      <c r="B491" s="373" t="s">
        <v>3879</v>
      </c>
      <c r="C491" s="372" t="s">
        <v>3880</v>
      </c>
      <c r="D491" s="374">
        <v>1101112196304</v>
      </c>
      <c r="E491" s="372" t="s">
        <v>3881</v>
      </c>
      <c r="F491" s="375" t="s">
        <v>3882</v>
      </c>
      <c r="G491" s="375" t="s">
        <v>3882</v>
      </c>
      <c r="H491" s="375" t="s">
        <v>852</v>
      </c>
      <c r="I491" s="375" t="s">
        <v>751</v>
      </c>
      <c r="J491" s="375">
        <v>0</v>
      </c>
      <c r="K491" s="375">
        <v>0</v>
      </c>
      <c r="L491" s="375">
        <v>0</v>
      </c>
      <c r="M491" s="375">
        <v>0</v>
      </c>
      <c r="N491" s="372">
        <v>0.61399999999999999</v>
      </c>
      <c r="O491" s="704" t="s">
        <v>16298</v>
      </c>
      <c r="P491" s="375" t="s">
        <v>619</v>
      </c>
      <c r="Q491" s="375" t="s">
        <v>619</v>
      </c>
      <c r="R491" s="696">
        <v>20160713</v>
      </c>
      <c r="S491" s="375" t="s">
        <v>3883</v>
      </c>
      <c r="T491" s="697" t="s">
        <v>768</v>
      </c>
      <c r="U491" s="375" t="s">
        <v>3884</v>
      </c>
      <c r="V491" s="722">
        <v>0</v>
      </c>
      <c r="W491" s="722">
        <v>0</v>
      </c>
      <c r="X491" s="722">
        <v>0</v>
      </c>
      <c r="Y491" s="722">
        <v>0</v>
      </c>
      <c r="Z491" s="382">
        <v>1.686893945105794E-2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2290</v>
      </c>
      <c r="AF491" s="372">
        <v>2365</v>
      </c>
      <c r="AG491" s="372">
        <v>2770</v>
      </c>
      <c r="AH491" s="372">
        <v>0</v>
      </c>
    </row>
    <row r="492" spans="1:34">
      <c r="A492" s="372" t="s">
        <v>3885</v>
      </c>
      <c r="B492" s="373" t="s">
        <v>3886</v>
      </c>
      <c r="C492" s="372" t="s">
        <v>3887</v>
      </c>
      <c r="D492" s="374">
        <v>1301110008664</v>
      </c>
      <c r="E492" s="372" t="s">
        <v>3888</v>
      </c>
      <c r="F492" s="375" t="s">
        <v>766</v>
      </c>
      <c r="G492" s="375" t="s">
        <v>766</v>
      </c>
      <c r="H492" s="375" t="s">
        <v>750</v>
      </c>
      <c r="I492" s="375" t="s">
        <v>751</v>
      </c>
      <c r="J492" s="375">
        <v>590276.50321</v>
      </c>
      <c r="K492" s="375">
        <v>2678.9787799999999</v>
      </c>
      <c r="L492" s="375">
        <v>-9145.9606299999996</v>
      </c>
      <c r="M492" s="375">
        <v>235734.29943000001</v>
      </c>
      <c r="N492" s="372">
        <v>1.129</v>
      </c>
      <c r="O492" s="704">
        <v>77.727088226543799</v>
      </c>
      <c r="P492" s="375" t="s">
        <v>619</v>
      </c>
      <c r="Q492" s="375" t="s">
        <v>619</v>
      </c>
      <c r="R492" s="696">
        <v>19960731</v>
      </c>
      <c r="S492" s="375" t="s">
        <v>3889</v>
      </c>
      <c r="T492" s="697" t="s">
        <v>768</v>
      </c>
      <c r="U492" s="372" t="s">
        <v>3890</v>
      </c>
      <c r="V492" s="722">
        <v>34.18</v>
      </c>
      <c r="W492" s="722">
        <v>1.45</v>
      </c>
      <c r="X492" s="722">
        <v>0.59</v>
      </c>
      <c r="Y492" s="722" t="s">
        <v>770</v>
      </c>
      <c r="Z492" s="382">
        <v>0.11025438603981597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6123.33</v>
      </c>
      <c r="AF492" s="372">
        <v>7757.33</v>
      </c>
      <c r="AG492" s="372">
        <v>8760</v>
      </c>
      <c r="AH492" s="372">
        <v>9870</v>
      </c>
    </row>
    <row r="493" spans="1:34">
      <c r="A493" s="372" t="s">
        <v>3891</v>
      </c>
      <c r="B493" s="373" t="s">
        <v>3892</v>
      </c>
      <c r="C493" s="372" t="s">
        <v>15986</v>
      </c>
      <c r="D493" s="374">
        <v>1101111799183</v>
      </c>
      <c r="E493" s="372" t="s">
        <v>15987</v>
      </c>
      <c r="F493" s="375" t="s">
        <v>1354</v>
      </c>
      <c r="G493" s="375" t="s">
        <v>1354</v>
      </c>
      <c r="H493" s="375" t="s">
        <v>858</v>
      </c>
      <c r="I493" s="375" t="s">
        <v>859</v>
      </c>
      <c r="J493" s="375">
        <v>7026037.9430799996</v>
      </c>
      <c r="K493" s="375">
        <v>171978.40875999999</v>
      </c>
      <c r="L493" s="375">
        <v>184809.1875</v>
      </c>
      <c r="M493" s="375">
        <v>2972253.5059799999</v>
      </c>
      <c r="N493" s="372">
        <v>1.2509999999999999</v>
      </c>
      <c r="O493" s="704">
        <v>661.73787606359622</v>
      </c>
      <c r="P493" s="375" t="s">
        <v>619</v>
      </c>
      <c r="Q493" s="375" t="s">
        <v>619</v>
      </c>
      <c r="R493" s="696">
        <v>20130724</v>
      </c>
      <c r="S493" s="375" t="s">
        <v>3893</v>
      </c>
      <c r="T493" s="697">
        <v>0.23100000000000001</v>
      </c>
      <c r="U493" s="375" t="s">
        <v>3894</v>
      </c>
      <c r="V493" s="722">
        <v>7.54</v>
      </c>
      <c r="W493" s="722">
        <v>0.22</v>
      </c>
      <c r="X493" s="722">
        <v>0.04</v>
      </c>
      <c r="Y493" s="722">
        <v>6.1</v>
      </c>
      <c r="Z493" s="382" t="s">
        <v>924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3895</v>
      </c>
      <c r="B494" s="373" t="s">
        <v>3896</v>
      </c>
      <c r="C494" s="372" t="s">
        <v>3897</v>
      </c>
      <c r="D494" s="374">
        <v>1101110375439</v>
      </c>
      <c r="E494" s="372" t="s">
        <v>3898</v>
      </c>
      <c r="F494" s="375" t="s">
        <v>2219</v>
      </c>
      <c r="G494" s="375" t="s">
        <v>2219</v>
      </c>
      <c r="H494" s="375" t="s">
        <v>1313</v>
      </c>
      <c r="I494" s="375" t="s">
        <v>751</v>
      </c>
      <c r="J494" s="375">
        <v>3157983.9564299998</v>
      </c>
      <c r="K494" s="375">
        <v>76847.73732</v>
      </c>
      <c r="L494" s="375">
        <v>21314.198550000001</v>
      </c>
      <c r="M494" s="375">
        <v>528602.31018000003</v>
      </c>
      <c r="N494" s="372">
        <v>0.71299999999999997</v>
      </c>
      <c r="O494" s="704">
        <v>322.8181364657687</v>
      </c>
      <c r="P494" s="375" t="s">
        <v>619</v>
      </c>
      <c r="Q494" s="375" t="s">
        <v>619</v>
      </c>
      <c r="R494" s="696">
        <v>19951005</v>
      </c>
      <c r="S494" s="375" t="s">
        <v>3899</v>
      </c>
      <c r="T494" s="697">
        <v>0.23100000000000001</v>
      </c>
      <c r="U494" s="372" t="s">
        <v>3900</v>
      </c>
      <c r="V494" s="722">
        <v>7.13</v>
      </c>
      <c r="W494" s="722">
        <v>1.39</v>
      </c>
      <c r="X494" s="722">
        <v>0.13</v>
      </c>
      <c r="Y494" s="722">
        <v>17.149999999999999</v>
      </c>
      <c r="Z494" s="382">
        <v>3.9878634165707361E-2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31655</v>
      </c>
      <c r="AF494" s="372">
        <v>33563.5</v>
      </c>
      <c r="AG494" s="372">
        <v>35003</v>
      </c>
      <c r="AH494" s="372">
        <v>0</v>
      </c>
    </row>
    <row r="495" spans="1:34">
      <c r="A495" s="372" t="s">
        <v>3901</v>
      </c>
      <c r="B495" s="373" t="s">
        <v>3902</v>
      </c>
      <c r="C495" s="372" t="s">
        <v>3903</v>
      </c>
      <c r="D495" s="374">
        <v>1901110001872</v>
      </c>
      <c r="E495" s="372" t="s">
        <v>3904</v>
      </c>
      <c r="F495" s="375" t="s">
        <v>3215</v>
      </c>
      <c r="G495" s="375" t="s">
        <v>3215</v>
      </c>
      <c r="H495" s="375" t="s">
        <v>809</v>
      </c>
      <c r="I495" s="375" t="s">
        <v>751</v>
      </c>
      <c r="J495" s="375">
        <v>1156360.9709099999</v>
      </c>
      <c r="K495" s="375">
        <v>38513.425369999997</v>
      </c>
      <c r="L495" s="375">
        <v>82697.238889999993</v>
      </c>
      <c r="M495" s="375">
        <v>1534622.7913899999</v>
      </c>
      <c r="N495" s="372">
        <v>0.35299999999999998</v>
      </c>
      <c r="O495" s="704">
        <v>4.0934283594795655</v>
      </c>
      <c r="P495" s="375" t="s">
        <v>619</v>
      </c>
      <c r="Q495" s="372" t="s">
        <v>619</v>
      </c>
      <c r="R495" s="696">
        <v>19891113</v>
      </c>
      <c r="S495" s="372" t="s">
        <v>2635</v>
      </c>
      <c r="T495" s="697">
        <v>0.23100000000000001</v>
      </c>
      <c r="U495" s="372" t="s">
        <v>3905</v>
      </c>
      <c r="V495" s="722">
        <v>11.21</v>
      </c>
      <c r="W495" s="722">
        <v>0.26</v>
      </c>
      <c r="X495" s="722">
        <v>0.27</v>
      </c>
      <c r="Y495" s="722">
        <v>6.55</v>
      </c>
      <c r="Z495" s="382" t="s">
        <v>924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3906</v>
      </c>
      <c r="B496" s="373" t="s">
        <v>3907</v>
      </c>
      <c r="C496" s="372" t="s">
        <v>3908</v>
      </c>
      <c r="D496" s="374">
        <v>1101112341850</v>
      </c>
      <c r="E496" s="372" t="s">
        <v>3909</v>
      </c>
      <c r="F496" s="372" t="s">
        <v>877</v>
      </c>
      <c r="G496" s="375" t="s">
        <v>877</v>
      </c>
      <c r="H496" s="375" t="s">
        <v>858</v>
      </c>
      <c r="I496" s="375" t="s">
        <v>859</v>
      </c>
      <c r="J496" s="375">
        <v>507094.85220000002</v>
      </c>
      <c r="K496" s="375">
        <v>43634.884330000001</v>
      </c>
      <c r="L496" s="375">
        <v>22924.02145</v>
      </c>
      <c r="M496" s="375">
        <v>263860.68575</v>
      </c>
      <c r="N496" s="372">
        <v>1.19</v>
      </c>
      <c r="O496" s="704">
        <v>180.68085934509259</v>
      </c>
      <c r="P496" s="375" t="s">
        <v>619</v>
      </c>
      <c r="Q496" s="372" t="s">
        <v>619</v>
      </c>
      <c r="R496" s="696">
        <v>20170804</v>
      </c>
      <c r="S496" s="375" t="s">
        <v>3910</v>
      </c>
      <c r="T496" s="697">
        <v>0.23100000000000001</v>
      </c>
      <c r="U496" s="375" t="s">
        <v>3911</v>
      </c>
      <c r="V496" s="722">
        <v>10.61</v>
      </c>
      <c r="W496" s="722">
        <v>1.3</v>
      </c>
      <c r="X496" s="722">
        <v>0.59</v>
      </c>
      <c r="Y496" s="722">
        <v>22.11</v>
      </c>
      <c r="Z496" s="382" t="s">
        <v>924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3912</v>
      </c>
      <c r="B497" s="373" t="s">
        <v>3913</v>
      </c>
      <c r="C497" s="372" t="s">
        <v>3914</v>
      </c>
      <c r="D497" s="374">
        <v>1101111603764</v>
      </c>
      <c r="E497" s="372" t="s">
        <v>3915</v>
      </c>
      <c r="F497" s="375" t="s">
        <v>2831</v>
      </c>
      <c r="G497" s="375" t="s">
        <v>2831</v>
      </c>
      <c r="H497" s="375" t="s">
        <v>858</v>
      </c>
      <c r="I497" s="375" t="s">
        <v>859</v>
      </c>
      <c r="J497" s="375">
        <v>338818.98333999998</v>
      </c>
      <c r="K497" s="375">
        <v>35160.306210000002</v>
      </c>
      <c r="L497" s="375">
        <v>54086.098010000002</v>
      </c>
      <c r="M497" s="375">
        <v>300965.32046000002</v>
      </c>
      <c r="N497" s="372">
        <v>0.63200000000000001</v>
      </c>
      <c r="O497" s="704">
        <v>36.97412097830626</v>
      </c>
      <c r="P497" s="375" t="s">
        <v>619</v>
      </c>
      <c r="Q497" s="375" t="s">
        <v>619</v>
      </c>
      <c r="R497" s="696">
        <v>20050708</v>
      </c>
      <c r="S497" s="375" t="s">
        <v>3916</v>
      </c>
      <c r="T497" s="697">
        <v>0.23100000000000001</v>
      </c>
      <c r="U497" s="372" t="s">
        <v>3917</v>
      </c>
      <c r="V497" s="722">
        <v>6.3</v>
      </c>
      <c r="W497" s="722">
        <v>0.92</v>
      </c>
      <c r="X497" s="722">
        <v>0.82</v>
      </c>
      <c r="Y497" s="722">
        <v>5.97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3373</v>
      </c>
      <c r="AF497" s="372">
        <v>3575</v>
      </c>
      <c r="AG497" s="372">
        <v>3843</v>
      </c>
      <c r="AH497" s="372">
        <v>0</v>
      </c>
    </row>
    <row r="498" spans="1:34">
      <c r="A498" s="372" t="s">
        <v>3918</v>
      </c>
      <c r="B498" s="373" t="s">
        <v>3919</v>
      </c>
      <c r="C498" s="372" t="s">
        <v>3920</v>
      </c>
      <c r="D498" s="374">
        <v>1101111682932</v>
      </c>
      <c r="E498" s="372" t="s">
        <v>3921</v>
      </c>
      <c r="F498" s="375" t="s">
        <v>1793</v>
      </c>
      <c r="G498" s="375" t="s">
        <v>2794</v>
      </c>
      <c r="H498" s="375" t="s">
        <v>858</v>
      </c>
      <c r="I498" s="375" t="s">
        <v>859</v>
      </c>
      <c r="J498" s="375">
        <v>29243.187440000002</v>
      </c>
      <c r="K498" s="375">
        <v>-13467.77534</v>
      </c>
      <c r="L498" s="375">
        <v>-12802.70362</v>
      </c>
      <c r="M498" s="375">
        <v>17761.8122</v>
      </c>
      <c r="N498" s="372">
        <v>1.2</v>
      </c>
      <c r="O498" s="704">
        <v>2.9893361804729284</v>
      </c>
      <c r="P498" s="375" t="s">
        <v>619</v>
      </c>
      <c r="Q498" s="372" t="s">
        <v>619</v>
      </c>
      <c r="R498" s="696">
        <v>20220707</v>
      </c>
      <c r="S498" s="372" t="s">
        <v>3922</v>
      </c>
      <c r="T498" s="697" t="s">
        <v>768</v>
      </c>
      <c r="U498" s="372" t="s">
        <v>3923</v>
      </c>
      <c r="V498" s="722">
        <v>0</v>
      </c>
      <c r="W498" s="722">
        <v>0</v>
      </c>
      <c r="X498" s="722">
        <v>0</v>
      </c>
      <c r="Y498" s="722">
        <v>0</v>
      </c>
      <c r="Z498" s="382" t="s">
        <v>924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3924</v>
      </c>
      <c r="B499" s="373" t="s">
        <v>3925</v>
      </c>
      <c r="C499" s="372" t="s">
        <v>3926</v>
      </c>
      <c r="D499" s="374">
        <v>1101110005929</v>
      </c>
      <c r="E499" s="372" t="s">
        <v>3927</v>
      </c>
      <c r="F499" s="372" t="s">
        <v>1588</v>
      </c>
      <c r="G499" s="375" t="s">
        <v>1588</v>
      </c>
      <c r="H499" s="375" t="s">
        <v>943</v>
      </c>
      <c r="I499" s="375" t="s">
        <v>751</v>
      </c>
      <c r="J499" s="375">
        <v>5232311.3422800004</v>
      </c>
      <c r="K499" s="375">
        <v>143674.53515000001</v>
      </c>
      <c r="L499" s="375">
        <v>162511.92392</v>
      </c>
      <c r="M499" s="375">
        <v>1765160.60672</v>
      </c>
      <c r="N499" s="372">
        <v>0.996</v>
      </c>
      <c r="O499" s="704">
        <v>373.28213282627848</v>
      </c>
      <c r="P499" s="375" t="s">
        <v>619</v>
      </c>
      <c r="Q499" s="372" t="s">
        <v>619</v>
      </c>
      <c r="R499" s="696">
        <v>19761223</v>
      </c>
      <c r="S499" s="372" t="s">
        <v>3928</v>
      </c>
      <c r="T499" s="697">
        <v>0.23100000000000001</v>
      </c>
      <c r="U499" s="372" t="s">
        <v>3929</v>
      </c>
      <c r="V499" s="722">
        <v>1.87</v>
      </c>
      <c r="W499" s="722">
        <v>0.22</v>
      </c>
      <c r="X499" s="722">
        <v>7.0000000000000007E-2</v>
      </c>
      <c r="Y499" s="722">
        <v>3.33</v>
      </c>
      <c r="Z499" s="382">
        <v>-3.0790949714101679E-2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48090</v>
      </c>
      <c r="AF499" s="372">
        <v>48810</v>
      </c>
      <c r="AG499" s="372">
        <v>49980</v>
      </c>
      <c r="AH499" s="372">
        <v>0</v>
      </c>
    </row>
    <row r="500" spans="1:34">
      <c r="A500" s="372" t="s">
        <v>3930</v>
      </c>
      <c r="B500" s="373" t="s">
        <v>3931</v>
      </c>
      <c r="C500" s="372" t="s">
        <v>3932</v>
      </c>
      <c r="D500" s="374">
        <v>1601110188262</v>
      </c>
      <c r="E500" s="372" t="s">
        <v>3933</v>
      </c>
      <c r="F500" s="375" t="s">
        <v>3934</v>
      </c>
      <c r="G500" s="375" t="s">
        <v>3934</v>
      </c>
      <c r="H500" s="375" t="s">
        <v>1334</v>
      </c>
      <c r="I500" s="375" t="s">
        <v>859</v>
      </c>
      <c r="J500" s="375">
        <v>21187.5105</v>
      </c>
      <c r="K500" s="375">
        <v>-170.94925000000001</v>
      </c>
      <c r="L500" s="375">
        <v>973.41989000000001</v>
      </c>
      <c r="M500" s="375">
        <v>128367.90862</v>
      </c>
      <c r="N500" s="372" t="s">
        <v>1023</v>
      </c>
      <c r="O500" s="704">
        <v>0.44557998870039683</v>
      </c>
      <c r="P500" s="375" t="s">
        <v>619</v>
      </c>
      <c r="Q500" s="372" t="s">
        <v>619</v>
      </c>
      <c r="R500" s="696">
        <v>20231121</v>
      </c>
      <c r="S500" s="375" t="s">
        <v>3935</v>
      </c>
      <c r="T500" s="697">
        <v>0.20900000000000002</v>
      </c>
      <c r="U500" s="375" t="s">
        <v>3936</v>
      </c>
      <c r="V500" s="722">
        <v>952.19</v>
      </c>
      <c r="W500" s="722">
        <v>1.69</v>
      </c>
      <c r="X500" s="722">
        <v>9.98</v>
      </c>
      <c r="Y500" s="722">
        <v>420.85</v>
      </c>
      <c r="Z500" s="382" t="s">
        <v>924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3937</v>
      </c>
      <c r="B501" s="373" t="s">
        <v>3938</v>
      </c>
      <c r="C501" s="372" t="s">
        <v>3939</v>
      </c>
      <c r="D501" s="374">
        <v>1345110064482</v>
      </c>
      <c r="E501" s="372" t="s">
        <v>3940</v>
      </c>
      <c r="F501" s="375" t="s">
        <v>1182</v>
      </c>
      <c r="G501" s="375" t="s">
        <v>1183</v>
      </c>
      <c r="H501" s="375" t="s">
        <v>858</v>
      </c>
      <c r="I501" s="375" t="s">
        <v>859</v>
      </c>
      <c r="J501" s="375">
        <v>179477.98207999999</v>
      </c>
      <c r="K501" s="375">
        <v>8846.7994099999996</v>
      </c>
      <c r="L501" s="375">
        <v>18385.03831</v>
      </c>
      <c r="M501" s="375">
        <v>311576.50332000002</v>
      </c>
      <c r="N501" s="372">
        <v>1.02</v>
      </c>
      <c r="O501" s="704">
        <v>2.2381908929778609</v>
      </c>
      <c r="P501" s="375" t="s">
        <v>619</v>
      </c>
      <c r="Q501" s="375" t="s">
        <v>619</v>
      </c>
      <c r="R501" s="696">
        <v>20080520</v>
      </c>
      <c r="S501" s="375" t="s">
        <v>3941</v>
      </c>
      <c r="T501" s="697">
        <v>0.20900000000000002</v>
      </c>
      <c r="U501" s="375" t="s">
        <v>3942</v>
      </c>
      <c r="V501" s="722">
        <v>23.75</v>
      </c>
      <c r="W501" s="722">
        <v>0.93</v>
      </c>
      <c r="X501" s="722">
        <v>1.91</v>
      </c>
      <c r="Y501" s="722">
        <v>23.75</v>
      </c>
      <c r="Z501" s="382">
        <v>0.23862077647714752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2149.5</v>
      </c>
      <c r="AF501" s="372">
        <v>2933.5</v>
      </c>
      <c r="AG501" s="372">
        <v>3458.5</v>
      </c>
      <c r="AH501" s="372">
        <v>4227</v>
      </c>
    </row>
    <row r="502" spans="1:34">
      <c r="A502" s="372" t="s">
        <v>3943</v>
      </c>
      <c r="B502" s="373" t="s">
        <v>3944</v>
      </c>
      <c r="C502" s="372" t="s">
        <v>3945</v>
      </c>
      <c r="D502" s="374">
        <v>1101110991467</v>
      </c>
      <c r="E502" s="372" t="s">
        <v>3946</v>
      </c>
      <c r="F502" s="375" t="s">
        <v>1959</v>
      </c>
      <c r="G502" s="375" t="s">
        <v>1959</v>
      </c>
      <c r="H502" s="375" t="s">
        <v>858</v>
      </c>
      <c r="I502" s="375" t="s">
        <v>859</v>
      </c>
      <c r="J502" s="375">
        <v>39406.79378</v>
      </c>
      <c r="K502" s="375">
        <v>-3735.4884299999999</v>
      </c>
      <c r="L502" s="375">
        <v>-3436.66041</v>
      </c>
      <c r="M502" s="375">
        <v>35779.675719999999</v>
      </c>
      <c r="N502" s="372">
        <v>1.163</v>
      </c>
      <c r="O502" s="704">
        <v>2.1291203830549663</v>
      </c>
      <c r="P502" s="375" t="s">
        <v>619</v>
      </c>
      <c r="Q502" s="375" t="s">
        <v>619</v>
      </c>
      <c r="R502" s="696">
        <v>20011109</v>
      </c>
      <c r="S502" s="375" t="s">
        <v>3947</v>
      </c>
      <c r="T502" s="697" t="s">
        <v>768</v>
      </c>
      <c r="U502" s="375" t="s">
        <v>3948</v>
      </c>
      <c r="V502" s="722">
        <v>0</v>
      </c>
      <c r="W502" s="722">
        <v>0</v>
      </c>
      <c r="X502" s="722">
        <v>0</v>
      </c>
      <c r="Y502" s="722">
        <v>0</v>
      </c>
      <c r="Z502" s="382" t="s">
        <v>924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3949</v>
      </c>
      <c r="B503" s="373" t="s">
        <v>3950</v>
      </c>
      <c r="C503" s="372" t="s">
        <v>3951</v>
      </c>
      <c r="D503" s="374">
        <v>1101110006274</v>
      </c>
      <c r="E503" s="372" t="s">
        <v>3952</v>
      </c>
      <c r="F503" s="375" t="s">
        <v>3953</v>
      </c>
      <c r="G503" s="375" t="s">
        <v>3953</v>
      </c>
      <c r="H503" s="375" t="s">
        <v>3954</v>
      </c>
      <c r="I503" s="375" t="s">
        <v>751</v>
      </c>
      <c r="J503" s="375">
        <v>900510.63882999995</v>
      </c>
      <c r="K503" s="375">
        <v>46487.328309999997</v>
      </c>
      <c r="L503" s="375">
        <v>58866.145779999999</v>
      </c>
      <c r="M503" s="375">
        <v>844613.29770999996</v>
      </c>
      <c r="N503" s="372">
        <v>0.59499999999999997</v>
      </c>
      <c r="O503" s="704">
        <v>26.397015084922959</v>
      </c>
      <c r="P503" s="375" t="s">
        <v>619</v>
      </c>
      <c r="Q503" s="372" t="s">
        <v>619</v>
      </c>
      <c r="R503" s="696">
        <v>19881215</v>
      </c>
      <c r="S503" s="372" t="s">
        <v>3955</v>
      </c>
      <c r="T503" s="697">
        <v>0.23100000000000001</v>
      </c>
      <c r="U503" s="372" t="s">
        <v>3956</v>
      </c>
      <c r="V503" s="722">
        <v>3.73</v>
      </c>
      <c r="W503" s="722">
        <v>0.39</v>
      </c>
      <c r="X503" s="722">
        <v>0.4</v>
      </c>
      <c r="Y503" s="722">
        <v>7.72</v>
      </c>
      <c r="Z503" s="382" t="s">
        <v>924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9800</v>
      </c>
      <c r="AF503" s="372">
        <v>10350</v>
      </c>
      <c r="AG503" s="372">
        <v>0</v>
      </c>
      <c r="AH503" s="372">
        <v>0</v>
      </c>
    </row>
    <row r="504" spans="1:34">
      <c r="A504" s="372" t="s">
        <v>3957</v>
      </c>
      <c r="B504" s="373" t="s">
        <v>3958</v>
      </c>
      <c r="C504" s="372" t="s">
        <v>3959</v>
      </c>
      <c r="D504" s="374">
        <v>1101113555187</v>
      </c>
      <c r="E504" s="372" t="s">
        <v>3959</v>
      </c>
      <c r="F504" s="375" t="s">
        <v>1534</v>
      </c>
      <c r="G504" s="375" t="s">
        <v>1535</v>
      </c>
      <c r="H504" s="375" t="s">
        <v>1536</v>
      </c>
      <c r="I504" s="375" t="s">
        <v>751</v>
      </c>
      <c r="J504" s="375">
        <v>1965216.23153</v>
      </c>
      <c r="K504" s="375">
        <v>145549.51521000001</v>
      </c>
      <c r="L504" s="375">
        <v>135755.5024</v>
      </c>
      <c r="M504" s="375">
        <v>1763236.31201</v>
      </c>
      <c r="N504" s="372">
        <v>0.624</v>
      </c>
      <c r="O504" s="704">
        <v>197.45461068654234</v>
      </c>
      <c r="P504" s="375" t="s">
        <v>619</v>
      </c>
      <c r="Q504" s="375" t="s">
        <v>619</v>
      </c>
      <c r="R504" s="696">
        <v>20061201</v>
      </c>
      <c r="S504" s="375" t="s">
        <v>3960</v>
      </c>
      <c r="T504" s="697">
        <v>0.23100000000000001</v>
      </c>
      <c r="U504" s="375" t="s">
        <v>3961</v>
      </c>
      <c r="V504" s="722">
        <v>3.93</v>
      </c>
      <c r="W504" s="722">
        <v>0.28000000000000003</v>
      </c>
      <c r="X504" s="722">
        <v>0.22</v>
      </c>
      <c r="Y504" s="722">
        <v>4.5</v>
      </c>
      <c r="Z504" s="382">
        <v>2.4676712209037888E-2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19696</v>
      </c>
      <c r="AF504" s="372">
        <v>20153</v>
      </c>
      <c r="AG504" s="372">
        <v>20954</v>
      </c>
      <c r="AH504" s="372">
        <v>0</v>
      </c>
    </row>
    <row r="505" spans="1:34">
      <c r="A505" s="372" t="s">
        <v>3962</v>
      </c>
      <c r="B505" s="373" t="s">
        <v>3963</v>
      </c>
      <c r="C505" s="372" t="s">
        <v>3964</v>
      </c>
      <c r="D505" s="374">
        <v>1101117016870</v>
      </c>
      <c r="E505" s="372" t="s">
        <v>3965</v>
      </c>
      <c r="F505" s="372" t="s">
        <v>2411</v>
      </c>
      <c r="G505" s="375" t="s">
        <v>2411</v>
      </c>
      <c r="H505" s="375" t="s">
        <v>858</v>
      </c>
      <c r="I505" s="375" t="s">
        <v>859</v>
      </c>
      <c r="J505" s="375">
        <v>310673.44893999997</v>
      </c>
      <c r="K505" s="375">
        <v>21945.97884</v>
      </c>
      <c r="L505" s="375">
        <v>20792.028129999999</v>
      </c>
      <c r="M505" s="375">
        <v>164287.75867000001</v>
      </c>
      <c r="N505" s="372">
        <v>0.6</v>
      </c>
      <c r="O505" s="704">
        <v>2.8976037923501554</v>
      </c>
      <c r="P505" s="375" t="s">
        <v>619</v>
      </c>
      <c r="Q505" s="375" t="s">
        <v>619</v>
      </c>
      <c r="R505" s="696">
        <v>20190508</v>
      </c>
      <c r="S505" s="375" t="s">
        <v>3966</v>
      </c>
      <c r="T505" s="697">
        <v>0.23100000000000001</v>
      </c>
      <c r="U505" s="372" t="s">
        <v>3967</v>
      </c>
      <c r="V505" s="722">
        <v>13.53</v>
      </c>
      <c r="W505" s="722">
        <v>2.08</v>
      </c>
      <c r="X505" s="722">
        <v>1.1200000000000001</v>
      </c>
      <c r="Y505" s="722">
        <v>21.87</v>
      </c>
      <c r="Z505" s="382" t="s">
        <v>924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3025</v>
      </c>
      <c r="AF505" s="372">
        <v>0</v>
      </c>
      <c r="AG505" s="372">
        <v>0</v>
      </c>
      <c r="AH505" s="372">
        <v>0</v>
      </c>
    </row>
    <row r="506" spans="1:34">
      <c r="A506" s="372" t="s">
        <v>3968</v>
      </c>
      <c r="B506" s="373" t="s">
        <v>3969</v>
      </c>
      <c r="C506" s="372" t="s">
        <v>3970</v>
      </c>
      <c r="D506" s="374">
        <v>2149110034430</v>
      </c>
      <c r="E506" s="372" t="s">
        <v>3971</v>
      </c>
      <c r="F506" s="375" t="s">
        <v>3972</v>
      </c>
      <c r="G506" s="375" t="s">
        <v>3973</v>
      </c>
      <c r="H506" s="375" t="s">
        <v>858</v>
      </c>
      <c r="I506" s="375" t="s">
        <v>859</v>
      </c>
      <c r="J506" s="375">
        <v>1302484.55107</v>
      </c>
      <c r="K506" s="375">
        <v>21332.9918</v>
      </c>
      <c r="L506" s="375">
        <v>8991.2927</v>
      </c>
      <c r="M506" s="375">
        <v>319896.99024999997</v>
      </c>
      <c r="N506" s="372">
        <v>0.67700000000000005</v>
      </c>
      <c r="O506" s="704">
        <v>146.49817479444192</v>
      </c>
      <c r="P506" s="375" t="s">
        <v>619</v>
      </c>
      <c r="Q506" s="375" t="s">
        <v>619</v>
      </c>
      <c r="R506" s="696">
        <v>20110502</v>
      </c>
      <c r="S506" s="375" t="s">
        <v>3974</v>
      </c>
      <c r="T506" s="697">
        <v>0.20900000000000002</v>
      </c>
      <c r="U506" s="372" t="s">
        <v>3975</v>
      </c>
      <c r="V506" s="722">
        <v>7.01</v>
      </c>
      <c r="W506" s="722">
        <v>0.94</v>
      </c>
      <c r="X506" s="722">
        <v>0.23</v>
      </c>
      <c r="Y506" s="722">
        <v>39.86</v>
      </c>
      <c r="Z506" s="382" t="s">
        <v>924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3976</v>
      </c>
      <c r="B507" s="373" t="s">
        <v>3977</v>
      </c>
      <c r="C507" s="372" t="s">
        <v>3978</v>
      </c>
      <c r="D507" s="374">
        <v>1358110389651</v>
      </c>
      <c r="E507" s="372" t="s">
        <v>3979</v>
      </c>
      <c r="F507" s="375" t="s">
        <v>2423</v>
      </c>
      <c r="G507" s="375" t="s">
        <v>2424</v>
      </c>
      <c r="H507" s="375" t="s">
        <v>858</v>
      </c>
      <c r="I507" s="375" t="s">
        <v>859</v>
      </c>
      <c r="J507" s="375">
        <v>271866.23311999999</v>
      </c>
      <c r="K507" s="375">
        <v>16786.62787</v>
      </c>
      <c r="L507" s="375">
        <v>16838.805390000001</v>
      </c>
      <c r="M507" s="375">
        <v>137993.08033</v>
      </c>
      <c r="N507" s="372" t="s">
        <v>1023</v>
      </c>
      <c r="O507" s="704">
        <v>7.1674878765404504</v>
      </c>
      <c r="P507" s="375" t="s">
        <v>619</v>
      </c>
      <c r="Q507" s="372" t="s">
        <v>619</v>
      </c>
      <c r="R507" s="696">
        <v>20230714</v>
      </c>
      <c r="S507" s="372" t="s">
        <v>3980</v>
      </c>
      <c r="T507" s="697">
        <v>0.20900000000000002</v>
      </c>
      <c r="U507" s="372" t="s">
        <v>3981</v>
      </c>
      <c r="V507" s="722">
        <v>17.690000000000001</v>
      </c>
      <c r="W507" s="722">
        <v>2.75</v>
      </c>
      <c r="X507" s="722">
        <v>1.39</v>
      </c>
      <c r="Y507" s="722">
        <v>28.74</v>
      </c>
      <c r="Z507" s="382" t="s">
        <v>924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3982</v>
      </c>
      <c r="B508" s="373" t="s">
        <v>3983</v>
      </c>
      <c r="C508" s="372" t="s">
        <v>3984</v>
      </c>
      <c r="D508" s="374">
        <v>1101110152134</v>
      </c>
      <c r="E508" s="372" t="s">
        <v>3985</v>
      </c>
      <c r="F508" s="375" t="s">
        <v>3986</v>
      </c>
      <c r="G508" s="375" t="s">
        <v>3986</v>
      </c>
      <c r="H508" s="375" t="s">
        <v>781</v>
      </c>
      <c r="I508" s="375" t="s">
        <v>751</v>
      </c>
      <c r="J508" s="375">
        <v>1634197.6943300001</v>
      </c>
      <c r="K508" s="375">
        <v>26696.744589999998</v>
      </c>
      <c r="L508" s="375">
        <v>51602.411440000003</v>
      </c>
      <c r="M508" s="375">
        <v>616665.74482000002</v>
      </c>
      <c r="N508" s="372">
        <v>0.83299999999999996</v>
      </c>
      <c r="O508" s="704">
        <v>132.72949535631167</v>
      </c>
      <c r="P508" s="375" t="s">
        <v>619</v>
      </c>
      <c r="Q508" s="375" t="s">
        <v>619</v>
      </c>
      <c r="R508" s="696">
        <v>19891117</v>
      </c>
      <c r="S508" s="375" t="s">
        <v>3987</v>
      </c>
      <c r="T508" s="697">
        <v>0.23100000000000001</v>
      </c>
      <c r="U508" s="372" t="s">
        <v>3988</v>
      </c>
      <c r="V508" s="722">
        <v>10.5</v>
      </c>
      <c r="W508" s="722">
        <v>0.49</v>
      </c>
      <c r="X508" s="722">
        <v>0.19</v>
      </c>
      <c r="Y508" s="722">
        <v>9.01</v>
      </c>
      <c r="Z508" s="382" t="s">
        <v>924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3989</v>
      </c>
      <c r="B509" s="373" t="s">
        <v>3990</v>
      </c>
      <c r="C509" s="372" t="s">
        <v>3991</v>
      </c>
      <c r="D509" s="374">
        <v>1101114810308</v>
      </c>
      <c r="E509" s="372" t="s">
        <v>3992</v>
      </c>
      <c r="F509" s="375" t="s">
        <v>1354</v>
      </c>
      <c r="G509" s="375" t="s">
        <v>1354</v>
      </c>
      <c r="H509" s="375" t="s">
        <v>858</v>
      </c>
      <c r="I509" s="375" t="s">
        <v>859</v>
      </c>
      <c r="J509" s="375">
        <v>127827.79423</v>
      </c>
      <c r="K509" s="375">
        <v>18834.609909999999</v>
      </c>
      <c r="L509" s="375">
        <v>20760.467700000001</v>
      </c>
      <c r="M509" s="375">
        <v>110424.97893</v>
      </c>
      <c r="N509" s="372" t="s">
        <v>1023</v>
      </c>
      <c r="O509" s="704">
        <v>0.24674154425851058</v>
      </c>
      <c r="P509" s="375" t="s">
        <v>619</v>
      </c>
      <c r="Q509" s="375" t="s">
        <v>619</v>
      </c>
      <c r="R509" s="696">
        <v>20230608</v>
      </c>
      <c r="S509" s="375" t="s">
        <v>3993</v>
      </c>
      <c r="T509" s="697">
        <v>0.23100000000000001</v>
      </c>
      <c r="U509" s="372" t="s">
        <v>3994</v>
      </c>
      <c r="V509" s="722">
        <v>17.23</v>
      </c>
      <c r="W509" s="722">
        <v>3.13</v>
      </c>
      <c r="X509" s="722">
        <v>2.7</v>
      </c>
      <c r="Y509" s="722">
        <v>21.45</v>
      </c>
      <c r="Z509" s="382" t="s">
        <v>924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1346.5</v>
      </c>
      <c r="AF509" s="372">
        <v>1633</v>
      </c>
      <c r="AG509" s="372">
        <v>0</v>
      </c>
      <c r="AH509" s="372">
        <v>0</v>
      </c>
    </row>
    <row r="510" spans="1:34">
      <c r="A510" s="372" t="s">
        <v>3995</v>
      </c>
      <c r="B510" s="373" t="s">
        <v>3996</v>
      </c>
      <c r="C510" s="372" t="s">
        <v>3997</v>
      </c>
      <c r="D510" s="374">
        <v>1101110007826</v>
      </c>
      <c r="E510" s="372" t="s">
        <v>3998</v>
      </c>
      <c r="F510" s="375" t="s">
        <v>1259</v>
      </c>
      <c r="G510" s="375" t="s">
        <v>1260</v>
      </c>
      <c r="H510" s="375" t="s">
        <v>1261</v>
      </c>
      <c r="I510" s="375" t="s">
        <v>751</v>
      </c>
      <c r="J510" s="375">
        <v>0</v>
      </c>
      <c r="K510" s="375">
        <v>0</v>
      </c>
      <c r="L510" s="375">
        <v>0</v>
      </c>
      <c r="M510" s="375">
        <v>0</v>
      </c>
      <c r="N510" s="372">
        <v>0.85599999999999998</v>
      </c>
      <c r="O510" s="704" t="s">
        <v>16298</v>
      </c>
      <c r="P510" s="375" t="s">
        <v>619</v>
      </c>
      <c r="Q510" s="372" t="s">
        <v>619</v>
      </c>
      <c r="R510" s="696">
        <v>19870824</v>
      </c>
      <c r="S510" s="375" t="s">
        <v>3999</v>
      </c>
      <c r="T510" s="697" t="s">
        <v>768</v>
      </c>
      <c r="U510" s="375" t="s">
        <v>4000</v>
      </c>
      <c r="V510" s="722">
        <v>0</v>
      </c>
      <c r="W510" s="722">
        <v>0</v>
      </c>
      <c r="X510" s="722">
        <v>0</v>
      </c>
      <c r="Y510" s="722">
        <v>0</v>
      </c>
      <c r="Z510" s="382" t="s">
        <v>924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4001</v>
      </c>
      <c r="B511" s="373" t="s">
        <v>4002</v>
      </c>
      <c r="C511" s="372" t="s">
        <v>4003</v>
      </c>
      <c r="D511" s="374">
        <v>1311110304011</v>
      </c>
      <c r="E511" s="372" t="s">
        <v>4004</v>
      </c>
      <c r="F511" s="375" t="s">
        <v>16097</v>
      </c>
      <c r="G511" s="375" t="s">
        <v>16100</v>
      </c>
      <c r="H511" s="375" t="s">
        <v>858</v>
      </c>
      <c r="I511" s="375" t="s">
        <v>859</v>
      </c>
      <c r="J511" s="375">
        <v>110729.10386</v>
      </c>
      <c r="K511" s="375">
        <v>1310.44813</v>
      </c>
      <c r="L511" s="375">
        <v>2090.8037800000002</v>
      </c>
      <c r="M511" s="375">
        <v>151565.72132000001</v>
      </c>
      <c r="N511" s="372">
        <v>1.103</v>
      </c>
      <c r="O511" s="704">
        <v>11.617488344781265</v>
      </c>
      <c r="P511" s="375" t="s">
        <v>619</v>
      </c>
      <c r="Q511" s="375" t="s">
        <v>619</v>
      </c>
      <c r="R511" s="696">
        <v>20221018</v>
      </c>
      <c r="S511" s="375" t="s">
        <v>4005</v>
      </c>
      <c r="T511" s="697">
        <v>0.20900000000000002</v>
      </c>
      <c r="U511" s="372" t="s">
        <v>15854</v>
      </c>
      <c r="V511" s="722">
        <v>0</v>
      </c>
      <c r="W511" s="722">
        <v>0</v>
      </c>
      <c r="X511" s="722">
        <v>0</v>
      </c>
      <c r="Y511" s="722">
        <v>0</v>
      </c>
      <c r="Z511" s="382" t="s">
        <v>924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4006</v>
      </c>
      <c r="B512" s="373" t="s">
        <v>4007</v>
      </c>
      <c r="C512" s="372" t="s">
        <v>4008</v>
      </c>
      <c r="D512" s="374">
        <v>1112710005962</v>
      </c>
      <c r="E512" s="372" t="s">
        <v>4009</v>
      </c>
      <c r="F512" s="372" t="s">
        <v>16111</v>
      </c>
      <c r="G512" s="375" t="s">
        <v>16111</v>
      </c>
      <c r="H512" s="375" t="s">
        <v>943</v>
      </c>
      <c r="I512" s="375" t="s">
        <v>751</v>
      </c>
      <c r="J512" s="375">
        <v>3530487.4700199999</v>
      </c>
      <c r="K512" s="375">
        <v>707399.45392999996</v>
      </c>
      <c r="L512" s="375">
        <v>646596.13430999999</v>
      </c>
      <c r="M512" s="375">
        <v>2221089.4930599998</v>
      </c>
      <c r="N512" s="372">
        <v>0.52700000000000002</v>
      </c>
      <c r="O512" s="704">
        <v>776.03594838398453</v>
      </c>
      <c r="P512" s="375" t="s">
        <v>619</v>
      </c>
      <c r="Q512" s="372" t="s">
        <v>619</v>
      </c>
      <c r="R512" s="696">
        <v>20100129</v>
      </c>
      <c r="S512" s="372" t="s">
        <v>4010</v>
      </c>
      <c r="T512" s="697">
        <v>0.26400000000000001</v>
      </c>
      <c r="U512" s="372" t="s">
        <v>4011</v>
      </c>
      <c r="V512" s="722">
        <v>4.4400000000000004</v>
      </c>
      <c r="W512" s="722">
        <v>0.25</v>
      </c>
      <c r="X512" s="722">
        <v>0.16</v>
      </c>
      <c r="Y512" s="722">
        <v>1.06</v>
      </c>
      <c r="Z512" s="382">
        <v>-1.2792696303117634E-2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36615.75</v>
      </c>
      <c r="AF512" s="372">
        <v>37444.67</v>
      </c>
      <c r="AG512" s="372">
        <v>37552.33</v>
      </c>
      <c r="AH512" s="372">
        <v>0</v>
      </c>
    </row>
    <row r="513" spans="1:34">
      <c r="A513" s="372" t="s">
        <v>4012</v>
      </c>
      <c r="B513" s="373" t="s">
        <v>4013</v>
      </c>
      <c r="C513" s="372" t="s">
        <v>4014</v>
      </c>
      <c r="D513" s="374">
        <v>1101110043127</v>
      </c>
      <c r="E513" s="372" t="s">
        <v>4015</v>
      </c>
      <c r="F513" s="375" t="s">
        <v>1320</v>
      </c>
      <c r="G513" s="375" t="s">
        <v>16103</v>
      </c>
      <c r="H513" s="375" t="s">
        <v>781</v>
      </c>
      <c r="I513" s="375" t="s">
        <v>751</v>
      </c>
      <c r="J513" s="375">
        <v>253499.25849000001</v>
      </c>
      <c r="K513" s="375">
        <v>9738.8593000000001</v>
      </c>
      <c r="L513" s="375">
        <v>2325.4810200000002</v>
      </c>
      <c r="M513" s="375">
        <v>91968.152690000003</v>
      </c>
      <c r="N513" s="372">
        <v>0.745</v>
      </c>
      <c r="O513" s="704">
        <v>14.866634942209833</v>
      </c>
      <c r="P513" s="375" t="s">
        <v>619</v>
      </c>
      <c r="Q513" s="375" t="s">
        <v>619</v>
      </c>
      <c r="R513" s="696">
        <v>19730625</v>
      </c>
      <c r="S513" s="375" t="s">
        <v>4016</v>
      </c>
      <c r="T513" s="697">
        <v>0.20900000000000002</v>
      </c>
      <c r="U513" s="375" t="s">
        <v>4017</v>
      </c>
      <c r="V513" s="722">
        <v>0</v>
      </c>
      <c r="W513" s="722">
        <v>0</v>
      </c>
      <c r="X513" s="722">
        <v>0</v>
      </c>
      <c r="Y513" s="722">
        <v>0</v>
      </c>
      <c r="Z513" s="382" t="s">
        <v>924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4018</v>
      </c>
      <c r="B514" s="373" t="s">
        <v>4019</v>
      </c>
      <c r="C514" s="372" t="s">
        <v>4020</v>
      </c>
      <c r="D514" s="374">
        <v>1801110000636</v>
      </c>
      <c r="E514" s="372" t="s">
        <v>4021</v>
      </c>
      <c r="F514" s="372" t="s">
        <v>1761</v>
      </c>
      <c r="G514" s="375" t="s">
        <v>2235</v>
      </c>
      <c r="H514" s="375" t="s">
        <v>823</v>
      </c>
      <c r="I514" s="375" t="s">
        <v>751</v>
      </c>
      <c r="J514" s="375">
        <v>1060761</v>
      </c>
      <c r="K514" s="375">
        <v>54257</v>
      </c>
      <c r="L514" s="375">
        <v>44557</v>
      </c>
      <c r="M514" s="375">
        <v>732738</v>
      </c>
      <c r="N514" s="372">
        <v>0.83499999999999996</v>
      </c>
      <c r="O514" s="704">
        <v>64.083028083028083</v>
      </c>
      <c r="P514" s="375" t="s">
        <v>619</v>
      </c>
      <c r="Q514" s="375" t="s">
        <v>619</v>
      </c>
      <c r="R514" s="696">
        <v>19770625</v>
      </c>
      <c r="S514" s="375" t="s">
        <v>4022</v>
      </c>
      <c r="T514" s="697">
        <v>0.23100000000000001</v>
      </c>
      <c r="U514" s="375" t="s">
        <v>4023</v>
      </c>
      <c r="V514" s="722">
        <v>4.25</v>
      </c>
      <c r="W514" s="722">
        <v>0.43</v>
      </c>
      <c r="X514" s="722">
        <v>0.3</v>
      </c>
      <c r="Y514" s="722">
        <v>10.02</v>
      </c>
      <c r="Z514" s="382" t="s">
        <v>924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4024</v>
      </c>
      <c r="B515" s="373" t="s">
        <v>4025</v>
      </c>
      <c r="C515" s="372" t="s">
        <v>4026</v>
      </c>
      <c r="D515" s="374">
        <v>1311110466283</v>
      </c>
      <c r="E515" s="372" t="s">
        <v>4027</v>
      </c>
      <c r="F515" s="375" t="s">
        <v>1113</v>
      </c>
      <c r="G515" s="375" t="s">
        <v>1333</v>
      </c>
      <c r="H515" s="375" t="s">
        <v>1334</v>
      </c>
      <c r="I515" s="375" t="s">
        <v>859</v>
      </c>
      <c r="J515" s="375">
        <v>0</v>
      </c>
      <c r="K515" s="375">
        <v>0</v>
      </c>
      <c r="L515" s="375">
        <v>0</v>
      </c>
      <c r="M515" s="375">
        <v>37862.937080000003</v>
      </c>
      <c r="N515" s="372" t="s">
        <v>1023</v>
      </c>
      <c r="O515" s="704">
        <v>9.2691727055642517</v>
      </c>
      <c r="P515" s="375" t="s">
        <v>619</v>
      </c>
      <c r="Q515" s="375" t="s">
        <v>619</v>
      </c>
      <c r="R515" s="696">
        <v>20231109</v>
      </c>
      <c r="S515" s="375" t="s">
        <v>4028</v>
      </c>
      <c r="T515" s="697" t="s">
        <v>768</v>
      </c>
      <c r="U515" s="375" t="s">
        <v>4029</v>
      </c>
      <c r="V515" s="722">
        <v>0</v>
      </c>
      <c r="W515" s="722">
        <v>10.96</v>
      </c>
      <c r="X515" s="722">
        <v>0</v>
      </c>
      <c r="Y515" s="722">
        <v>0</v>
      </c>
      <c r="Z515" s="382" t="s">
        <v>770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4030</v>
      </c>
      <c r="B516" s="373" t="s">
        <v>4031</v>
      </c>
      <c r="C516" s="372" t="s">
        <v>4032</v>
      </c>
      <c r="D516" s="374">
        <v>1101114767153</v>
      </c>
      <c r="E516" s="372" t="s">
        <v>4033</v>
      </c>
      <c r="F516" s="375" t="s">
        <v>4034</v>
      </c>
      <c r="G516" s="375" t="s">
        <v>4034</v>
      </c>
      <c r="H516" s="375" t="s">
        <v>858</v>
      </c>
      <c r="I516" s="375" t="s">
        <v>859</v>
      </c>
      <c r="J516" s="375">
        <v>80854.305980000005</v>
      </c>
      <c r="K516" s="375">
        <v>11292.378769999999</v>
      </c>
      <c r="L516" s="375">
        <v>12073.509389999999</v>
      </c>
      <c r="M516" s="375">
        <v>92224.190189999994</v>
      </c>
      <c r="N516" s="372">
        <v>0.73099999999999998</v>
      </c>
      <c r="O516" s="704">
        <v>1.0286591531032598</v>
      </c>
      <c r="P516" s="375" t="s">
        <v>619</v>
      </c>
      <c r="Q516" s="375" t="s">
        <v>619</v>
      </c>
      <c r="R516" s="696">
        <v>20170801</v>
      </c>
      <c r="S516" s="375" t="s">
        <v>4035</v>
      </c>
      <c r="T516" s="697">
        <v>0.20900000000000002</v>
      </c>
      <c r="U516" s="375" t="s">
        <v>4036</v>
      </c>
      <c r="V516" s="722">
        <v>16.350000000000001</v>
      </c>
      <c r="W516" s="722">
        <v>2.41</v>
      </c>
      <c r="X516" s="722">
        <v>2.79</v>
      </c>
      <c r="Y516" s="722">
        <v>21.38</v>
      </c>
      <c r="Z516" s="382">
        <v>0.12074526561498322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898.5</v>
      </c>
      <c r="AF516" s="372">
        <v>904</v>
      </c>
      <c r="AG516" s="372">
        <v>952.5</v>
      </c>
      <c r="AH516" s="372">
        <v>0</v>
      </c>
    </row>
    <row r="517" spans="1:34">
      <c r="A517" s="372" t="s">
        <v>4037</v>
      </c>
      <c r="B517" s="373" t="s">
        <v>4038</v>
      </c>
      <c r="C517" s="372" t="s">
        <v>4039</v>
      </c>
      <c r="D517" s="374">
        <v>1101116743763</v>
      </c>
      <c r="E517" s="372" t="s">
        <v>4040</v>
      </c>
      <c r="F517" s="375" t="s">
        <v>1653</v>
      </c>
      <c r="G517" s="375" t="s">
        <v>2364</v>
      </c>
      <c r="H517" s="375" t="s">
        <v>858</v>
      </c>
      <c r="I517" s="375" t="s">
        <v>859</v>
      </c>
      <c r="J517" s="375">
        <v>5563.0147500000003</v>
      </c>
      <c r="K517" s="375">
        <v>-21525.80586</v>
      </c>
      <c r="L517" s="375">
        <v>-17697.999950000001</v>
      </c>
      <c r="M517" s="375">
        <v>53996.566250000003</v>
      </c>
      <c r="N517" s="372" t="s">
        <v>1023</v>
      </c>
      <c r="O517" s="704">
        <v>4.9888621079321158</v>
      </c>
      <c r="P517" s="375" t="s">
        <v>619</v>
      </c>
      <c r="Q517" s="372" t="s">
        <v>619</v>
      </c>
      <c r="R517" s="696">
        <v>20231027</v>
      </c>
      <c r="S517" s="375" t="s">
        <v>4041</v>
      </c>
      <c r="T517" s="697" t="s">
        <v>768</v>
      </c>
      <c r="U517" s="375" t="s">
        <v>4042</v>
      </c>
      <c r="V517" s="722">
        <v>0</v>
      </c>
      <c r="W517" s="722">
        <v>0</v>
      </c>
      <c r="X517" s="722">
        <v>0</v>
      </c>
      <c r="Y517" s="722">
        <v>0</v>
      </c>
      <c r="Z517" s="382" t="s">
        <v>924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4043</v>
      </c>
      <c r="B518" s="373" t="s">
        <v>4044</v>
      </c>
      <c r="C518" s="372" t="s">
        <v>4045</v>
      </c>
      <c r="D518" s="374">
        <v>1501110101662</v>
      </c>
      <c r="E518" s="372" t="s">
        <v>4046</v>
      </c>
      <c r="F518" s="375" t="s">
        <v>1595</v>
      </c>
      <c r="G518" s="375" t="s">
        <v>16109</v>
      </c>
      <c r="H518" s="375" t="s">
        <v>858</v>
      </c>
      <c r="I518" s="375" t="s">
        <v>859</v>
      </c>
      <c r="J518" s="375">
        <v>323262.06170999998</v>
      </c>
      <c r="K518" s="375">
        <v>46265.418799999999</v>
      </c>
      <c r="L518" s="375">
        <v>39410.590020000003</v>
      </c>
      <c r="M518" s="375">
        <v>479598.12867000001</v>
      </c>
      <c r="N518" s="372">
        <v>0.78300000000000003</v>
      </c>
      <c r="O518" s="704">
        <v>26.892460659898475</v>
      </c>
      <c r="P518" s="375" t="s">
        <v>619</v>
      </c>
      <c r="Q518" s="372" t="s">
        <v>619</v>
      </c>
      <c r="R518" s="696">
        <v>20111228</v>
      </c>
      <c r="S518" s="372" t="s">
        <v>4047</v>
      </c>
      <c r="T518" s="697">
        <v>0.23100000000000001</v>
      </c>
      <c r="U518" s="372" t="s">
        <v>4048</v>
      </c>
      <c r="V518" s="722">
        <v>4.18</v>
      </c>
      <c r="W518" s="722">
        <v>0.7</v>
      </c>
      <c r="X518" s="722">
        <v>1.04</v>
      </c>
      <c r="Y518" s="722">
        <v>11.73</v>
      </c>
      <c r="Z518" s="382">
        <v>-2.3592399027875466E-2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3456.25</v>
      </c>
      <c r="AF518" s="372">
        <v>4260.25</v>
      </c>
      <c r="AG518" s="372">
        <v>3560</v>
      </c>
      <c r="AH518" s="372">
        <v>0</v>
      </c>
    </row>
    <row r="519" spans="1:34">
      <c r="A519" s="372" t="s">
        <v>4049</v>
      </c>
      <c r="B519" s="373" t="s">
        <v>4050</v>
      </c>
      <c r="C519" s="372" t="s">
        <v>4051</v>
      </c>
      <c r="D519" s="374">
        <v>1911110000104</v>
      </c>
      <c r="E519" s="372" t="s">
        <v>4052</v>
      </c>
      <c r="F519" s="372" t="s">
        <v>4053</v>
      </c>
      <c r="G519" s="375" t="s">
        <v>4053</v>
      </c>
      <c r="H519" s="375" t="s">
        <v>1040</v>
      </c>
      <c r="I519" s="375" t="s">
        <v>751</v>
      </c>
      <c r="J519" s="375">
        <v>1359826.4691699999</v>
      </c>
      <c r="K519" s="375">
        <v>20834.015820000001</v>
      </c>
      <c r="L519" s="375">
        <v>-36802.987229999999</v>
      </c>
      <c r="M519" s="375">
        <v>621761.86638999998</v>
      </c>
      <c r="N519" s="372">
        <v>0.92300000000000004</v>
      </c>
      <c r="O519" s="704">
        <v>583.35144385539854</v>
      </c>
      <c r="P519" s="375" t="s">
        <v>619</v>
      </c>
      <c r="Q519" s="375" t="s">
        <v>619</v>
      </c>
      <c r="R519" s="696">
        <v>19750627</v>
      </c>
      <c r="S519" s="375" t="s">
        <v>4054</v>
      </c>
      <c r="T519" s="697" t="s">
        <v>768</v>
      </c>
      <c r="U519" s="372" t="s">
        <v>4055</v>
      </c>
      <c r="V519" s="722">
        <v>22.01</v>
      </c>
      <c r="W519" s="722">
        <v>0.5</v>
      </c>
      <c r="X519" s="722">
        <v>0.17</v>
      </c>
      <c r="Y519" s="722" t="s">
        <v>770</v>
      </c>
      <c r="Z519" s="382" t="s">
        <v>924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4056</v>
      </c>
      <c r="B520" s="373" t="s">
        <v>4057</v>
      </c>
      <c r="C520" s="372" t="s">
        <v>4058</v>
      </c>
      <c r="D520" s="374">
        <v>1311110081627</v>
      </c>
      <c r="E520" s="372" t="s">
        <v>4059</v>
      </c>
      <c r="F520" s="372" t="s">
        <v>1653</v>
      </c>
      <c r="G520" s="375" t="s">
        <v>1653</v>
      </c>
      <c r="H520" s="375" t="s">
        <v>858</v>
      </c>
      <c r="I520" s="375" t="s">
        <v>859</v>
      </c>
      <c r="J520" s="375">
        <v>124681.72225000001</v>
      </c>
      <c r="K520" s="375">
        <v>-12114.0412</v>
      </c>
      <c r="L520" s="375">
        <v>-10372.487649999999</v>
      </c>
      <c r="M520" s="375">
        <v>140899.03924000001</v>
      </c>
      <c r="N520" s="372">
        <v>1.1200000000000001</v>
      </c>
      <c r="O520" s="704">
        <v>25.804897099292223</v>
      </c>
      <c r="P520" s="375" t="s">
        <v>619</v>
      </c>
      <c r="Q520" s="375" t="s">
        <v>619</v>
      </c>
      <c r="R520" s="696">
        <v>20141216</v>
      </c>
      <c r="S520" s="375" t="s">
        <v>4060</v>
      </c>
      <c r="T520" s="697" t="s">
        <v>768</v>
      </c>
      <c r="U520" s="375" t="s">
        <v>4061</v>
      </c>
      <c r="V520" s="722" t="s">
        <v>770</v>
      </c>
      <c r="W520" s="722">
        <v>1.71</v>
      </c>
      <c r="X520" s="722">
        <v>2.04</v>
      </c>
      <c r="Y520" s="722" t="s">
        <v>770</v>
      </c>
      <c r="Z520" s="382" t="s">
        <v>924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1553</v>
      </c>
      <c r="AF520" s="372">
        <v>2187</v>
      </c>
      <c r="AG520" s="372">
        <v>0</v>
      </c>
      <c r="AH520" s="372">
        <v>0</v>
      </c>
    </row>
    <row r="521" spans="1:34">
      <c r="A521" s="372" t="s">
        <v>4062</v>
      </c>
      <c r="B521" s="373" t="s">
        <v>4063</v>
      </c>
      <c r="C521" s="372" t="s">
        <v>4064</v>
      </c>
      <c r="D521" s="374">
        <v>1345110003696</v>
      </c>
      <c r="E521" s="372" t="s">
        <v>4065</v>
      </c>
      <c r="F521" s="375" t="s">
        <v>1273</v>
      </c>
      <c r="G521" s="375" t="s">
        <v>1715</v>
      </c>
      <c r="H521" s="375" t="s">
        <v>750</v>
      </c>
      <c r="I521" s="375" t="s">
        <v>751</v>
      </c>
      <c r="J521" s="375">
        <v>288436.06925</v>
      </c>
      <c r="K521" s="375">
        <v>19211.213159999999</v>
      </c>
      <c r="L521" s="375">
        <v>20953.713879999999</v>
      </c>
      <c r="M521" s="375">
        <v>262306.17080999998</v>
      </c>
      <c r="N521" s="372">
        <v>0.96499999999999997</v>
      </c>
      <c r="O521" s="704">
        <v>1.1851155875521802</v>
      </c>
      <c r="P521" s="375" t="s">
        <v>619</v>
      </c>
      <c r="Q521" s="375" t="s">
        <v>619</v>
      </c>
      <c r="R521" s="696">
        <v>19760626</v>
      </c>
      <c r="S521" s="375" t="s">
        <v>4066</v>
      </c>
      <c r="T521" s="697">
        <v>0.23100000000000001</v>
      </c>
      <c r="U521" s="372" t="s">
        <v>4067</v>
      </c>
      <c r="V521" s="722">
        <v>9.8000000000000007</v>
      </c>
      <c r="W521" s="722">
        <v>1.44</v>
      </c>
      <c r="X521" s="722">
        <v>1.3</v>
      </c>
      <c r="Y521" s="722">
        <v>21.58</v>
      </c>
      <c r="Z521" s="382">
        <v>8.6248787671586058E-2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3051</v>
      </c>
      <c r="AF521" s="372">
        <v>3446.6</v>
      </c>
      <c r="AG521" s="372">
        <v>3909</v>
      </c>
      <c r="AH521" s="372">
        <v>0</v>
      </c>
    </row>
    <row r="522" spans="1:34">
      <c r="A522" s="372" t="s">
        <v>4068</v>
      </c>
      <c r="B522" s="373" t="s">
        <v>4069</v>
      </c>
      <c r="C522" s="372" t="s">
        <v>4070</v>
      </c>
      <c r="D522" s="374">
        <v>1101111204637</v>
      </c>
      <c r="E522" s="372" t="s">
        <v>4071</v>
      </c>
      <c r="F522" s="375" t="s">
        <v>1959</v>
      </c>
      <c r="G522" s="375" t="s">
        <v>1959</v>
      </c>
      <c r="H522" s="375" t="s">
        <v>858</v>
      </c>
      <c r="I522" s="375" t="s">
        <v>859</v>
      </c>
      <c r="J522" s="375">
        <v>86049.138850000003</v>
      </c>
      <c r="K522" s="375">
        <v>-8956.6945599999999</v>
      </c>
      <c r="L522" s="375">
        <v>-11278.175859999999</v>
      </c>
      <c r="M522" s="375">
        <v>48278.777470000001</v>
      </c>
      <c r="N522" s="372">
        <v>1.429</v>
      </c>
      <c r="O522" s="704">
        <v>15.090136262219763</v>
      </c>
      <c r="P522" s="375" t="s">
        <v>619</v>
      </c>
      <c r="Q522" s="375" t="s">
        <v>619</v>
      </c>
      <c r="R522" s="696">
        <v>20110105</v>
      </c>
      <c r="S522" s="375" t="s">
        <v>4072</v>
      </c>
      <c r="T522" s="697" t="s">
        <v>768</v>
      </c>
      <c r="U522" s="375" t="s">
        <v>4073</v>
      </c>
      <c r="V522" s="722" t="s">
        <v>770</v>
      </c>
      <c r="W522" s="722">
        <v>3.51</v>
      </c>
      <c r="X522" s="722">
        <v>2.11</v>
      </c>
      <c r="Y522" s="722" t="s">
        <v>770</v>
      </c>
      <c r="Z522" s="382">
        <v>0.2472140189421641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1046.33</v>
      </c>
      <c r="AF522" s="372">
        <v>1517</v>
      </c>
      <c r="AG522" s="372">
        <v>1810</v>
      </c>
      <c r="AH522" s="372">
        <v>0</v>
      </c>
    </row>
    <row r="523" spans="1:34">
      <c r="A523" s="372" t="s">
        <v>4074</v>
      </c>
      <c r="B523" s="373" t="s">
        <v>4075</v>
      </c>
      <c r="C523" s="372" t="s">
        <v>4076</v>
      </c>
      <c r="D523" s="374">
        <v>1311110449718</v>
      </c>
      <c r="E523" s="372" t="s">
        <v>4077</v>
      </c>
      <c r="F523" s="372" t="s">
        <v>1273</v>
      </c>
      <c r="G523" s="375" t="s">
        <v>1273</v>
      </c>
      <c r="H523" s="375" t="s">
        <v>858</v>
      </c>
      <c r="I523" s="375" t="s">
        <v>859</v>
      </c>
      <c r="J523" s="375">
        <v>48299.956570000002</v>
      </c>
      <c r="K523" s="375">
        <v>5045.8373199999996</v>
      </c>
      <c r="L523" s="375">
        <v>5129.59148</v>
      </c>
      <c r="M523" s="375">
        <v>146846.51211000001</v>
      </c>
      <c r="N523" s="372">
        <v>1.236</v>
      </c>
      <c r="O523" s="704">
        <v>22.280986400399144</v>
      </c>
      <c r="P523" s="375" t="s">
        <v>619</v>
      </c>
      <c r="Q523" s="375" t="s">
        <v>619</v>
      </c>
      <c r="R523" s="696">
        <v>20210520</v>
      </c>
      <c r="S523" s="375" t="s">
        <v>4078</v>
      </c>
      <c r="T523" s="697">
        <v>0.20900000000000002</v>
      </c>
      <c r="U523" s="372" t="s">
        <v>4079</v>
      </c>
      <c r="V523" s="722">
        <v>0</v>
      </c>
      <c r="W523" s="722">
        <v>0</v>
      </c>
      <c r="X523" s="722">
        <v>0</v>
      </c>
      <c r="Y523" s="722">
        <v>0</v>
      </c>
      <c r="Z523" s="382" t="s">
        <v>924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4080</v>
      </c>
      <c r="B524" s="373" t="s">
        <v>4081</v>
      </c>
      <c r="C524" s="372" t="s">
        <v>4082</v>
      </c>
      <c r="D524" s="374">
        <v>1717110036705</v>
      </c>
      <c r="E524" s="372" t="s">
        <v>4083</v>
      </c>
      <c r="F524" s="375" t="s">
        <v>1113</v>
      </c>
      <c r="G524" s="375" t="s">
        <v>1333</v>
      </c>
      <c r="H524" s="375" t="s">
        <v>1334</v>
      </c>
      <c r="I524" s="375" t="s">
        <v>859</v>
      </c>
      <c r="J524" s="375">
        <v>3824.9042399999998</v>
      </c>
      <c r="K524" s="375">
        <v>-32896.938219999996</v>
      </c>
      <c r="L524" s="375">
        <v>-20946.003059999999</v>
      </c>
      <c r="M524" s="375">
        <v>258755.62916000001</v>
      </c>
      <c r="N524" s="372">
        <v>1.238</v>
      </c>
      <c r="O524" s="704">
        <v>21.737187833183174</v>
      </c>
      <c r="P524" s="375" t="s">
        <v>619</v>
      </c>
      <c r="Q524" s="372" t="s">
        <v>619</v>
      </c>
      <c r="R524" s="696">
        <v>20090915</v>
      </c>
      <c r="S524" s="372" t="s">
        <v>4084</v>
      </c>
      <c r="T524" s="697" t="s">
        <v>768</v>
      </c>
      <c r="U524" s="375" t="s">
        <v>4085</v>
      </c>
      <c r="V524" s="722">
        <v>0</v>
      </c>
      <c r="W524" s="722">
        <v>0</v>
      </c>
      <c r="X524" s="722">
        <v>0</v>
      </c>
      <c r="Y524" s="722">
        <v>0</v>
      </c>
      <c r="Z524" s="382" t="s">
        <v>924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4086</v>
      </c>
      <c r="B525" s="373" t="s">
        <v>4087</v>
      </c>
      <c r="C525" s="372" t="s">
        <v>4088</v>
      </c>
      <c r="D525" s="374">
        <v>1201110018110</v>
      </c>
      <c r="E525" s="372" t="s">
        <v>4089</v>
      </c>
      <c r="F525" s="375" t="s">
        <v>890</v>
      </c>
      <c r="G525" s="375" t="s">
        <v>891</v>
      </c>
      <c r="H525" s="375" t="s">
        <v>852</v>
      </c>
      <c r="I525" s="375" t="s">
        <v>751</v>
      </c>
      <c r="J525" s="375">
        <v>434189.61421000003</v>
      </c>
      <c r="K525" s="375">
        <v>101634.29011</v>
      </c>
      <c r="L525" s="375">
        <v>98807.506080000006</v>
      </c>
      <c r="M525" s="375">
        <v>1097435.7988799999</v>
      </c>
      <c r="N525" s="372">
        <v>0.89300000000000002</v>
      </c>
      <c r="O525" s="704">
        <v>17.587905381369335</v>
      </c>
      <c r="P525" s="375" t="s">
        <v>619</v>
      </c>
      <c r="Q525" s="375" t="s">
        <v>619</v>
      </c>
      <c r="R525" s="696">
        <v>19880728</v>
      </c>
      <c r="S525" s="375" t="s">
        <v>4090</v>
      </c>
      <c r="T525" s="697">
        <v>0.23100000000000001</v>
      </c>
      <c r="U525" s="375" t="s">
        <v>4091</v>
      </c>
      <c r="V525" s="722">
        <v>3.74</v>
      </c>
      <c r="W525" s="722">
        <v>0.35</v>
      </c>
      <c r="X525" s="722">
        <v>0.9</v>
      </c>
      <c r="Y525" s="722">
        <v>3.47</v>
      </c>
      <c r="Z525" s="382">
        <v>4.2821691605950285E-2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4460</v>
      </c>
      <c r="AF525" s="372">
        <v>4610</v>
      </c>
      <c r="AG525" s="372">
        <v>4810</v>
      </c>
      <c r="AH525" s="372">
        <v>0</v>
      </c>
    </row>
    <row r="526" spans="1:34">
      <c r="A526" s="372" t="s">
        <v>4092</v>
      </c>
      <c r="B526" s="373" t="s">
        <v>4093</v>
      </c>
      <c r="C526" s="372" t="s">
        <v>4094</v>
      </c>
      <c r="D526" s="374">
        <v>1101110164717</v>
      </c>
      <c r="E526" s="372" t="s">
        <v>4095</v>
      </c>
      <c r="F526" s="375" t="s">
        <v>4096</v>
      </c>
      <c r="G526" s="375" t="s">
        <v>4097</v>
      </c>
      <c r="H526" s="375" t="s">
        <v>823</v>
      </c>
      <c r="I526" s="375" t="s">
        <v>751</v>
      </c>
      <c r="J526" s="375">
        <v>1528305.47358</v>
      </c>
      <c r="K526" s="375">
        <v>33393.114119999998</v>
      </c>
      <c r="L526" s="375">
        <v>28156.975979999999</v>
      </c>
      <c r="M526" s="375">
        <v>539262.96097999997</v>
      </c>
      <c r="N526" s="372">
        <v>0.66100000000000003</v>
      </c>
      <c r="O526" s="704">
        <v>74.817427443820137</v>
      </c>
      <c r="P526" s="375" t="s">
        <v>619</v>
      </c>
      <c r="Q526" s="372" t="s">
        <v>619</v>
      </c>
      <c r="R526" s="696">
        <v>19951110</v>
      </c>
      <c r="S526" s="372" t="s">
        <v>4098</v>
      </c>
      <c r="T526" s="697">
        <v>0.23100000000000001</v>
      </c>
      <c r="U526" s="372" t="s">
        <v>4099</v>
      </c>
      <c r="V526" s="722">
        <v>6.39</v>
      </c>
      <c r="W526" s="722">
        <v>0.6</v>
      </c>
      <c r="X526" s="722">
        <v>0.21</v>
      </c>
      <c r="Y526" s="722">
        <v>11.28</v>
      </c>
      <c r="Z526" s="382" t="s">
        <v>924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4100</v>
      </c>
      <c r="B527" s="373" t="s">
        <v>4101</v>
      </c>
      <c r="C527" s="372" t="s">
        <v>4102</v>
      </c>
      <c r="D527" s="374">
        <v>1101116860640</v>
      </c>
      <c r="E527" s="372" t="s">
        <v>4103</v>
      </c>
      <c r="F527" s="375" t="s">
        <v>2482</v>
      </c>
      <c r="G527" s="375" t="s">
        <v>2482</v>
      </c>
      <c r="H527" s="375" t="s">
        <v>809</v>
      </c>
      <c r="I527" s="375" t="s">
        <v>751</v>
      </c>
      <c r="J527" s="375">
        <v>1700320.2744799999</v>
      </c>
      <c r="K527" s="375">
        <v>123244.80837</v>
      </c>
      <c r="L527" s="375">
        <v>130988.02151000001</v>
      </c>
      <c r="M527" s="375">
        <v>1037230.31866</v>
      </c>
      <c r="N527" s="372">
        <v>0.82299999999999995</v>
      </c>
      <c r="O527" s="704">
        <v>56.03066617819136</v>
      </c>
      <c r="P527" s="375" t="s">
        <v>619</v>
      </c>
      <c r="Q527" s="375" t="s">
        <v>619</v>
      </c>
      <c r="R527" s="696">
        <v>20181005</v>
      </c>
      <c r="S527" s="375" t="s">
        <v>4104</v>
      </c>
      <c r="T527" s="697">
        <v>0.23100000000000001</v>
      </c>
      <c r="U527" s="375" t="s">
        <v>4105</v>
      </c>
      <c r="V527" s="722">
        <v>0</v>
      </c>
      <c r="W527" s="722">
        <v>0</v>
      </c>
      <c r="X527" s="722">
        <v>0</v>
      </c>
      <c r="Y527" s="722">
        <v>0</v>
      </c>
      <c r="Z527" s="382" t="s">
        <v>924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4106</v>
      </c>
      <c r="B528" s="373" t="s">
        <v>4107</v>
      </c>
      <c r="C528" s="372" t="s">
        <v>4108</v>
      </c>
      <c r="D528" s="374">
        <v>1101111398117</v>
      </c>
      <c r="E528" s="372" t="s">
        <v>4109</v>
      </c>
      <c r="F528" s="375" t="s">
        <v>1793</v>
      </c>
      <c r="G528" s="375" t="s">
        <v>2794</v>
      </c>
      <c r="H528" s="375" t="s">
        <v>858</v>
      </c>
      <c r="I528" s="375" t="s">
        <v>859</v>
      </c>
      <c r="J528" s="375">
        <v>241601.07175999999</v>
      </c>
      <c r="K528" s="375">
        <v>10112.794690000001</v>
      </c>
      <c r="L528" s="375">
        <v>14855.88515</v>
      </c>
      <c r="M528" s="375">
        <v>455938.5552</v>
      </c>
      <c r="N528" s="372">
        <v>1.169</v>
      </c>
      <c r="O528" s="704">
        <v>8.5739391125227797</v>
      </c>
      <c r="P528" s="375" t="s">
        <v>619</v>
      </c>
      <c r="Q528" s="375" t="s">
        <v>619</v>
      </c>
      <c r="R528" s="696">
        <v>20051028</v>
      </c>
      <c r="S528" s="375" t="s">
        <v>4110</v>
      </c>
      <c r="T528" s="697">
        <v>0.20900000000000002</v>
      </c>
      <c r="U528" s="375" t="s">
        <v>4111</v>
      </c>
      <c r="V528" s="722">
        <v>36.29</v>
      </c>
      <c r="W528" s="722">
        <v>3.1</v>
      </c>
      <c r="X528" s="722">
        <v>1.1399999999999999</v>
      </c>
      <c r="Y528" s="722">
        <v>100.9</v>
      </c>
      <c r="Z528" s="382" t="s">
        <v>924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4112</v>
      </c>
      <c r="B529" s="373" t="s">
        <v>4113</v>
      </c>
      <c r="C529" s="372" t="s">
        <v>4114</v>
      </c>
      <c r="D529" s="374">
        <v>1101110003668</v>
      </c>
      <c r="E529" s="372" t="s">
        <v>4115</v>
      </c>
      <c r="F529" s="372" t="s">
        <v>1456</v>
      </c>
      <c r="G529" s="375" t="s">
        <v>4116</v>
      </c>
      <c r="H529" s="375" t="s">
        <v>906</v>
      </c>
      <c r="I529" s="375" t="s">
        <v>751</v>
      </c>
      <c r="J529" s="375">
        <v>2951685.72915</v>
      </c>
      <c r="K529" s="375">
        <v>129834.75117</v>
      </c>
      <c r="L529" s="375">
        <v>26607.172050000001</v>
      </c>
      <c r="M529" s="375">
        <v>1545579.07064</v>
      </c>
      <c r="N529" s="372">
        <v>0.90800000000000003</v>
      </c>
      <c r="O529" s="704">
        <v>745.52612897169217</v>
      </c>
      <c r="P529" s="375" t="s">
        <v>619</v>
      </c>
      <c r="Q529" s="375" t="s">
        <v>619</v>
      </c>
      <c r="R529" s="696">
        <v>19740812</v>
      </c>
      <c r="S529" s="375" t="s">
        <v>4117</v>
      </c>
      <c r="T529" s="697">
        <v>0.23100000000000001</v>
      </c>
      <c r="U529" s="375" t="s">
        <v>4118</v>
      </c>
      <c r="V529" s="722">
        <v>7.47</v>
      </c>
      <c r="W529" s="722">
        <v>0.2</v>
      </c>
      <c r="X529" s="722">
        <v>0.1</v>
      </c>
      <c r="Y529" s="722">
        <v>11.97</v>
      </c>
      <c r="Z529" s="382">
        <v>4.2281950840353577E-2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29670</v>
      </c>
      <c r="AF529" s="372">
        <v>31400</v>
      </c>
      <c r="AG529" s="372">
        <v>33133.33</v>
      </c>
      <c r="AH529" s="372">
        <v>0</v>
      </c>
    </row>
    <row r="530" spans="1:34">
      <c r="A530" s="372" t="s">
        <v>4119</v>
      </c>
      <c r="B530" s="373" t="s">
        <v>4120</v>
      </c>
      <c r="C530" s="372" t="s">
        <v>4121</v>
      </c>
      <c r="D530" s="374">
        <v>1701110111352</v>
      </c>
      <c r="E530" s="372" t="s">
        <v>4122</v>
      </c>
      <c r="F530" s="372" t="s">
        <v>4123</v>
      </c>
      <c r="G530" s="375" t="s">
        <v>4124</v>
      </c>
      <c r="H530" s="375" t="s">
        <v>858</v>
      </c>
      <c r="I530" s="375" t="s">
        <v>859</v>
      </c>
      <c r="J530" s="375">
        <v>159143.16260000001</v>
      </c>
      <c r="K530" s="375">
        <v>31430.31466</v>
      </c>
      <c r="L530" s="375">
        <v>35829.216130000001</v>
      </c>
      <c r="M530" s="375">
        <v>195874.46205999999</v>
      </c>
      <c r="N530" s="372">
        <v>0.71499999999999997</v>
      </c>
      <c r="O530" s="704">
        <v>13.026469708549168</v>
      </c>
      <c r="P530" s="375" t="s">
        <v>619</v>
      </c>
      <c r="Q530" s="372" t="s">
        <v>619</v>
      </c>
      <c r="R530" s="696">
        <v>20060607</v>
      </c>
      <c r="S530" s="372" t="s">
        <v>4125</v>
      </c>
      <c r="T530" s="697">
        <v>0.23100000000000001</v>
      </c>
      <c r="U530" s="372" t="s">
        <v>4126</v>
      </c>
      <c r="V530" s="722">
        <v>7.03</v>
      </c>
      <c r="W530" s="722">
        <v>1.1599999999999999</v>
      </c>
      <c r="X530" s="722">
        <v>1.6</v>
      </c>
      <c r="Y530" s="722">
        <v>8</v>
      </c>
      <c r="Z530" s="382">
        <v>5.5360070548482687E-2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1653.4</v>
      </c>
      <c r="AF530" s="372">
        <v>1800</v>
      </c>
      <c r="AG530" s="372">
        <v>1948.67</v>
      </c>
      <c r="AH530" s="372">
        <v>0</v>
      </c>
    </row>
    <row r="531" spans="1:34">
      <c r="A531" s="372" t="s">
        <v>4127</v>
      </c>
      <c r="B531" s="373" t="s">
        <v>4128</v>
      </c>
      <c r="C531" s="372" t="s">
        <v>15988</v>
      </c>
      <c r="D531" s="374">
        <v>1348110112334</v>
      </c>
      <c r="E531" s="372" t="s">
        <v>4129</v>
      </c>
      <c r="F531" s="375" t="s">
        <v>1182</v>
      </c>
      <c r="G531" s="375" t="s">
        <v>3112</v>
      </c>
      <c r="H531" s="375" t="s">
        <v>858</v>
      </c>
      <c r="I531" s="375" t="s">
        <v>859</v>
      </c>
      <c r="J531" s="375">
        <v>102864.08366</v>
      </c>
      <c r="K531" s="375">
        <v>19323.51586</v>
      </c>
      <c r="L531" s="375">
        <v>25752.21646</v>
      </c>
      <c r="M531" s="375">
        <v>200291.81700000001</v>
      </c>
      <c r="N531" s="372">
        <v>1.02</v>
      </c>
      <c r="O531" s="704">
        <v>0.17132207883111361</v>
      </c>
      <c r="P531" s="375" t="s">
        <v>619</v>
      </c>
      <c r="Q531" s="372" t="s">
        <v>619</v>
      </c>
      <c r="R531" s="696">
        <v>20180807</v>
      </c>
      <c r="S531" s="372" t="s">
        <v>4130</v>
      </c>
      <c r="T531" s="697">
        <v>0.23100000000000001</v>
      </c>
      <c r="U531" s="372" t="s">
        <v>4131</v>
      </c>
      <c r="V531" s="722">
        <v>13.98</v>
      </c>
      <c r="W531" s="722">
        <v>1.41</v>
      </c>
      <c r="X531" s="722">
        <v>2.79</v>
      </c>
      <c r="Y531" s="722">
        <v>12.66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1023</v>
      </c>
      <c r="AF531" s="372">
        <v>1370</v>
      </c>
      <c r="AG531" s="372">
        <v>1970</v>
      </c>
      <c r="AH531" s="372">
        <v>0</v>
      </c>
    </row>
    <row r="532" spans="1:34">
      <c r="A532" s="372" t="s">
        <v>4132</v>
      </c>
      <c r="B532" s="373" t="s">
        <v>4133</v>
      </c>
      <c r="C532" s="372" t="s">
        <v>4134</v>
      </c>
      <c r="D532" s="374">
        <v>1313110033856</v>
      </c>
      <c r="E532" s="372" t="s">
        <v>4135</v>
      </c>
      <c r="F532" s="375" t="s">
        <v>1747</v>
      </c>
      <c r="G532" s="375" t="s">
        <v>1747</v>
      </c>
      <c r="H532" s="375" t="s">
        <v>858</v>
      </c>
      <c r="I532" s="375" t="s">
        <v>859</v>
      </c>
      <c r="J532" s="375">
        <v>119068.05538000001</v>
      </c>
      <c r="K532" s="375">
        <v>4437.5761199999997</v>
      </c>
      <c r="L532" s="375">
        <v>-14.171659999999999</v>
      </c>
      <c r="M532" s="375">
        <v>185974.17405999999</v>
      </c>
      <c r="N532" s="372">
        <v>0.48899999999999999</v>
      </c>
      <c r="O532" s="704">
        <v>11.342806682470592</v>
      </c>
      <c r="P532" s="375" t="s">
        <v>16112</v>
      </c>
      <c r="Q532" s="375" t="s">
        <v>16113</v>
      </c>
      <c r="R532" s="696">
        <v>20100728</v>
      </c>
      <c r="S532" s="375" t="s">
        <v>4136</v>
      </c>
      <c r="T532" s="697" t="s">
        <v>768</v>
      </c>
      <c r="U532" s="375" t="s">
        <v>4137</v>
      </c>
      <c r="V532" s="722">
        <v>24.12</v>
      </c>
      <c r="W532" s="722">
        <v>1.62</v>
      </c>
      <c r="X532" s="722">
        <v>2.76</v>
      </c>
      <c r="Y532" s="722">
        <v>177.63</v>
      </c>
      <c r="Z532" s="382" t="s">
        <v>924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4138</v>
      </c>
      <c r="B533" s="373" t="s">
        <v>4139</v>
      </c>
      <c r="C533" s="372" t="s">
        <v>4140</v>
      </c>
      <c r="D533" s="374">
        <v>1615110049069</v>
      </c>
      <c r="E533" s="372" t="s">
        <v>4141</v>
      </c>
      <c r="F533" s="375" t="s">
        <v>1182</v>
      </c>
      <c r="G533" s="375" t="s">
        <v>1183</v>
      </c>
      <c r="H533" s="375" t="s">
        <v>858</v>
      </c>
      <c r="I533" s="375" t="s">
        <v>859</v>
      </c>
      <c r="J533" s="375">
        <v>302067.77497999999</v>
      </c>
      <c r="K533" s="375">
        <v>14019.807419999999</v>
      </c>
      <c r="L533" s="375">
        <v>10755.707109999999</v>
      </c>
      <c r="M533" s="375">
        <v>257818.9185</v>
      </c>
      <c r="N533" s="372">
        <v>1.29</v>
      </c>
      <c r="O533" s="704">
        <v>19.594894013313734</v>
      </c>
      <c r="P533" s="375" t="s">
        <v>619</v>
      </c>
      <c r="Q533" s="372" t="s">
        <v>619</v>
      </c>
      <c r="R533" s="696">
        <v>20051005</v>
      </c>
      <c r="S533" s="372" t="s">
        <v>4142</v>
      </c>
      <c r="T533" s="697">
        <v>0.20900000000000002</v>
      </c>
      <c r="U533" s="372" t="s">
        <v>4143</v>
      </c>
      <c r="V533" s="722">
        <v>8.18</v>
      </c>
      <c r="W533" s="722">
        <v>0.7</v>
      </c>
      <c r="X533" s="722">
        <v>0.63</v>
      </c>
      <c r="Y533" s="722">
        <v>16.05</v>
      </c>
      <c r="Z533" s="382" t="s">
        <v>924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4144</v>
      </c>
      <c r="B534" s="373" t="s">
        <v>4145</v>
      </c>
      <c r="C534" s="372" t="s">
        <v>4146</v>
      </c>
      <c r="D534" s="374">
        <v>1101113280099</v>
      </c>
      <c r="E534" s="372" t="s">
        <v>4147</v>
      </c>
      <c r="F534" s="375" t="s">
        <v>890</v>
      </c>
      <c r="G534" s="375" t="s">
        <v>891</v>
      </c>
      <c r="H534" s="375" t="s">
        <v>852</v>
      </c>
      <c r="I534" s="375" t="s">
        <v>751</v>
      </c>
      <c r="J534" s="375">
        <v>5272774.14157</v>
      </c>
      <c r="K534" s="375">
        <v>167479.99655000001</v>
      </c>
      <c r="L534" s="375">
        <v>102885.47761</v>
      </c>
      <c r="M534" s="375">
        <v>1647578.7433</v>
      </c>
      <c r="N534" s="372">
        <v>0.875</v>
      </c>
      <c r="O534" s="704">
        <v>587.11924586988437</v>
      </c>
      <c r="P534" s="375" t="s">
        <v>619</v>
      </c>
      <c r="Q534" s="375" t="s">
        <v>619</v>
      </c>
      <c r="R534" s="696">
        <v>20050817</v>
      </c>
      <c r="S534" s="375" t="s">
        <v>851</v>
      </c>
      <c r="T534" s="697">
        <v>0.23100000000000001</v>
      </c>
      <c r="U534" s="375" t="s">
        <v>4148</v>
      </c>
      <c r="V534" s="722">
        <v>6.59</v>
      </c>
      <c r="W534" s="722">
        <v>0.43</v>
      </c>
      <c r="X534" s="722">
        <v>0.06</v>
      </c>
      <c r="Y534" s="722">
        <v>12.68</v>
      </c>
      <c r="Z534" s="382" t="s">
        <v>924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4149</v>
      </c>
      <c r="B535" s="373" t="s">
        <v>4150</v>
      </c>
      <c r="C535" s="372" t="s">
        <v>4151</v>
      </c>
      <c r="D535" s="374">
        <v>1201110330051</v>
      </c>
      <c r="E535" s="372" t="s">
        <v>4152</v>
      </c>
      <c r="F535" s="375" t="s">
        <v>1272</v>
      </c>
      <c r="G535" s="375" t="s">
        <v>1272</v>
      </c>
      <c r="H535" s="375" t="s">
        <v>858</v>
      </c>
      <c r="I535" s="375" t="s">
        <v>859</v>
      </c>
      <c r="J535" s="375">
        <v>77574.681890000007</v>
      </c>
      <c r="K535" s="375">
        <v>6759.2443300000004</v>
      </c>
      <c r="L535" s="375">
        <v>6527.2370899999996</v>
      </c>
      <c r="M535" s="375">
        <v>82926.246109999993</v>
      </c>
      <c r="N535" s="372">
        <v>1.179</v>
      </c>
      <c r="O535" s="704">
        <v>17.354133964751778</v>
      </c>
      <c r="P535" s="375" t="s">
        <v>619</v>
      </c>
      <c r="Q535" s="375" t="s">
        <v>619</v>
      </c>
      <c r="R535" s="696">
        <v>20221117</v>
      </c>
      <c r="S535" s="375" t="s">
        <v>4153</v>
      </c>
      <c r="T535" s="697">
        <v>0.20900000000000002</v>
      </c>
      <c r="U535" s="375" t="s">
        <v>4154</v>
      </c>
      <c r="V535" s="722">
        <v>21.19</v>
      </c>
      <c r="W535" s="722">
        <v>2.5</v>
      </c>
      <c r="X535" s="722">
        <v>2.71</v>
      </c>
      <c r="Y535" s="722">
        <v>30.04</v>
      </c>
      <c r="Z535" s="382" t="s">
        <v>924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4155</v>
      </c>
      <c r="B536" s="373" t="s">
        <v>4156</v>
      </c>
      <c r="C536" s="372" t="s">
        <v>4157</v>
      </c>
      <c r="D536" s="374">
        <v>1601110091283</v>
      </c>
      <c r="E536" s="372" t="s">
        <v>4158</v>
      </c>
      <c r="F536" s="375" t="s">
        <v>1238</v>
      </c>
      <c r="G536" s="375" t="s">
        <v>1238</v>
      </c>
      <c r="H536" s="375" t="s">
        <v>858</v>
      </c>
      <c r="I536" s="375" t="s">
        <v>859</v>
      </c>
      <c r="J536" s="375">
        <v>160558.21755999999</v>
      </c>
      <c r="K536" s="375">
        <v>-5270.5123299999996</v>
      </c>
      <c r="L536" s="375">
        <v>272.52350999999999</v>
      </c>
      <c r="M536" s="375">
        <v>218696.39928000001</v>
      </c>
      <c r="N536" s="372">
        <v>0.91900000000000004</v>
      </c>
      <c r="O536" s="704">
        <v>2.7564584859735501</v>
      </c>
      <c r="P536" s="375" t="s">
        <v>619</v>
      </c>
      <c r="Q536" s="372" t="s">
        <v>619</v>
      </c>
      <c r="R536" s="696">
        <v>20080613</v>
      </c>
      <c r="S536" s="372" t="s">
        <v>4159</v>
      </c>
      <c r="T536" s="697">
        <v>0.20900000000000002</v>
      </c>
      <c r="U536" s="372" t="s">
        <v>4160</v>
      </c>
      <c r="V536" s="722">
        <v>141.18</v>
      </c>
      <c r="W536" s="722">
        <v>1.77</v>
      </c>
      <c r="X536" s="722">
        <v>2.44</v>
      </c>
      <c r="Y536" s="722">
        <v>8.84</v>
      </c>
      <c r="Z536" s="382">
        <v>0.20859706366703756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1754.5</v>
      </c>
      <c r="AF536" s="372">
        <v>2321.75</v>
      </c>
      <c r="AG536" s="372">
        <v>2676.33</v>
      </c>
      <c r="AH536" s="372">
        <v>0</v>
      </c>
    </row>
    <row r="537" spans="1:34">
      <c r="A537" s="372" t="s">
        <v>4161</v>
      </c>
      <c r="B537" s="373" t="s">
        <v>4162</v>
      </c>
      <c r="C537" s="372" t="s">
        <v>4163</v>
      </c>
      <c r="D537" s="374">
        <v>1101110126642</v>
      </c>
      <c r="E537" s="372" t="s">
        <v>4164</v>
      </c>
      <c r="F537" s="375" t="s">
        <v>821</v>
      </c>
      <c r="G537" s="375" t="s">
        <v>822</v>
      </c>
      <c r="H537" s="375" t="s">
        <v>823</v>
      </c>
      <c r="I537" s="375" t="s">
        <v>751</v>
      </c>
      <c r="J537" s="375">
        <v>1285042.6869000001</v>
      </c>
      <c r="K537" s="375">
        <v>16888.731329999999</v>
      </c>
      <c r="L537" s="375">
        <v>2305.0589300000001</v>
      </c>
      <c r="M537" s="375">
        <v>835293.71825999999</v>
      </c>
      <c r="N537" s="372">
        <v>0.92600000000000005</v>
      </c>
      <c r="O537" s="704">
        <v>223.41644728274778</v>
      </c>
      <c r="P537" s="375" t="s">
        <v>619</v>
      </c>
      <c r="Q537" s="375" t="s">
        <v>619</v>
      </c>
      <c r="R537" s="696">
        <v>19890805</v>
      </c>
      <c r="S537" s="375" t="s">
        <v>4165</v>
      </c>
      <c r="T537" s="697">
        <v>0.20900000000000002</v>
      </c>
      <c r="U537" s="375" t="s">
        <v>4166</v>
      </c>
      <c r="V537" s="722">
        <v>10.7</v>
      </c>
      <c r="W537" s="722">
        <v>0.36</v>
      </c>
      <c r="X537" s="722">
        <v>0.24</v>
      </c>
      <c r="Y537" s="722" t="s">
        <v>770</v>
      </c>
      <c r="Z537" s="382">
        <v>1.8369211108515859E-2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12935.67</v>
      </c>
      <c r="AF537" s="372">
        <v>14283</v>
      </c>
      <c r="AG537" s="372">
        <v>14108.5</v>
      </c>
      <c r="AH537" s="372">
        <v>0</v>
      </c>
    </row>
    <row r="538" spans="1:34">
      <c r="A538" s="372" t="s">
        <v>4167</v>
      </c>
      <c r="B538" s="373" t="s">
        <v>4168</v>
      </c>
      <c r="C538" s="372" t="s">
        <v>4169</v>
      </c>
      <c r="D538" s="374">
        <v>1101111105215</v>
      </c>
      <c r="E538" s="372" t="s">
        <v>4169</v>
      </c>
      <c r="F538" s="375" t="s">
        <v>890</v>
      </c>
      <c r="G538" s="375" t="s">
        <v>891</v>
      </c>
      <c r="H538" s="375" t="s">
        <v>852</v>
      </c>
      <c r="I538" s="375" t="s">
        <v>751</v>
      </c>
      <c r="J538" s="375">
        <v>508820.47081000003</v>
      </c>
      <c r="K538" s="375">
        <v>70157.568570000003</v>
      </c>
      <c r="L538" s="375">
        <v>81206.092180000007</v>
      </c>
      <c r="M538" s="375">
        <v>1966841.6489299999</v>
      </c>
      <c r="N538" s="372">
        <v>0.69099999999999995</v>
      </c>
      <c r="O538" s="704">
        <v>23.483407860411969</v>
      </c>
      <c r="P538" s="375" t="s">
        <v>619</v>
      </c>
      <c r="Q538" s="375" t="s">
        <v>619</v>
      </c>
      <c r="R538" s="696">
        <v>20140519</v>
      </c>
      <c r="S538" s="375" t="s">
        <v>851</v>
      </c>
      <c r="T538" s="697">
        <v>0.23100000000000001</v>
      </c>
      <c r="U538" s="375" t="s">
        <v>4170</v>
      </c>
      <c r="V538" s="722">
        <v>5.9</v>
      </c>
      <c r="W538" s="722">
        <v>0.2</v>
      </c>
      <c r="X538" s="722">
        <v>0.67</v>
      </c>
      <c r="Y538" s="722">
        <v>3.64</v>
      </c>
      <c r="Z538" s="382">
        <v>-1.0413506361992564E-2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4040</v>
      </c>
      <c r="AF538" s="372">
        <v>4140</v>
      </c>
      <c r="AG538" s="372">
        <v>4250</v>
      </c>
      <c r="AH538" s="372">
        <v>0</v>
      </c>
    </row>
    <row r="539" spans="1:34">
      <c r="A539" s="372" t="s">
        <v>4171</v>
      </c>
      <c r="B539" s="373" t="s">
        <v>4172</v>
      </c>
      <c r="C539" s="372" t="s">
        <v>4173</v>
      </c>
      <c r="D539" s="374">
        <v>1801110044717</v>
      </c>
      <c r="E539" s="372" t="s">
        <v>4174</v>
      </c>
      <c r="F539" s="375" t="s">
        <v>1740</v>
      </c>
      <c r="G539" s="375" t="s">
        <v>1740</v>
      </c>
      <c r="H539" s="375" t="s">
        <v>843</v>
      </c>
      <c r="I539" s="375" t="s">
        <v>751</v>
      </c>
      <c r="J539" s="375">
        <v>1504452.1203600001</v>
      </c>
      <c r="K539" s="375">
        <v>37183.956850000002</v>
      </c>
      <c r="L539" s="375">
        <v>-1023.53892</v>
      </c>
      <c r="M539" s="375">
        <v>957940.55764999997</v>
      </c>
      <c r="N539" s="372">
        <v>0.56200000000000006</v>
      </c>
      <c r="O539" s="704">
        <v>213.1417251821122</v>
      </c>
      <c r="P539" s="375" t="s">
        <v>619</v>
      </c>
      <c r="Q539" s="372" t="s">
        <v>619</v>
      </c>
      <c r="R539" s="696">
        <v>19731115</v>
      </c>
      <c r="S539" s="375" t="s">
        <v>4175</v>
      </c>
      <c r="T539" s="697" t="s">
        <v>768</v>
      </c>
      <c r="U539" s="372" t="s">
        <v>4176</v>
      </c>
      <c r="V539" s="722">
        <v>18.899999999999999</v>
      </c>
      <c r="W539" s="722">
        <v>0.48</v>
      </c>
      <c r="X539" s="722">
        <v>0.18</v>
      </c>
      <c r="Y539" s="722" t="s">
        <v>770</v>
      </c>
      <c r="Z539" s="382" t="s">
        <v>924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4177</v>
      </c>
      <c r="B540" s="373" t="s">
        <v>4178</v>
      </c>
      <c r="C540" s="372" t="s">
        <v>4179</v>
      </c>
      <c r="D540" s="374">
        <v>1101110034960</v>
      </c>
      <c r="E540" s="372" t="s">
        <v>4180</v>
      </c>
      <c r="F540" s="375" t="s">
        <v>4181</v>
      </c>
      <c r="G540" s="375" t="s">
        <v>4181</v>
      </c>
      <c r="H540" s="375" t="s">
        <v>750</v>
      </c>
      <c r="I540" s="375" t="s">
        <v>751</v>
      </c>
      <c r="J540" s="375">
        <v>353773.69997000002</v>
      </c>
      <c r="K540" s="375">
        <v>17503.70752</v>
      </c>
      <c r="L540" s="375">
        <v>60771.168680000002</v>
      </c>
      <c r="M540" s="375">
        <v>1026794.93459</v>
      </c>
      <c r="N540" s="372">
        <v>0.67</v>
      </c>
      <c r="O540" s="704">
        <v>3.9328503255250182</v>
      </c>
      <c r="P540" s="375" t="s">
        <v>619</v>
      </c>
      <c r="Q540" s="372" t="s">
        <v>619</v>
      </c>
      <c r="R540" s="696">
        <v>19961224</v>
      </c>
      <c r="S540" s="375" t="s">
        <v>4182</v>
      </c>
      <c r="T540" s="697">
        <v>0.23100000000000001</v>
      </c>
      <c r="U540" s="375" t="s">
        <v>4183</v>
      </c>
      <c r="V540" s="722">
        <v>13.01</v>
      </c>
      <c r="W540" s="722">
        <v>0.39</v>
      </c>
      <c r="X540" s="722">
        <v>1.18</v>
      </c>
      <c r="Y540" s="722">
        <v>8.69</v>
      </c>
      <c r="Z540" s="382" t="s">
        <v>924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4184</v>
      </c>
      <c r="B541" s="373" t="s">
        <v>4185</v>
      </c>
      <c r="C541" s="372" t="s">
        <v>4186</v>
      </c>
      <c r="D541" s="374">
        <v>1101110345630</v>
      </c>
      <c r="E541" s="372" t="s">
        <v>4187</v>
      </c>
      <c r="F541" s="375" t="s">
        <v>4188</v>
      </c>
      <c r="G541" s="375" t="s">
        <v>4189</v>
      </c>
      <c r="H541" s="375" t="s">
        <v>965</v>
      </c>
      <c r="I541" s="375" t="s">
        <v>751</v>
      </c>
      <c r="J541" s="375">
        <v>379047.04256999999</v>
      </c>
      <c r="K541" s="375">
        <v>28368.597399999999</v>
      </c>
      <c r="L541" s="375">
        <v>66207.090719999993</v>
      </c>
      <c r="M541" s="375">
        <v>561943.04359999998</v>
      </c>
      <c r="N541" s="372">
        <v>0.57299999999999995</v>
      </c>
      <c r="O541" s="704">
        <v>1.2712795388139944</v>
      </c>
      <c r="P541" s="375" t="s">
        <v>619</v>
      </c>
      <c r="Q541" s="375" t="s">
        <v>619</v>
      </c>
      <c r="R541" s="696">
        <v>19961224</v>
      </c>
      <c r="S541" s="375" t="s">
        <v>4190</v>
      </c>
      <c r="T541" s="697">
        <v>0.23100000000000001</v>
      </c>
      <c r="U541" s="375" t="s">
        <v>4191</v>
      </c>
      <c r="V541" s="722">
        <v>12.56</v>
      </c>
      <c r="W541" s="722">
        <v>0.78</v>
      </c>
      <c r="X541" s="722">
        <v>1.29</v>
      </c>
      <c r="Y541" s="722">
        <v>9.08</v>
      </c>
      <c r="Z541" s="382" t="s">
        <v>924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4192</v>
      </c>
      <c r="B542" s="373" t="s">
        <v>4193</v>
      </c>
      <c r="C542" s="372" t="s">
        <v>4194</v>
      </c>
      <c r="D542" s="374">
        <v>1752110014707</v>
      </c>
      <c r="E542" s="372" t="s">
        <v>4195</v>
      </c>
      <c r="F542" s="375" t="s">
        <v>842</v>
      </c>
      <c r="G542" s="375" t="s">
        <v>842</v>
      </c>
      <c r="H542" s="375" t="s">
        <v>843</v>
      </c>
      <c r="I542" s="375" t="s">
        <v>751</v>
      </c>
      <c r="J542" s="375">
        <v>294317.46065999998</v>
      </c>
      <c r="K542" s="375">
        <v>4410.1068299999997</v>
      </c>
      <c r="L542" s="375">
        <v>-36303.218480000003</v>
      </c>
      <c r="M542" s="375">
        <v>248274.94923</v>
      </c>
      <c r="N542" s="372">
        <v>0.78600000000000003</v>
      </c>
      <c r="O542" s="704">
        <v>33.418038800241327</v>
      </c>
      <c r="P542" s="375" t="s">
        <v>16112</v>
      </c>
      <c r="Q542" s="372" t="s">
        <v>16113</v>
      </c>
      <c r="R542" s="696">
        <v>20071101</v>
      </c>
      <c r="S542" s="372" t="s">
        <v>4196</v>
      </c>
      <c r="T542" s="697" t="s">
        <v>768</v>
      </c>
      <c r="U542" s="372" t="s">
        <v>4197</v>
      </c>
      <c r="V542" s="722">
        <v>55.86</v>
      </c>
      <c r="W542" s="722">
        <v>1.72</v>
      </c>
      <c r="X542" s="722">
        <v>1.19</v>
      </c>
      <c r="Y542" s="722" t="s">
        <v>770</v>
      </c>
      <c r="Z542" s="382" t="s">
        <v>924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4198</v>
      </c>
      <c r="B543" s="373" t="s">
        <v>4199</v>
      </c>
      <c r="C543" s="372" t="s">
        <v>4200</v>
      </c>
      <c r="D543" s="374">
        <v>1101111957195</v>
      </c>
      <c r="E543" s="372" t="s">
        <v>4201</v>
      </c>
      <c r="F543" s="375" t="s">
        <v>1761</v>
      </c>
      <c r="G543" s="375" t="s">
        <v>2235</v>
      </c>
      <c r="H543" s="375" t="s">
        <v>858</v>
      </c>
      <c r="I543" s="375" t="s">
        <v>859</v>
      </c>
      <c r="J543" s="375">
        <v>612939.36438000004</v>
      </c>
      <c r="K543" s="375">
        <v>48564.475729999998</v>
      </c>
      <c r="L543" s="375">
        <v>7334.22541</v>
      </c>
      <c r="M543" s="375">
        <v>397804.55557999999</v>
      </c>
      <c r="N543" s="372">
        <v>1.2350000000000001</v>
      </c>
      <c r="O543" s="704">
        <v>95.511590219360002</v>
      </c>
      <c r="P543" s="375" t="s">
        <v>619</v>
      </c>
      <c r="Q543" s="375" t="s">
        <v>619</v>
      </c>
      <c r="R543" s="696">
        <v>20090528</v>
      </c>
      <c r="S543" s="375" t="s">
        <v>4202</v>
      </c>
      <c r="T543" s="697">
        <v>0.20900000000000002</v>
      </c>
      <c r="U543" s="375" t="s">
        <v>4203</v>
      </c>
      <c r="V543" s="722">
        <v>5.27</v>
      </c>
      <c r="W543" s="722">
        <v>0.82</v>
      </c>
      <c r="X543" s="722">
        <v>0.52</v>
      </c>
      <c r="Y543" s="722">
        <v>171.72</v>
      </c>
      <c r="Z543" s="382" t="s">
        <v>924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4204</v>
      </c>
      <c r="B544" s="373" t="s">
        <v>4205</v>
      </c>
      <c r="C544" s="372" t="s">
        <v>4206</v>
      </c>
      <c r="D544" s="374">
        <v>1311110046291</v>
      </c>
      <c r="E544" s="372" t="s">
        <v>4207</v>
      </c>
      <c r="F544" s="375" t="s">
        <v>766</v>
      </c>
      <c r="G544" s="375" t="s">
        <v>766</v>
      </c>
      <c r="H544" s="375" t="s">
        <v>858</v>
      </c>
      <c r="I544" s="375" t="s">
        <v>859</v>
      </c>
      <c r="J544" s="375">
        <v>459670.61358</v>
      </c>
      <c r="K544" s="375">
        <v>-11623.70968</v>
      </c>
      <c r="L544" s="375">
        <v>-26475.874339999998</v>
      </c>
      <c r="M544" s="375">
        <v>358955.53295000002</v>
      </c>
      <c r="N544" s="372">
        <v>1.222</v>
      </c>
      <c r="O544" s="704">
        <v>170.9756831549112</v>
      </c>
      <c r="P544" s="375" t="s">
        <v>619</v>
      </c>
      <c r="Q544" s="375" t="s">
        <v>619</v>
      </c>
      <c r="R544" s="696">
        <v>20110131</v>
      </c>
      <c r="S544" s="375" t="s">
        <v>4208</v>
      </c>
      <c r="T544" s="697" t="s">
        <v>768</v>
      </c>
      <c r="U544" s="375" t="s">
        <v>4209</v>
      </c>
      <c r="V544" s="722">
        <v>6.96</v>
      </c>
      <c r="W544" s="722">
        <v>0.77</v>
      </c>
      <c r="X544" s="722">
        <v>0.41</v>
      </c>
      <c r="Y544" s="722" t="s">
        <v>770</v>
      </c>
      <c r="Z544" s="382">
        <v>8.1165540638253653E-2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4518</v>
      </c>
      <c r="AF544" s="372">
        <v>5020</v>
      </c>
      <c r="AG544" s="372">
        <v>5696</v>
      </c>
      <c r="AH544" s="372">
        <v>0</v>
      </c>
    </row>
    <row r="545" spans="1:34">
      <c r="A545" s="372" t="s">
        <v>4210</v>
      </c>
      <c r="B545" s="373" t="s">
        <v>4211</v>
      </c>
      <c r="C545" s="372" t="s">
        <v>4212</v>
      </c>
      <c r="D545" s="374">
        <v>1801110605121</v>
      </c>
      <c r="E545" s="372" t="s">
        <v>4213</v>
      </c>
      <c r="F545" s="375" t="s">
        <v>1086</v>
      </c>
      <c r="G545" s="375" t="s">
        <v>1086</v>
      </c>
      <c r="H545" s="375" t="s">
        <v>906</v>
      </c>
      <c r="I545" s="375" t="s">
        <v>751</v>
      </c>
      <c r="J545" s="375">
        <v>1006430.33235</v>
      </c>
      <c r="K545" s="375">
        <v>161274.50294000001</v>
      </c>
      <c r="L545" s="375">
        <v>123846.48282</v>
      </c>
      <c r="M545" s="375">
        <v>202360.69592</v>
      </c>
      <c r="N545" s="372">
        <v>0.748</v>
      </c>
      <c r="O545" s="704">
        <v>240.46762012934155</v>
      </c>
      <c r="P545" s="375" t="s">
        <v>619</v>
      </c>
      <c r="Q545" s="375" t="s">
        <v>619</v>
      </c>
      <c r="R545" s="696">
        <v>20181227</v>
      </c>
      <c r="S545" s="375" t="s">
        <v>4214</v>
      </c>
      <c r="T545" s="697">
        <v>0.23100000000000001</v>
      </c>
      <c r="U545" s="375" t="s">
        <v>4215</v>
      </c>
      <c r="V545" s="722">
        <v>0</v>
      </c>
      <c r="W545" s="722">
        <v>0</v>
      </c>
      <c r="X545" s="722">
        <v>0</v>
      </c>
      <c r="Y545" s="722">
        <v>0</v>
      </c>
      <c r="Z545" s="382" t="s">
        <v>924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4216</v>
      </c>
      <c r="B546" s="373" t="s">
        <v>4217</v>
      </c>
      <c r="C546" s="372" t="s">
        <v>4218</v>
      </c>
      <c r="D546" s="374">
        <v>1101110362808</v>
      </c>
      <c r="E546" s="372" t="s">
        <v>4219</v>
      </c>
      <c r="F546" s="372" t="s">
        <v>4220</v>
      </c>
      <c r="G546" s="375" t="s">
        <v>4221</v>
      </c>
      <c r="H546" s="375" t="s">
        <v>1334</v>
      </c>
      <c r="I546" s="375" t="s">
        <v>859</v>
      </c>
      <c r="J546" s="375">
        <v>101498.95219</v>
      </c>
      <c r="K546" s="375">
        <v>31461.571179999999</v>
      </c>
      <c r="L546" s="375">
        <v>35057.637549999999</v>
      </c>
      <c r="M546" s="375">
        <v>125589.88656</v>
      </c>
      <c r="N546" s="372">
        <v>0.50700000000000001</v>
      </c>
      <c r="O546" s="704">
        <v>0.52768411678789684</v>
      </c>
      <c r="P546" s="375" t="s">
        <v>619</v>
      </c>
      <c r="Q546" s="375" t="s">
        <v>619</v>
      </c>
      <c r="R546" s="696">
        <v>20020205</v>
      </c>
      <c r="S546" s="375" t="s">
        <v>4222</v>
      </c>
      <c r="T546" s="697">
        <v>0.23100000000000001</v>
      </c>
      <c r="U546" s="375" t="s">
        <v>4223</v>
      </c>
      <c r="V546" s="722">
        <v>11.26</v>
      </c>
      <c r="W546" s="722">
        <v>3.45</v>
      </c>
      <c r="X546" s="722">
        <v>3.83</v>
      </c>
      <c r="Y546" s="722">
        <v>16.059999999999999</v>
      </c>
      <c r="Z546" s="382" t="s">
        <v>924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4224</v>
      </c>
      <c r="B547" s="373" t="s">
        <v>4225</v>
      </c>
      <c r="C547" s="372" t="s">
        <v>4226</v>
      </c>
      <c r="D547" s="374">
        <v>1101111271834</v>
      </c>
      <c r="E547" s="372" t="s">
        <v>4227</v>
      </c>
      <c r="F547" s="372" t="s">
        <v>2121</v>
      </c>
      <c r="G547" s="375" t="s">
        <v>4228</v>
      </c>
      <c r="H547" s="375" t="s">
        <v>858</v>
      </c>
      <c r="I547" s="375" t="s">
        <v>859</v>
      </c>
      <c r="J547" s="375">
        <v>191303.91828000001</v>
      </c>
      <c r="K547" s="375">
        <v>35978.508249999999</v>
      </c>
      <c r="L547" s="375">
        <v>40787.835579999999</v>
      </c>
      <c r="M547" s="375">
        <v>270374.48666</v>
      </c>
      <c r="N547" s="372">
        <v>0.625</v>
      </c>
      <c r="O547" s="704">
        <v>2.3963997755079456</v>
      </c>
      <c r="P547" s="375" t="s">
        <v>619</v>
      </c>
      <c r="Q547" s="375" t="s">
        <v>619</v>
      </c>
      <c r="R547" s="696">
        <v>20001212</v>
      </c>
      <c r="S547" s="375" t="s">
        <v>4229</v>
      </c>
      <c r="T547" s="697">
        <v>0.23100000000000001</v>
      </c>
      <c r="U547" s="375" t="s">
        <v>4230</v>
      </c>
      <c r="V547" s="722">
        <v>7.93</v>
      </c>
      <c r="W547" s="722">
        <v>1.2</v>
      </c>
      <c r="X547" s="722">
        <v>1.77</v>
      </c>
      <c r="Y547" s="722">
        <v>10.65</v>
      </c>
      <c r="Z547" s="382">
        <v>9.6330724150069269E-2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1980</v>
      </c>
      <c r="AF547" s="372">
        <v>2186</v>
      </c>
      <c r="AG547" s="372">
        <v>2461</v>
      </c>
      <c r="AH547" s="372">
        <v>0</v>
      </c>
    </row>
    <row r="548" spans="1:34">
      <c r="A548" s="372" t="s">
        <v>4231</v>
      </c>
      <c r="B548" s="373" t="s">
        <v>4232</v>
      </c>
      <c r="C548" s="372" t="s">
        <v>4233</v>
      </c>
      <c r="D548" s="374">
        <v>1101114071207</v>
      </c>
      <c r="E548" s="372" t="s">
        <v>4234</v>
      </c>
      <c r="F548" s="375" t="s">
        <v>4235</v>
      </c>
      <c r="G548" s="375" t="s">
        <v>4235</v>
      </c>
      <c r="H548" s="375" t="s">
        <v>823</v>
      </c>
      <c r="I548" s="375" t="s">
        <v>751</v>
      </c>
      <c r="J548" s="375">
        <v>3564172</v>
      </c>
      <c r="K548" s="375">
        <v>101422</v>
      </c>
      <c r="L548" s="375">
        <v>64292</v>
      </c>
      <c r="M548" s="375">
        <v>878291</v>
      </c>
      <c r="N548" s="372">
        <v>0.92</v>
      </c>
      <c r="O548" s="704">
        <v>237.51718768013629</v>
      </c>
      <c r="P548" s="375" t="s">
        <v>619</v>
      </c>
      <c r="Q548" s="372" t="s">
        <v>619</v>
      </c>
      <c r="R548" s="696">
        <v>20090420</v>
      </c>
      <c r="S548" s="372" t="s">
        <v>4236</v>
      </c>
      <c r="T548" s="697">
        <v>0.23100000000000001</v>
      </c>
      <c r="U548" s="372" t="s">
        <v>4237</v>
      </c>
      <c r="V548" s="722">
        <v>3.94</v>
      </c>
      <c r="W548" s="722">
        <v>0.45</v>
      </c>
      <c r="X548" s="722">
        <v>0.11</v>
      </c>
      <c r="Y548" s="722">
        <v>7.26</v>
      </c>
      <c r="Z548" s="382">
        <v>3.8706907576291361E-3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35297.86</v>
      </c>
      <c r="AF548" s="372">
        <v>35129.43</v>
      </c>
      <c r="AG548" s="372">
        <v>35807.14</v>
      </c>
      <c r="AH548" s="372">
        <v>0</v>
      </c>
    </row>
    <row r="549" spans="1:34">
      <c r="A549" s="372" t="s">
        <v>4238</v>
      </c>
      <c r="B549" s="373" t="s">
        <v>4239</v>
      </c>
      <c r="C549" s="372" t="s">
        <v>4240</v>
      </c>
      <c r="D549" s="374">
        <v>1701110290867</v>
      </c>
      <c r="E549" s="372" t="s">
        <v>4241</v>
      </c>
      <c r="F549" s="372" t="s">
        <v>4242</v>
      </c>
      <c r="G549" s="375" t="s">
        <v>4242</v>
      </c>
      <c r="H549" s="375" t="s">
        <v>965</v>
      </c>
      <c r="I549" s="375" t="s">
        <v>751</v>
      </c>
      <c r="J549" s="375">
        <v>111138.81432</v>
      </c>
      <c r="K549" s="375">
        <v>1919.9949799999999</v>
      </c>
      <c r="L549" s="375">
        <v>-12958.717930000001</v>
      </c>
      <c r="M549" s="375">
        <v>229597.17920000001</v>
      </c>
      <c r="N549" s="372">
        <v>0.49299999999999999</v>
      </c>
      <c r="O549" s="704">
        <v>58.538382791935192</v>
      </c>
      <c r="P549" s="375" t="s">
        <v>619</v>
      </c>
      <c r="Q549" s="372" t="s">
        <v>619</v>
      </c>
      <c r="R549" s="696">
        <v>20050726</v>
      </c>
      <c r="S549" s="372" t="s">
        <v>4243</v>
      </c>
      <c r="T549" s="697" t="s">
        <v>768</v>
      </c>
      <c r="U549" s="372" t="s">
        <v>4244</v>
      </c>
      <c r="V549" s="722">
        <v>0</v>
      </c>
      <c r="W549" s="722">
        <v>0</v>
      </c>
      <c r="X549" s="722">
        <v>0</v>
      </c>
      <c r="Y549" s="722">
        <v>0</v>
      </c>
      <c r="Z549" s="382" t="s">
        <v>924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4245</v>
      </c>
      <c r="B550" s="373" t="s">
        <v>4246</v>
      </c>
      <c r="C550" s="372" t="s">
        <v>4247</v>
      </c>
      <c r="D550" s="374">
        <v>1101110003709</v>
      </c>
      <c r="E550" s="372" t="s">
        <v>4248</v>
      </c>
      <c r="F550" s="375" t="s">
        <v>4249</v>
      </c>
      <c r="G550" s="375" t="s">
        <v>4250</v>
      </c>
      <c r="H550" s="375" t="s">
        <v>823</v>
      </c>
      <c r="I550" s="375" t="s">
        <v>751</v>
      </c>
      <c r="J550" s="375">
        <v>236738.24952000001</v>
      </c>
      <c r="K550" s="375">
        <v>7351.8894700000001</v>
      </c>
      <c r="L550" s="375">
        <v>-890.68411000000003</v>
      </c>
      <c r="M550" s="375">
        <v>213940.23555000001</v>
      </c>
      <c r="N550" s="372">
        <v>0.65900000000000003</v>
      </c>
      <c r="O550" s="704">
        <v>39.484232409637841</v>
      </c>
      <c r="P550" s="375" t="s">
        <v>619</v>
      </c>
      <c r="Q550" s="375" t="s">
        <v>619</v>
      </c>
      <c r="R550" s="696">
        <v>19760610</v>
      </c>
      <c r="S550" s="375" t="s">
        <v>4251</v>
      </c>
      <c r="T550" s="697" t="s">
        <v>768</v>
      </c>
      <c r="U550" s="375" t="s">
        <v>4252</v>
      </c>
      <c r="V550" s="722">
        <v>19.71</v>
      </c>
      <c r="W550" s="722">
        <v>1.85</v>
      </c>
      <c r="X550" s="722">
        <v>1.68</v>
      </c>
      <c r="Y550" s="722" t="s">
        <v>770</v>
      </c>
      <c r="Z550" s="382" t="s">
        <v>924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4253</v>
      </c>
      <c r="B551" s="373" t="s">
        <v>4254</v>
      </c>
      <c r="C551" s="372" t="s">
        <v>4255</v>
      </c>
      <c r="D551" s="374">
        <v>1101111670044</v>
      </c>
      <c r="E551" s="372" t="s">
        <v>4256</v>
      </c>
      <c r="F551" s="372" t="s">
        <v>2423</v>
      </c>
      <c r="G551" s="375" t="s">
        <v>2424</v>
      </c>
      <c r="H551" s="375" t="s">
        <v>858</v>
      </c>
      <c r="I551" s="375" t="s">
        <v>859</v>
      </c>
      <c r="J551" s="375">
        <v>32036.612000000001</v>
      </c>
      <c r="K551" s="375">
        <v>-2777.6239999999998</v>
      </c>
      <c r="L551" s="375">
        <v>-5907.2169299999996</v>
      </c>
      <c r="M551" s="375">
        <v>94058.642680000004</v>
      </c>
      <c r="N551" s="372">
        <v>1.161</v>
      </c>
      <c r="O551" s="704">
        <v>1.1898946442603209</v>
      </c>
      <c r="P551" s="375" t="s">
        <v>619</v>
      </c>
      <c r="Q551" s="375" t="s">
        <v>619</v>
      </c>
      <c r="R551" s="696">
        <v>20181026</v>
      </c>
      <c r="S551" s="375" t="s">
        <v>4257</v>
      </c>
      <c r="T551" s="697" t="s">
        <v>768</v>
      </c>
      <c r="U551" s="375" t="s">
        <v>4258</v>
      </c>
      <c r="V551" s="722" t="s">
        <v>770</v>
      </c>
      <c r="W551" s="722">
        <v>2.6</v>
      </c>
      <c r="X551" s="722">
        <v>7.98</v>
      </c>
      <c r="Y551" s="722" t="s">
        <v>770</v>
      </c>
      <c r="Z551" s="382">
        <v>0.187899009539783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333.5</v>
      </c>
      <c r="AF551" s="372">
        <v>469.5</v>
      </c>
      <c r="AG551" s="372">
        <v>580</v>
      </c>
      <c r="AH551" s="372">
        <v>850</v>
      </c>
    </row>
    <row r="552" spans="1:34">
      <c r="A552" s="372" t="s">
        <v>4259</v>
      </c>
      <c r="B552" s="373" t="s">
        <v>4260</v>
      </c>
      <c r="C552" s="372" t="s">
        <v>4261</v>
      </c>
      <c r="D552" s="374">
        <v>1101110842785</v>
      </c>
      <c r="E552" s="372" t="s">
        <v>4262</v>
      </c>
      <c r="F552" s="375" t="s">
        <v>4263</v>
      </c>
      <c r="G552" s="375" t="s">
        <v>4264</v>
      </c>
      <c r="H552" s="375" t="s">
        <v>988</v>
      </c>
      <c r="I552" s="375" t="s">
        <v>751</v>
      </c>
      <c r="J552" s="375">
        <v>198361.02419</v>
      </c>
      <c r="K552" s="375">
        <v>5090.6585599999999</v>
      </c>
      <c r="L552" s="375">
        <v>6214.8574399999998</v>
      </c>
      <c r="M552" s="375">
        <v>842387.45993000001</v>
      </c>
      <c r="N552" s="372">
        <v>0.44600000000000001</v>
      </c>
      <c r="O552" s="704">
        <v>8.3932217099719288</v>
      </c>
      <c r="P552" s="375" t="s">
        <v>619</v>
      </c>
      <c r="Q552" s="372" t="s">
        <v>619</v>
      </c>
      <c r="R552" s="696">
        <v>20101223</v>
      </c>
      <c r="S552" s="372" t="s">
        <v>4265</v>
      </c>
      <c r="T552" s="697">
        <v>0.20900000000000002</v>
      </c>
      <c r="U552" s="372" t="s">
        <v>4266</v>
      </c>
      <c r="V552" s="722">
        <v>29.66</v>
      </c>
      <c r="W552" s="722">
        <v>0.67</v>
      </c>
      <c r="X552" s="722">
        <v>2.5</v>
      </c>
      <c r="Y552" s="722" t="s">
        <v>770</v>
      </c>
      <c r="Z552" s="382" t="s">
        <v>924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4267</v>
      </c>
      <c r="B553" s="373" t="s">
        <v>4268</v>
      </c>
      <c r="C553" s="372" t="s">
        <v>4269</v>
      </c>
      <c r="D553" s="374">
        <v>1101111602667</v>
      </c>
      <c r="E553" s="372" t="s">
        <v>4270</v>
      </c>
      <c r="F553" s="375" t="s">
        <v>1793</v>
      </c>
      <c r="G553" s="375" t="s">
        <v>2794</v>
      </c>
      <c r="H553" s="375" t="s">
        <v>858</v>
      </c>
      <c r="I553" s="375" t="s">
        <v>859</v>
      </c>
      <c r="J553" s="375">
        <v>1407164.3347199999</v>
      </c>
      <c r="K553" s="375">
        <v>79801.936820000003</v>
      </c>
      <c r="L553" s="375">
        <v>89300.32243</v>
      </c>
      <c r="M553" s="375">
        <v>687429.87892000005</v>
      </c>
      <c r="N553" s="372">
        <v>0.76300000000000001</v>
      </c>
      <c r="O553" s="704">
        <v>157.52491488435476</v>
      </c>
      <c r="P553" s="375" t="s">
        <v>619</v>
      </c>
      <c r="Q553" s="375" t="s">
        <v>619</v>
      </c>
      <c r="R553" s="696">
        <v>20021120</v>
      </c>
      <c r="S553" s="375" t="s">
        <v>4271</v>
      </c>
      <c r="T553" s="697">
        <v>0.23100000000000001</v>
      </c>
      <c r="U553" s="375" t="s">
        <v>4272</v>
      </c>
      <c r="V553" s="722">
        <v>5.66</v>
      </c>
      <c r="W553" s="722">
        <v>0.55000000000000004</v>
      </c>
      <c r="X553" s="722">
        <v>0.19</v>
      </c>
      <c r="Y553" s="722">
        <v>4.95</v>
      </c>
      <c r="Z553" s="382">
        <v>2.7672427085045248E-2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14012.2</v>
      </c>
      <c r="AF553" s="372">
        <v>14249</v>
      </c>
      <c r="AG553" s="372">
        <v>14999.4</v>
      </c>
      <c r="AH553" s="372">
        <v>0</v>
      </c>
    </row>
    <row r="554" spans="1:34">
      <c r="A554" s="372" t="s">
        <v>4273</v>
      </c>
      <c r="B554" s="373" t="s">
        <v>4274</v>
      </c>
      <c r="C554" s="372" t="s">
        <v>4275</v>
      </c>
      <c r="D554" s="374">
        <v>1341110618279</v>
      </c>
      <c r="E554" s="372" t="s">
        <v>4276</v>
      </c>
      <c r="F554" s="375" t="s">
        <v>1273</v>
      </c>
      <c r="G554" s="375" t="s">
        <v>1449</v>
      </c>
      <c r="H554" s="375" t="s">
        <v>858</v>
      </c>
      <c r="I554" s="375" t="s">
        <v>859</v>
      </c>
      <c r="J554" s="375">
        <v>382294.00170000002</v>
      </c>
      <c r="K554" s="375">
        <v>4736.3589099999999</v>
      </c>
      <c r="L554" s="375">
        <v>-12085.096030000001</v>
      </c>
      <c r="M554" s="375">
        <v>162938.66183999999</v>
      </c>
      <c r="N554" s="372">
        <v>0.80400000000000005</v>
      </c>
      <c r="O554" s="704">
        <v>48.027293692404335</v>
      </c>
      <c r="P554" s="375" t="s">
        <v>619</v>
      </c>
      <c r="Q554" s="375" t="s">
        <v>619</v>
      </c>
      <c r="R554" s="696">
        <v>20221007</v>
      </c>
      <c r="S554" s="375" t="s">
        <v>4277</v>
      </c>
      <c r="T554" s="697" t="s">
        <v>768</v>
      </c>
      <c r="U554" s="375" t="s">
        <v>4278</v>
      </c>
      <c r="V554" s="722">
        <v>18.690000000000001</v>
      </c>
      <c r="W554" s="722">
        <v>1.59</v>
      </c>
      <c r="X554" s="722">
        <v>0.59</v>
      </c>
      <c r="Y554" s="722" t="s">
        <v>770</v>
      </c>
      <c r="Z554" s="382">
        <v>0.11643194664524303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4347</v>
      </c>
      <c r="AF554" s="372">
        <v>5423.67</v>
      </c>
      <c r="AG554" s="372">
        <v>5904</v>
      </c>
      <c r="AH554" s="372">
        <v>0</v>
      </c>
    </row>
    <row r="555" spans="1:34">
      <c r="A555" s="372" t="s">
        <v>4279</v>
      </c>
      <c r="B555" s="373" t="s">
        <v>4280</v>
      </c>
      <c r="C555" s="372" t="s">
        <v>4281</v>
      </c>
      <c r="D555" s="374">
        <v>1101110079817</v>
      </c>
      <c r="E555" s="372" t="s">
        <v>4282</v>
      </c>
      <c r="F555" s="375" t="s">
        <v>4283</v>
      </c>
      <c r="G555" s="375" t="s">
        <v>4283</v>
      </c>
      <c r="H555" s="375" t="s">
        <v>943</v>
      </c>
      <c r="I555" s="375" t="s">
        <v>751</v>
      </c>
      <c r="J555" s="375">
        <v>2382422.1639299998</v>
      </c>
      <c r="K555" s="375">
        <v>176653.62961999999</v>
      </c>
      <c r="L555" s="375">
        <v>74871.034419999996</v>
      </c>
      <c r="M555" s="375">
        <v>918519.50060999999</v>
      </c>
      <c r="N555" s="372">
        <v>0.70099999999999996</v>
      </c>
      <c r="O555" s="704">
        <v>484.06194799945393</v>
      </c>
      <c r="P555" s="375" t="s">
        <v>619</v>
      </c>
      <c r="Q555" s="375" t="s">
        <v>619</v>
      </c>
      <c r="R555" s="696">
        <v>19930106</v>
      </c>
      <c r="S555" s="375" t="s">
        <v>4284</v>
      </c>
      <c r="T555" s="697">
        <v>0.23100000000000001</v>
      </c>
      <c r="U555" s="375" t="s">
        <v>4285</v>
      </c>
      <c r="V555" s="722">
        <v>6.39</v>
      </c>
      <c r="W555" s="722">
        <v>0.53</v>
      </c>
      <c r="X555" s="722">
        <v>0.17</v>
      </c>
      <c r="Y555" s="722">
        <v>4.66</v>
      </c>
      <c r="Z555" s="382">
        <v>-2.9080841744721253E-2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23820.880000000001</v>
      </c>
      <c r="AF555" s="372">
        <v>25840.5</v>
      </c>
      <c r="AG555" s="372">
        <v>26873.33</v>
      </c>
      <c r="AH555" s="372">
        <v>28180</v>
      </c>
    </row>
    <row r="556" spans="1:34">
      <c r="A556" s="372" t="s">
        <v>4286</v>
      </c>
      <c r="B556" s="373" t="s">
        <v>4287</v>
      </c>
      <c r="C556" s="372" t="s">
        <v>4288</v>
      </c>
      <c r="D556" s="374">
        <v>1601110005177</v>
      </c>
      <c r="E556" s="372" t="s">
        <v>4289</v>
      </c>
      <c r="F556" s="375" t="s">
        <v>16098</v>
      </c>
      <c r="G556" s="375" t="s">
        <v>16098</v>
      </c>
      <c r="H556" s="375" t="s">
        <v>781</v>
      </c>
      <c r="I556" s="375" t="s">
        <v>751</v>
      </c>
      <c r="J556" s="375">
        <v>56589.908900000002</v>
      </c>
      <c r="K556" s="375">
        <v>1406.84663</v>
      </c>
      <c r="L556" s="375">
        <v>4564.4051600000003</v>
      </c>
      <c r="M556" s="375">
        <v>82566.344070000006</v>
      </c>
      <c r="N556" s="372">
        <v>1.07</v>
      </c>
      <c r="O556" s="704">
        <v>0.20237950486109191</v>
      </c>
      <c r="P556" s="375" t="s">
        <v>619</v>
      </c>
      <c r="Q556" s="375" t="s">
        <v>619</v>
      </c>
      <c r="R556" s="696">
        <v>19880520</v>
      </c>
      <c r="S556" s="375" t="s">
        <v>4290</v>
      </c>
      <c r="T556" s="697">
        <v>0.20900000000000002</v>
      </c>
      <c r="U556" s="375" t="s">
        <v>4291</v>
      </c>
      <c r="V556" s="722">
        <v>0</v>
      </c>
      <c r="W556" s="722">
        <v>0</v>
      </c>
      <c r="X556" s="722">
        <v>0</v>
      </c>
      <c r="Y556" s="722">
        <v>0</v>
      </c>
      <c r="Z556" s="382" t="s">
        <v>924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4292</v>
      </c>
      <c r="B557" s="373" t="s">
        <v>4293</v>
      </c>
      <c r="C557" s="372" t="s">
        <v>4294</v>
      </c>
      <c r="D557" s="374">
        <v>1501110001036</v>
      </c>
      <c r="E557" s="372" t="s">
        <v>4295</v>
      </c>
      <c r="F557" s="375" t="s">
        <v>4296</v>
      </c>
      <c r="G557" s="375" t="s">
        <v>4296</v>
      </c>
      <c r="H557" s="375" t="s">
        <v>965</v>
      </c>
      <c r="I557" s="375" t="s">
        <v>751</v>
      </c>
      <c r="J557" s="375">
        <v>91905.271099999998</v>
      </c>
      <c r="K557" s="375">
        <v>5037.0816000000004</v>
      </c>
      <c r="L557" s="375">
        <v>11634.97882</v>
      </c>
      <c r="M557" s="375">
        <v>504651.88030999998</v>
      </c>
      <c r="N557" s="372">
        <v>0.46899999999999997</v>
      </c>
      <c r="O557" s="704">
        <v>12.102564009898266</v>
      </c>
      <c r="P557" s="375" t="s">
        <v>619</v>
      </c>
      <c r="Q557" s="372" t="s">
        <v>619</v>
      </c>
      <c r="R557" s="696">
        <v>19770527</v>
      </c>
      <c r="S557" s="372" t="s">
        <v>4297</v>
      </c>
      <c r="T557" s="697">
        <v>0.20900000000000002</v>
      </c>
      <c r="U557" s="372" t="s">
        <v>4298</v>
      </c>
      <c r="V557" s="722">
        <v>0</v>
      </c>
      <c r="W557" s="722">
        <v>0</v>
      </c>
      <c r="X557" s="722">
        <v>0</v>
      </c>
      <c r="Y557" s="722">
        <v>0</v>
      </c>
      <c r="Z557" s="382" t="s">
        <v>924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4299</v>
      </c>
      <c r="B558" s="373" t="s">
        <v>4300</v>
      </c>
      <c r="C558" s="372" t="s">
        <v>4301</v>
      </c>
      <c r="D558" s="374">
        <v>1101110040165</v>
      </c>
      <c r="E558" s="372" t="s">
        <v>4302</v>
      </c>
      <c r="F558" s="375" t="s">
        <v>1463</v>
      </c>
      <c r="G558" s="375" t="s">
        <v>1464</v>
      </c>
      <c r="H558" s="375" t="s">
        <v>1465</v>
      </c>
      <c r="I558" s="375" t="s">
        <v>751</v>
      </c>
      <c r="J558" s="375">
        <v>2240240.9151699999</v>
      </c>
      <c r="K558" s="375">
        <v>297322.4534</v>
      </c>
      <c r="L558" s="375">
        <v>290052.67781999998</v>
      </c>
      <c r="M558" s="375">
        <v>2304733.2403600002</v>
      </c>
      <c r="N558" s="372">
        <v>0.57099999999999995</v>
      </c>
      <c r="O558" s="704">
        <v>208.31386889429578</v>
      </c>
      <c r="P558" s="375" t="s">
        <v>619</v>
      </c>
      <c r="Q558" s="375" t="s">
        <v>619</v>
      </c>
      <c r="R558" s="696">
        <v>19691120</v>
      </c>
      <c r="S558" s="375" t="s">
        <v>2635</v>
      </c>
      <c r="T558" s="697">
        <v>0.23100000000000001</v>
      </c>
      <c r="U558" s="375" t="s">
        <v>4303</v>
      </c>
      <c r="V558" s="722">
        <v>3.84</v>
      </c>
      <c r="W558" s="722">
        <v>0.26</v>
      </c>
      <c r="X558" s="722">
        <v>0.19</v>
      </c>
      <c r="Y558" s="722">
        <v>3.43</v>
      </c>
      <c r="Z558" s="382" t="s">
        <v>924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4304</v>
      </c>
      <c r="B559" s="373" t="s">
        <v>4305</v>
      </c>
      <c r="C559" s="372" t="s">
        <v>4306</v>
      </c>
      <c r="D559" s="374">
        <v>1101111081928</v>
      </c>
      <c r="E559" s="372" t="s">
        <v>4307</v>
      </c>
      <c r="F559" s="375" t="s">
        <v>1793</v>
      </c>
      <c r="G559" s="375" t="s">
        <v>2794</v>
      </c>
      <c r="H559" s="375" t="s">
        <v>858</v>
      </c>
      <c r="I559" s="375" t="s">
        <v>859</v>
      </c>
      <c r="J559" s="375">
        <v>133395.36472000001</v>
      </c>
      <c r="K559" s="375">
        <v>12037.336880000001</v>
      </c>
      <c r="L559" s="375">
        <v>4209.6011500000004</v>
      </c>
      <c r="M559" s="375">
        <v>115740.69317</v>
      </c>
      <c r="N559" s="372">
        <v>0.999</v>
      </c>
      <c r="O559" s="704">
        <v>33.36053712431908</v>
      </c>
      <c r="P559" s="375" t="s">
        <v>619</v>
      </c>
      <c r="Q559" s="372" t="s">
        <v>619</v>
      </c>
      <c r="R559" s="696">
        <v>20070720</v>
      </c>
      <c r="S559" s="375" t="s">
        <v>4308</v>
      </c>
      <c r="T559" s="697">
        <v>0.20900000000000002</v>
      </c>
      <c r="U559" s="372" t="s">
        <v>4309</v>
      </c>
      <c r="V559" s="722">
        <v>30.58</v>
      </c>
      <c r="W559" s="722">
        <v>2.92</v>
      </c>
      <c r="X559" s="722">
        <v>2.54</v>
      </c>
      <c r="Y559" s="722">
        <v>144.69</v>
      </c>
      <c r="Z559" s="382" t="s">
        <v>924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4310</v>
      </c>
      <c r="B560" s="373" t="s">
        <v>4311</v>
      </c>
      <c r="C560" s="372" t="s">
        <v>4312</v>
      </c>
      <c r="D560" s="374">
        <v>1101110404361</v>
      </c>
      <c r="E560" s="372" t="s">
        <v>4313</v>
      </c>
      <c r="F560" s="375" t="s">
        <v>1300</v>
      </c>
      <c r="G560" s="375" t="s">
        <v>1300</v>
      </c>
      <c r="H560" s="375" t="s">
        <v>858</v>
      </c>
      <c r="I560" s="375" t="s">
        <v>859</v>
      </c>
      <c r="J560" s="375">
        <v>550682.85016000003</v>
      </c>
      <c r="K560" s="375">
        <v>46817.229700000004</v>
      </c>
      <c r="L560" s="375">
        <v>37655.020570000001</v>
      </c>
      <c r="M560" s="375">
        <v>182169.21903000001</v>
      </c>
      <c r="N560" s="372">
        <v>0.496</v>
      </c>
      <c r="O560" s="704">
        <v>12.135935260592918</v>
      </c>
      <c r="P560" s="375" t="s">
        <v>619</v>
      </c>
      <c r="Q560" s="372" t="s">
        <v>619</v>
      </c>
      <c r="R560" s="696">
        <v>19971219</v>
      </c>
      <c r="S560" s="372" t="s">
        <v>4314</v>
      </c>
      <c r="T560" s="697">
        <v>0.23100000000000001</v>
      </c>
      <c r="U560" s="372" t="s">
        <v>4315</v>
      </c>
      <c r="V560" s="722">
        <v>6.42</v>
      </c>
      <c r="W560" s="722">
        <v>1.8</v>
      </c>
      <c r="X560" s="722">
        <v>0.62</v>
      </c>
      <c r="Y560" s="722">
        <v>11.87</v>
      </c>
      <c r="Z560" s="382">
        <v>6.2156300797511665E-2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5641</v>
      </c>
      <c r="AF560" s="372">
        <v>6330</v>
      </c>
      <c r="AG560" s="372">
        <v>6763.67</v>
      </c>
      <c r="AH560" s="372">
        <v>0</v>
      </c>
    </row>
    <row r="561" spans="1:34">
      <c r="A561" s="372" t="s">
        <v>4316</v>
      </c>
      <c r="B561" s="373" t="s">
        <v>4317</v>
      </c>
      <c r="C561" s="372" t="s">
        <v>4318</v>
      </c>
      <c r="D561" s="374">
        <v>1345110028404</v>
      </c>
      <c r="E561" s="372" t="s">
        <v>4319</v>
      </c>
      <c r="F561" s="375" t="s">
        <v>1052</v>
      </c>
      <c r="G561" s="375" t="s">
        <v>16101</v>
      </c>
      <c r="H561" s="375" t="s">
        <v>858</v>
      </c>
      <c r="I561" s="375" t="s">
        <v>859</v>
      </c>
      <c r="J561" s="375">
        <v>150313.40324000001</v>
      </c>
      <c r="K561" s="375">
        <v>46789.33365</v>
      </c>
      <c r="L561" s="375">
        <v>48113.883119999999</v>
      </c>
      <c r="M561" s="375">
        <v>162876.39562</v>
      </c>
      <c r="N561" s="372">
        <v>0.43099999999999999</v>
      </c>
      <c r="O561" s="704">
        <v>8.9343984990807063E-2</v>
      </c>
      <c r="P561" s="375" t="s">
        <v>619</v>
      </c>
      <c r="Q561" s="372" t="s">
        <v>619</v>
      </c>
      <c r="R561" s="696">
        <v>20201120</v>
      </c>
      <c r="S561" s="372" t="s">
        <v>4320</v>
      </c>
      <c r="T561" s="697">
        <v>0.23100000000000001</v>
      </c>
      <c r="U561" s="372" t="s">
        <v>4321</v>
      </c>
      <c r="V561" s="722">
        <v>11.89</v>
      </c>
      <c r="W561" s="722">
        <v>3.64</v>
      </c>
      <c r="X561" s="722">
        <v>3.99</v>
      </c>
      <c r="Y561" s="722">
        <v>15.14</v>
      </c>
      <c r="Z561" s="382">
        <v>0.23442604119468369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1744.75</v>
      </c>
      <c r="AF561" s="372">
        <v>2226.25</v>
      </c>
      <c r="AG561" s="372">
        <v>2681</v>
      </c>
      <c r="AH561" s="372">
        <v>0</v>
      </c>
    </row>
    <row r="562" spans="1:34">
      <c r="A562" s="372" t="s">
        <v>4322</v>
      </c>
      <c r="B562" s="373" t="s">
        <v>4323</v>
      </c>
      <c r="C562" s="372" t="s">
        <v>4324</v>
      </c>
      <c r="D562" s="374">
        <v>1313110030042</v>
      </c>
      <c r="E562" s="372" t="s">
        <v>4325</v>
      </c>
      <c r="F562" s="372" t="s">
        <v>890</v>
      </c>
      <c r="G562" s="375" t="s">
        <v>891</v>
      </c>
      <c r="H562" s="375" t="s">
        <v>852</v>
      </c>
      <c r="I562" s="375" t="s">
        <v>751</v>
      </c>
      <c r="J562" s="375">
        <v>1328338.17557</v>
      </c>
      <c r="K562" s="375">
        <v>75887.404620000001</v>
      </c>
      <c r="L562" s="375">
        <v>37481.518479999999</v>
      </c>
      <c r="M562" s="375">
        <v>1039100.8494900001</v>
      </c>
      <c r="N562" s="372">
        <v>0.58699999999999997</v>
      </c>
      <c r="O562" s="704">
        <v>290.46192153065829</v>
      </c>
      <c r="P562" s="375" t="s">
        <v>619</v>
      </c>
      <c r="Q562" s="375" t="s">
        <v>619</v>
      </c>
      <c r="R562" s="696">
        <v>20100519</v>
      </c>
      <c r="S562" s="375" t="s">
        <v>4326</v>
      </c>
      <c r="T562" s="697">
        <v>0.23100000000000001</v>
      </c>
      <c r="U562" s="375" t="s">
        <v>4327</v>
      </c>
      <c r="V562" s="722">
        <v>9.26</v>
      </c>
      <c r="W562" s="722">
        <v>0.34</v>
      </c>
      <c r="X562" s="722">
        <v>0.27</v>
      </c>
      <c r="Y562" s="722">
        <v>15.09</v>
      </c>
      <c r="Z562" s="382">
        <v>4.5265318383689079E-2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13795.83</v>
      </c>
      <c r="AF562" s="372">
        <v>14558</v>
      </c>
      <c r="AG562" s="372">
        <v>15345.8</v>
      </c>
      <c r="AH562" s="372">
        <v>17910</v>
      </c>
    </row>
    <row r="563" spans="1:34">
      <c r="A563" s="372" t="s">
        <v>4328</v>
      </c>
      <c r="B563" s="373" t="s">
        <v>4329</v>
      </c>
      <c r="C563" s="372" t="s">
        <v>4330</v>
      </c>
      <c r="D563" s="374">
        <v>1101110191398</v>
      </c>
      <c r="E563" s="372" t="s">
        <v>4331</v>
      </c>
      <c r="F563" s="375" t="s">
        <v>5684</v>
      </c>
      <c r="G563" s="375" t="s">
        <v>5684</v>
      </c>
      <c r="H563" s="375" t="s">
        <v>858</v>
      </c>
      <c r="I563" s="375" t="s">
        <v>859</v>
      </c>
      <c r="J563" s="375">
        <v>241656.59782</v>
      </c>
      <c r="K563" s="375">
        <v>9026.4823400000005</v>
      </c>
      <c r="L563" s="375">
        <v>4187.9010900000003</v>
      </c>
      <c r="M563" s="375">
        <v>71911.599719999998</v>
      </c>
      <c r="N563" s="372">
        <v>1.137</v>
      </c>
      <c r="O563" s="704">
        <v>13.250650378819149</v>
      </c>
      <c r="P563" s="375" t="s">
        <v>619</v>
      </c>
      <c r="Q563" s="375" t="s">
        <v>619</v>
      </c>
      <c r="R563" s="696">
        <v>20091120</v>
      </c>
      <c r="S563" s="375" t="s">
        <v>4334</v>
      </c>
      <c r="T563" s="697">
        <v>0.20900000000000002</v>
      </c>
      <c r="U563" s="372" t="s">
        <v>4335</v>
      </c>
      <c r="V563" s="722">
        <v>30.96</v>
      </c>
      <c r="W563" s="722">
        <v>8.19</v>
      </c>
      <c r="X563" s="722">
        <v>1.36</v>
      </c>
      <c r="Y563" s="722">
        <v>51.49</v>
      </c>
      <c r="Z563" s="382" t="s">
        <v>924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4336</v>
      </c>
      <c r="B564" s="373" t="s">
        <v>4337</v>
      </c>
      <c r="C564" s="372" t="s">
        <v>4338</v>
      </c>
      <c r="D564" s="374">
        <v>2301110120607</v>
      </c>
      <c r="E564" s="372" t="s">
        <v>4339</v>
      </c>
      <c r="F564" s="372" t="s">
        <v>1761</v>
      </c>
      <c r="G564" s="375" t="s">
        <v>1761</v>
      </c>
      <c r="H564" s="375" t="s">
        <v>858</v>
      </c>
      <c r="I564" s="375" t="s">
        <v>859</v>
      </c>
      <c r="J564" s="375">
        <v>102042.74932</v>
      </c>
      <c r="K564" s="375">
        <v>-21094.194680000001</v>
      </c>
      <c r="L564" s="375">
        <v>-65744.612420000005</v>
      </c>
      <c r="M564" s="375">
        <v>218708.3579</v>
      </c>
      <c r="N564" s="372">
        <v>1.091</v>
      </c>
      <c r="O564" s="704">
        <v>32.967210372289756</v>
      </c>
      <c r="P564" s="375" t="s">
        <v>619</v>
      </c>
      <c r="Q564" s="375" t="s">
        <v>619</v>
      </c>
      <c r="R564" s="696">
        <v>20190802</v>
      </c>
      <c r="S564" s="375" t="s">
        <v>4340</v>
      </c>
      <c r="T564" s="697" t="s">
        <v>768</v>
      </c>
      <c r="U564" s="375" t="s">
        <v>4341</v>
      </c>
      <c r="V564" s="722" t="s">
        <v>770</v>
      </c>
      <c r="W564" s="722">
        <v>4.45</v>
      </c>
      <c r="X564" s="722">
        <v>9.01</v>
      </c>
      <c r="Y564" s="722" t="s">
        <v>770</v>
      </c>
      <c r="Z564" s="382" t="s">
        <v>924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4342</v>
      </c>
      <c r="B565" s="373" t="s">
        <v>4343</v>
      </c>
      <c r="C565" s="372" t="s">
        <v>4344</v>
      </c>
      <c r="D565" s="374">
        <v>1911110019783</v>
      </c>
      <c r="E565" s="372" t="s">
        <v>4345</v>
      </c>
      <c r="F565" s="375" t="s">
        <v>2219</v>
      </c>
      <c r="G565" s="375" t="s">
        <v>2219</v>
      </c>
      <c r="H565" s="375" t="s">
        <v>858</v>
      </c>
      <c r="I565" s="375" t="s">
        <v>859</v>
      </c>
      <c r="J565" s="375">
        <v>155738.97967</v>
      </c>
      <c r="K565" s="375">
        <v>-6164.8753299999998</v>
      </c>
      <c r="L565" s="375">
        <v>-39969.77953</v>
      </c>
      <c r="M565" s="375">
        <v>217840.00065999999</v>
      </c>
      <c r="N565" s="372">
        <v>1.07</v>
      </c>
      <c r="O565" s="704">
        <v>67.180426215671901</v>
      </c>
      <c r="P565" s="375" t="s">
        <v>619</v>
      </c>
      <c r="Q565" s="375" t="s">
        <v>619</v>
      </c>
      <c r="R565" s="696">
        <v>20130912</v>
      </c>
      <c r="S565" s="375" t="s">
        <v>4346</v>
      </c>
      <c r="T565" s="697" t="s">
        <v>768</v>
      </c>
      <c r="U565" s="375" t="s">
        <v>4347</v>
      </c>
      <c r="V565" s="722">
        <v>58.81</v>
      </c>
      <c r="W565" s="722">
        <v>1.48</v>
      </c>
      <c r="X565" s="722">
        <v>1.61</v>
      </c>
      <c r="Y565" s="722" t="s">
        <v>770</v>
      </c>
      <c r="Z565" s="382" t="s">
        <v>924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4348</v>
      </c>
      <c r="B566" s="373" t="s">
        <v>4349</v>
      </c>
      <c r="C566" s="372" t="s">
        <v>4350</v>
      </c>
      <c r="D566" s="374">
        <v>1159110017303</v>
      </c>
      <c r="E566" s="372" t="s">
        <v>4351</v>
      </c>
      <c r="F566" s="375" t="s">
        <v>4352</v>
      </c>
      <c r="G566" s="375" t="s">
        <v>4352</v>
      </c>
      <c r="H566" s="375" t="s">
        <v>1334</v>
      </c>
      <c r="I566" s="375" t="s">
        <v>859</v>
      </c>
      <c r="J566" s="375">
        <v>207569.66068</v>
      </c>
      <c r="K566" s="375">
        <v>18524.91273</v>
      </c>
      <c r="L566" s="375">
        <v>-9927.2747299999992</v>
      </c>
      <c r="M566" s="375">
        <v>352262.08876000001</v>
      </c>
      <c r="N566" s="372">
        <v>0.86</v>
      </c>
      <c r="O566" s="704">
        <v>56.309788219852173</v>
      </c>
      <c r="P566" s="375" t="s">
        <v>619</v>
      </c>
      <c r="Q566" s="375" t="s">
        <v>619</v>
      </c>
      <c r="R566" s="696">
        <v>20020611</v>
      </c>
      <c r="S566" s="375" t="s">
        <v>4353</v>
      </c>
      <c r="T566" s="697" t="s">
        <v>768</v>
      </c>
      <c r="U566" s="375" t="s">
        <v>4354</v>
      </c>
      <c r="V566" s="722">
        <v>9.4</v>
      </c>
      <c r="W566" s="722">
        <v>0.77</v>
      </c>
      <c r="X566" s="722">
        <v>1.36</v>
      </c>
      <c r="Y566" s="722" t="s">
        <v>770</v>
      </c>
      <c r="Z566" s="382" t="s">
        <v>924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4355</v>
      </c>
      <c r="B567" s="373" t="s">
        <v>4356</v>
      </c>
      <c r="C567" s="372" t="s">
        <v>4357</v>
      </c>
      <c r="D567" s="374">
        <v>2301110056969</v>
      </c>
      <c r="E567" s="372" t="s">
        <v>4358</v>
      </c>
      <c r="F567" s="375" t="s">
        <v>3233</v>
      </c>
      <c r="G567" s="375" t="s">
        <v>3233</v>
      </c>
      <c r="H567" s="375" t="s">
        <v>858</v>
      </c>
      <c r="I567" s="375" t="s">
        <v>859</v>
      </c>
      <c r="J567" s="375">
        <v>212460.25150000001</v>
      </c>
      <c r="K567" s="375">
        <v>5225.0040399999998</v>
      </c>
      <c r="L567" s="375">
        <v>2425.7732000000001</v>
      </c>
      <c r="M567" s="375">
        <v>436821.83682999999</v>
      </c>
      <c r="N567" s="372">
        <v>0.91400000000000003</v>
      </c>
      <c r="O567" s="704">
        <v>128.50922728745655</v>
      </c>
      <c r="P567" s="375" t="s">
        <v>619</v>
      </c>
      <c r="Q567" s="375" t="s">
        <v>619</v>
      </c>
      <c r="R567" s="696">
        <v>20051014</v>
      </c>
      <c r="S567" s="375" t="s">
        <v>4359</v>
      </c>
      <c r="T567" s="697">
        <v>0.20900000000000002</v>
      </c>
      <c r="U567" s="372" t="s">
        <v>4360</v>
      </c>
      <c r="V567" s="722">
        <v>29.07</v>
      </c>
      <c r="W567" s="722">
        <v>0.74</v>
      </c>
      <c r="X567" s="722">
        <v>1.07</v>
      </c>
      <c r="Y567" s="722">
        <v>68.319999999999993</v>
      </c>
      <c r="Z567" s="382" t="s">
        <v>924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2399.54</v>
      </c>
      <c r="AF567" s="372">
        <v>2607.2800000000002</v>
      </c>
      <c r="AG567" s="372">
        <v>0</v>
      </c>
      <c r="AH567" s="372">
        <v>0</v>
      </c>
    </row>
    <row r="568" spans="1:34">
      <c r="A568" s="372" t="s">
        <v>4361</v>
      </c>
      <c r="B568" s="373" t="s">
        <v>4362</v>
      </c>
      <c r="C568" s="372" t="s">
        <v>15989</v>
      </c>
      <c r="D568" s="374">
        <v>1348110068248</v>
      </c>
      <c r="E568" s="372" t="s">
        <v>15990</v>
      </c>
      <c r="F568" s="375" t="s">
        <v>1182</v>
      </c>
      <c r="G568" s="375" t="s">
        <v>1183</v>
      </c>
      <c r="H568" s="375" t="s">
        <v>858</v>
      </c>
      <c r="I568" s="375" t="s">
        <v>859</v>
      </c>
      <c r="J568" s="375">
        <v>40975.70996</v>
      </c>
      <c r="K568" s="375">
        <v>-11386.500620000001</v>
      </c>
      <c r="L568" s="375">
        <v>-10865.872579999999</v>
      </c>
      <c r="M568" s="375">
        <v>120514.21347</v>
      </c>
      <c r="N568" s="372">
        <v>0.92500000000000004</v>
      </c>
      <c r="O568" s="704">
        <v>8.9301284730193498</v>
      </c>
      <c r="P568" s="375" t="s">
        <v>619</v>
      </c>
      <c r="Q568" s="375" t="s">
        <v>619</v>
      </c>
      <c r="R568" s="696">
        <v>20180823</v>
      </c>
      <c r="S568" s="372" t="s">
        <v>4363</v>
      </c>
      <c r="T568" s="697" t="s">
        <v>768</v>
      </c>
      <c r="U568" s="375" t="s">
        <v>4364</v>
      </c>
      <c r="V568" s="722" t="s">
        <v>770</v>
      </c>
      <c r="W568" s="722">
        <v>1.64</v>
      </c>
      <c r="X568" s="722">
        <v>5.74</v>
      </c>
      <c r="Y568" s="722" t="s">
        <v>770</v>
      </c>
      <c r="Z568" s="382">
        <v>0.63739072756430848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682</v>
      </c>
      <c r="AF568" s="372">
        <v>989.33</v>
      </c>
      <c r="AG568" s="372">
        <v>1869.5</v>
      </c>
      <c r="AH568" s="372">
        <v>0</v>
      </c>
    </row>
    <row r="569" spans="1:34">
      <c r="A569" s="372" t="s">
        <v>4365</v>
      </c>
      <c r="B569" s="373" t="s">
        <v>4366</v>
      </c>
      <c r="C569" s="372" t="s">
        <v>4367</v>
      </c>
      <c r="D569" s="374">
        <v>1348110178873</v>
      </c>
      <c r="E569" s="372" t="s">
        <v>4368</v>
      </c>
      <c r="F569" s="372" t="s">
        <v>16097</v>
      </c>
      <c r="G569" s="375" t="s">
        <v>16100</v>
      </c>
      <c r="H569" s="375" t="s">
        <v>858</v>
      </c>
      <c r="I569" s="375" t="s">
        <v>859</v>
      </c>
      <c r="J569" s="375">
        <v>489434.88727000001</v>
      </c>
      <c r="K569" s="375">
        <v>30842.726999999999</v>
      </c>
      <c r="L569" s="375">
        <v>20906.373800000001</v>
      </c>
      <c r="M569" s="375">
        <v>347720.97892000002</v>
      </c>
      <c r="N569" s="372">
        <v>1.1299999999999999</v>
      </c>
      <c r="O569" s="704">
        <v>144.48512488885424</v>
      </c>
      <c r="P569" s="375" t="s">
        <v>619</v>
      </c>
      <c r="Q569" s="375" t="s">
        <v>619</v>
      </c>
      <c r="R569" s="696">
        <v>20170927</v>
      </c>
      <c r="S569" s="375" t="s">
        <v>4369</v>
      </c>
      <c r="T569" s="697">
        <v>0.23100000000000001</v>
      </c>
      <c r="U569" s="372" t="s">
        <v>4370</v>
      </c>
      <c r="V569" s="722">
        <v>8.1199999999999992</v>
      </c>
      <c r="W569" s="722">
        <v>1.22</v>
      </c>
      <c r="X569" s="722">
        <v>0.87</v>
      </c>
      <c r="Y569" s="722">
        <v>23.17</v>
      </c>
      <c r="Z569" s="382">
        <v>0.14317851925729652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5717.5</v>
      </c>
      <c r="AF569" s="372">
        <v>7354.5</v>
      </c>
      <c r="AG569" s="372">
        <v>9220</v>
      </c>
      <c r="AH569" s="372">
        <v>0</v>
      </c>
    </row>
    <row r="570" spans="1:34">
      <c r="A570" s="372" t="s">
        <v>4371</v>
      </c>
      <c r="B570" s="373" t="s">
        <v>4372</v>
      </c>
      <c r="C570" s="372" t="s">
        <v>4373</v>
      </c>
      <c r="D570" s="374">
        <v>1801110045559</v>
      </c>
      <c r="E570" s="372" t="s">
        <v>4374</v>
      </c>
      <c r="F570" s="375" t="s">
        <v>2482</v>
      </c>
      <c r="G570" s="375" t="s">
        <v>2483</v>
      </c>
      <c r="H570" s="375" t="s">
        <v>858</v>
      </c>
      <c r="I570" s="375" t="s">
        <v>859</v>
      </c>
      <c r="J570" s="375">
        <v>271997.20582999999</v>
      </c>
      <c r="K570" s="375">
        <v>37742.248290000003</v>
      </c>
      <c r="L570" s="375">
        <v>50471.969530000002</v>
      </c>
      <c r="M570" s="375">
        <v>599897.12529999996</v>
      </c>
      <c r="N570" s="372">
        <v>0.754</v>
      </c>
      <c r="O570" s="704">
        <v>0.8944170432614813</v>
      </c>
      <c r="P570" s="375" t="s">
        <v>619</v>
      </c>
      <c r="Q570" s="375" t="s">
        <v>619</v>
      </c>
      <c r="R570" s="696">
        <v>19940831</v>
      </c>
      <c r="S570" s="375" t="s">
        <v>4375</v>
      </c>
      <c r="T570" s="697">
        <v>0.23100000000000001</v>
      </c>
      <c r="U570" s="372" t="s">
        <v>4376</v>
      </c>
      <c r="V570" s="722">
        <v>8.5299999999999994</v>
      </c>
      <c r="W570" s="722">
        <v>0.64</v>
      </c>
      <c r="X570" s="722">
        <v>1.33</v>
      </c>
      <c r="Y570" s="722">
        <v>8.9700000000000006</v>
      </c>
      <c r="Z570" s="382">
        <v>-1.0213145589543782E-4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2820.2</v>
      </c>
      <c r="AF570" s="372">
        <v>2991.8</v>
      </c>
      <c r="AG570" s="372">
        <v>3119.4</v>
      </c>
      <c r="AH570" s="372">
        <v>0</v>
      </c>
    </row>
    <row r="571" spans="1:34">
      <c r="A571" s="372" t="s">
        <v>4377</v>
      </c>
      <c r="B571" s="373" t="s">
        <v>4378</v>
      </c>
      <c r="C571" s="372" t="s">
        <v>4379</v>
      </c>
      <c r="D571" s="374">
        <v>1101113085598</v>
      </c>
      <c r="E571" s="372" t="s">
        <v>4380</v>
      </c>
      <c r="F571" s="372" t="s">
        <v>1354</v>
      </c>
      <c r="G571" s="375" t="s">
        <v>1354</v>
      </c>
      <c r="H571" s="375" t="s">
        <v>858</v>
      </c>
      <c r="I571" s="375" t="s">
        <v>859</v>
      </c>
      <c r="J571" s="375">
        <v>83206.004809999999</v>
      </c>
      <c r="K571" s="375">
        <v>-1457.6257900000001</v>
      </c>
      <c r="L571" s="375">
        <v>-2043.6587199999999</v>
      </c>
      <c r="M571" s="375">
        <v>207159.64671</v>
      </c>
      <c r="N571" s="372">
        <v>1.345</v>
      </c>
      <c r="O571" s="704">
        <v>18.63044561730322</v>
      </c>
      <c r="P571" s="375" t="s">
        <v>619</v>
      </c>
      <c r="Q571" s="372" t="s">
        <v>619</v>
      </c>
      <c r="R571" s="696">
        <v>20130701</v>
      </c>
      <c r="S571" s="375" t="s">
        <v>4381</v>
      </c>
      <c r="T571" s="697" t="s">
        <v>768</v>
      </c>
      <c r="U571" s="375" t="s">
        <v>4382</v>
      </c>
      <c r="V571" s="722">
        <v>366.58</v>
      </c>
      <c r="W571" s="722">
        <v>3.86</v>
      </c>
      <c r="X571" s="722">
        <v>8.19</v>
      </c>
      <c r="Y571" s="722" t="s">
        <v>770</v>
      </c>
      <c r="Z571" s="382" t="s">
        <v>924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1390</v>
      </c>
      <c r="AF571" s="372">
        <v>5177</v>
      </c>
      <c r="AG571" s="372">
        <v>0</v>
      </c>
      <c r="AH571" s="372">
        <v>0</v>
      </c>
    </row>
    <row r="572" spans="1:34">
      <c r="A572" s="372" t="s">
        <v>4383</v>
      </c>
      <c r="B572" s="373" t="s">
        <v>4384</v>
      </c>
      <c r="C572" s="372" t="s">
        <v>4385</v>
      </c>
      <c r="D572" s="374">
        <v>1243110025472</v>
      </c>
      <c r="E572" s="372" t="s">
        <v>4386</v>
      </c>
      <c r="F572" s="372" t="s">
        <v>1833</v>
      </c>
      <c r="G572" s="375" t="s">
        <v>1833</v>
      </c>
      <c r="H572" s="375" t="s">
        <v>3096</v>
      </c>
      <c r="I572" s="375" t="s">
        <v>859</v>
      </c>
      <c r="J572" s="375">
        <v>9939.9410000000007</v>
      </c>
      <c r="K572" s="375">
        <v>-24667.936399999999</v>
      </c>
      <c r="L572" s="375">
        <v>-23861.536530000001</v>
      </c>
      <c r="M572" s="375">
        <v>19315.0324</v>
      </c>
      <c r="N572" s="372">
        <v>0.85099999999999998</v>
      </c>
      <c r="O572" s="704">
        <v>3.1448661783579808</v>
      </c>
      <c r="P572" s="375" t="s">
        <v>619</v>
      </c>
      <c r="Q572" s="372" t="s">
        <v>16113</v>
      </c>
      <c r="R572" s="696">
        <v>20010703</v>
      </c>
      <c r="S572" s="375" t="s">
        <v>4387</v>
      </c>
      <c r="T572" s="697" t="s">
        <v>768</v>
      </c>
      <c r="U572" s="375" t="s">
        <v>4388</v>
      </c>
      <c r="V572" s="722" t="s">
        <v>770</v>
      </c>
      <c r="W572" s="722">
        <v>14</v>
      </c>
      <c r="X572" s="722">
        <v>27.42</v>
      </c>
      <c r="Y572" s="722" t="s">
        <v>770</v>
      </c>
      <c r="Z572" s="382" t="s">
        <v>924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4389</v>
      </c>
      <c r="B573" s="373" t="s">
        <v>4390</v>
      </c>
      <c r="C573" s="372" t="s">
        <v>4391</v>
      </c>
      <c r="D573" s="374">
        <v>1311110028116</v>
      </c>
      <c r="E573" s="372" t="s">
        <v>4392</v>
      </c>
      <c r="F573" s="375" t="s">
        <v>1354</v>
      </c>
      <c r="G573" s="375" t="s">
        <v>1354</v>
      </c>
      <c r="H573" s="375" t="s">
        <v>858</v>
      </c>
      <c r="I573" s="375" t="s">
        <v>859</v>
      </c>
      <c r="J573" s="375">
        <v>596587.65806000005</v>
      </c>
      <c r="K573" s="375">
        <v>46458.97913</v>
      </c>
      <c r="L573" s="375">
        <v>25608.47697</v>
      </c>
      <c r="M573" s="375">
        <v>209352.41870000001</v>
      </c>
      <c r="N573" s="372">
        <v>1.131</v>
      </c>
      <c r="O573" s="704">
        <v>99.894586111585525</v>
      </c>
      <c r="P573" s="375" t="s">
        <v>619</v>
      </c>
      <c r="Q573" s="375" t="s">
        <v>619</v>
      </c>
      <c r="R573" s="696">
        <v>20070117</v>
      </c>
      <c r="S573" s="375" t="s">
        <v>4393</v>
      </c>
      <c r="T573" s="697">
        <v>0.23100000000000001</v>
      </c>
      <c r="U573" s="375" t="s">
        <v>4394</v>
      </c>
      <c r="V573" s="722">
        <v>7.3</v>
      </c>
      <c r="W573" s="722">
        <v>1.76</v>
      </c>
      <c r="X573" s="722">
        <v>0.6</v>
      </c>
      <c r="Y573" s="722">
        <v>16.23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6288.5</v>
      </c>
      <c r="AF573" s="372">
        <v>6925</v>
      </c>
      <c r="AG573" s="372">
        <v>7376</v>
      </c>
      <c r="AH573" s="372">
        <v>0</v>
      </c>
    </row>
    <row r="574" spans="1:34">
      <c r="A574" s="372" t="s">
        <v>4395</v>
      </c>
      <c r="B574" s="373" t="s">
        <v>4396</v>
      </c>
      <c r="C574" s="372" t="s">
        <v>4397</v>
      </c>
      <c r="D574" s="374">
        <v>1101113525750</v>
      </c>
      <c r="E574" s="372" t="s">
        <v>4398</v>
      </c>
      <c r="F574" s="375" t="s">
        <v>766</v>
      </c>
      <c r="G574" s="375" t="s">
        <v>766</v>
      </c>
      <c r="H574" s="375" t="s">
        <v>750</v>
      </c>
      <c r="I574" s="375" t="s">
        <v>751</v>
      </c>
      <c r="J574" s="375">
        <v>235319.83971</v>
      </c>
      <c r="K574" s="375">
        <v>-21731.980970000001</v>
      </c>
      <c r="L574" s="375">
        <v>-24332.255369999999</v>
      </c>
      <c r="M574" s="375">
        <v>348016.20817</v>
      </c>
      <c r="N574" s="372">
        <v>0.85099999999999998</v>
      </c>
      <c r="O574" s="704">
        <v>26.863906027407491</v>
      </c>
      <c r="P574" s="375" t="s">
        <v>619</v>
      </c>
      <c r="Q574" s="375" t="s">
        <v>619</v>
      </c>
      <c r="R574" s="696">
        <v>20061016</v>
      </c>
      <c r="S574" s="375" t="s">
        <v>1654</v>
      </c>
      <c r="T574" s="697" t="s">
        <v>768</v>
      </c>
      <c r="U574" s="372" t="s">
        <v>15855</v>
      </c>
      <c r="V574" s="722" t="s">
        <v>770</v>
      </c>
      <c r="W574" s="722">
        <v>0.57999999999999996</v>
      </c>
      <c r="X574" s="722">
        <v>0.85</v>
      </c>
      <c r="Y574" s="722" t="s">
        <v>770</v>
      </c>
      <c r="Z574" s="382" t="s">
        <v>924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4399</v>
      </c>
      <c r="B575" s="373" t="s">
        <v>4400</v>
      </c>
      <c r="C575" s="372" t="s">
        <v>4401</v>
      </c>
      <c r="D575" s="374">
        <v>1101113909839</v>
      </c>
      <c r="E575" s="372" t="s">
        <v>4402</v>
      </c>
      <c r="F575" s="372" t="s">
        <v>2029</v>
      </c>
      <c r="G575" s="375" t="s">
        <v>4403</v>
      </c>
      <c r="H575" s="375" t="s">
        <v>1528</v>
      </c>
      <c r="I575" s="375" t="s">
        <v>859</v>
      </c>
      <c r="J575" s="375">
        <v>50562.825340000003</v>
      </c>
      <c r="K575" s="375">
        <v>-21498.13061</v>
      </c>
      <c r="L575" s="375">
        <v>-22164.255969999998</v>
      </c>
      <c r="M575" s="375">
        <v>83288.034820000001</v>
      </c>
      <c r="N575" s="372">
        <v>0.97699999999999998</v>
      </c>
      <c r="O575" s="704">
        <v>6.4243128700340364</v>
      </c>
      <c r="P575" s="375" t="s">
        <v>619</v>
      </c>
      <c r="Q575" s="375" t="s">
        <v>619</v>
      </c>
      <c r="R575" s="696">
        <v>20210324</v>
      </c>
      <c r="S575" s="375" t="s">
        <v>4404</v>
      </c>
      <c r="T575" s="697" t="s">
        <v>768</v>
      </c>
      <c r="U575" s="375" t="s">
        <v>4405</v>
      </c>
      <c r="V575" s="722" t="s">
        <v>770</v>
      </c>
      <c r="W575" s="722">
        <v>2.33</v>
      </c>
      <c r="X575" s="722">
        <v>3.75</v>
      </c>
      <c r="Y575" s="722" t="s">
        <v>770</v>
      </c>
      <c r="Z575" s="382" t="s">
        <v>924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4406</v>
      </c>
      <c r="B576" s="373" t="s">
        <v>4407</v>
      </c>
      <c r="C576" s="372" t="s">
        <v>4408</v>
      </c>
      <c r="D576" s="374">
        <v>1101110163115</v>
      </c>
      <c r="E576" s="372" t="s">
        <v>4409</v>
      </c>
      <c r="F576" s="372" t="s">
        <v>2256</v>
      </c>
      <c r="G576" s="375" t="s">
        <v>2256</v>
      </c>
      <c r="H576" s="375" t="s">
        <v>1383</v>
      </c>
      <c r="I576" s="375" t="s">
        <v>4410</v>
      </c>
      <c r="J576" s="375">
        <v>2560912.8807100002</v>
      </c>
      <c r="K576" s="375">
        <v>27061.024829999998</v>
      </c>
      <c r="L576" s="375">
        <v>30528.218990000001</v>
      </c>
      <c r="M576" s="375">
        <v>1040377.8642</v>
      </c>
      <c r="N576" s="372" t="s">
        <v>1023</v>
      </c>
      <c r="O576" s="704" t="e">
        <v>#DIV/0!</v>
      </c>
      <c r="P576" s="375" t="s">
        <v>619</v>
      </c>
      <c r="Q576" s="375" t="s">
        <v>619</v>
      </c>
      <c r="R576" s="696">
        <v>19771222</v>
      </c>
      <c r="S576" s="375" t="e">
        <v>#N/A</v>
      </c>
      <c r="T576" s="697">
        <v>0.23100000000000001</v>
      </c>
      <c r="U576" s="375" t="s">
        <v>4411</v>
      </c>
      <c r="V576" s="722">
        <v>0</v>
      </c>
      <c r="W576" s="722">
        <v>0</v>
      </c>
      <c r="X576" s="722">
        <v>0</v>
      </c>
      <c r="Y576" s="722">
        <v>0</v>
      </c>
      <c r="Z576" s="382" t="s">
        <v>924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4412</v>
      </c>
      <c r="B577" s="373" t="s">
        <v>4413</v>
      </c>
      <c r="C577" s="372" t="s">
        <v>4414</v>
      </c>
      <c r="D577" s="374">
        <v>1101111710527</v>
      </c>
      <c r="E577" s="372" t="s">
        <v>4415</v>
      </c>
      <c r="F577" s="375" t="s">
        <v>850</v>
      </c>
      <c r="G577" s="375" t="s">
        <v>4416</v>
      </c>
      <c r="H577" s="375" t="s">
        <v>892</v>
      </c>
      <c r="I577" s="375" t="s">
        <v>859</v>
      </c>
      <c r="J577" s="375">
        <v>0</v>
      </c>
      <c r="K577" s="375">
        <v>0</v>
      </c>
      <c r="L577" s="375">
        <v>0</v>
      </c>
      <c r="M577" s="375">
        <v>0</v>
      </c>
      <c r="N577" s="372">
        <v>0.85299999999999998</v>
      </c>
      <c r="O577" s="704" t="s">
        <v>16298</v>
      </c>
      <c r="P577" s="375" t="s">
        <v>619</v>
      </c>
      <c r="Q577" s="372" t="s">
        <v>619</v>
      </c>
      <c r="R577" s="696">
        <v>20190315</v>
      </c>
      <c r="S577" s="372" t="s">
        <v>4417</v>
      </c>
      <c r="T577" s="697" t="s">
        <v>768</v>
      </c>
      <c r="U577" s="375" t="s">
        <v>4418</v>
      </c>
      <c r="V577" s="722">
        <v>0</v>
      </c>
      <c r="W577" s="722">
        <v>0</v>
      </c>
      <c r="X577" s="722">
        <v>0</v>
      </c>
      <c r="Y577" s="722">
        <v>0</v>
      </c>
      <c r="Z577" s="382" t="s">
        <v>924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2434</v>
      </c>
      <c r="AF577" s="372">
        <v>0</v>
      </c>
      <c r="AG577" s="372">
        <v>0</v>
      </c>
      <c r="AH577" s="372">
        <v>0</v>
      </c>
    </row>
    <row r="578" spans="1:34">
      <c r="A578" s="372" t="s">
        <v>4419</v>
      </c>
      <c r="B578" s="373" t="s">
        <v>4420</v>
      </c>
      <c r="C578" s="372" t="s">
        <v>4421</v>
      </c>
      <c r="D578" s="374">
        <v>1101110103955</v>
      </c>
      <c r="E578" s="372" t="s">
        <v>4422</v>
      </c>
      <c r="F578" s="372" t="s">
        <v>1320</v>
      </c>
      <c r="G578" s="375" t="s">
        <v>16103</v>
      </c>
      <c r="H578" s="375" t="s">
        <v>781</v>
      </c>
      <c r="I578" s="375" t="s">
        <v>751</v>
      </c>
      <c r="J578" s="375">
        <v>593944.89595000003</v>
      </c>
      <c r="K578" s="375">
        <v>31455.398580000001</v>
      </c>
      <c r="L578" s="375">
        <v>19154.511879999998</v>
      </c>
      <c r="M578" s="375">
        <v>289708.66394</v>
      </c>
      <c r="N578" s="372">
        <v>0.34399999999999997</v>
      </c>
      <c r="O578" s="704">
        <v>61.687576846659873</v>
      </c>
      <c r="P578" s="375" t="s">
        <v>619</v>
      </c>
      <c r="Q578" s="375" t="s">
        <v>619</v>
      </c>
      <c r="R578" s="696">
        <v>19991215</v>
      </c>
      <c r="S578" s="375" t="s">
        <v>4423</v>
      </c>
      <c r="T578" s="697">
        <v>0.20900000000000002</v>
      </c>
      <c r="U578" s="375" t="s">
        <v>4424</v>
      </c>
      <c r="V578" s="722">
        <v>8.9499999999999993</v>
      </c>
      <c r="W578" s="722">
        <v>1.1200000000000001</v>
      </c>
      <c r="X578" s="722">
        <v>0.55000000000000004</v>
      </c>
      <c r="Y578" s="722">
        <v>20.52</v>
      </c>
      <c r="Z578" s="382">
        <v>8.1898610928281768E-2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6185.33</v>
      </c>
      <c r="AF578" s="372">
        <v>6714</v>
      </c>
      <c r="AG578" s="372">
        <v>7219.67</v>
      </c>
      <c r="AH578" s="372">
        <v>0</v>
      </c>
    </row>
    <row r="579" spans="1:34">
      <c r="A579" s="372" t="s">
        <v>4425</v>
      </c>
      <c r="B579" s="373" t="s">
        <v>4426</v>
      </c>
      <c r="C579" s="372" t="s">
        <v>4427</v>
      </c>
      <c r="D579" s="374">
        <v>1101110426688</v>
      </c>
      <c r="E579" s="372" t="s">
        <v>4428</v>
      </c>
      <c r="F579" s="375" t="s">
        <v>4263</v>
      </c>
      <c r="G579" s="375" t="s">
        <v>4264</v>
      </c>
      <c r="H579" s="375" t="s">
        <v>1334</v>
      </c>
      <c r="I579" s="375" t="s">
        <v>859</v>
      </c>
      <c r="J579" s="375">
        <v>800131.80799999996</v>
      </c>
      <c r="K579" s="375">
        <v>39810.580999999998</v>
      </c>
      <c r="L579" s="375">
        <v>59138.879999999997</v>
      </c>
      <c r="M579" s="375">
        <v>310794.24800000002</v>
      </c>
      <c r="N579" s="372">
        <v>0.71399999999999997</v>
      </c>
      <c r="O579" s="704">
        <v>7.1132173453685459</v>
      </c>
      <c r="P579" s="375" t="s">
        <v>619</v>
      </c>
      <c r="Q579" s="375" t="s">
        <v>619</v>
      </c>
      <c r="R579" s="696">
        <v>19980120</v>
      </c>
      <c r="S579" s="375" t="s">
        <v>4429</v>
      </c>
      <c r="T579" s="697">
        <v>0.23100000000000001</v>
      </c>
      <c r="U579" s="372" t="s">
        <v>4430</v>
      </c>
      <c r="V579" s="722">
        <v>6.06</v>
      </c>
      <c r="W579" s="722">
        <v>0.96</v>
      </c>
      <c r="X579" s="722">
        <v>0.39</v>
      </c>
      <c r="Y579" s="722">
        <v>7.23</v>
      </c>
      <c r="Z579" s="382" t="s">
        <v>924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4431</v>
      </c>
      <c r="B580" s="373" t="s">
        <v>4432</v>
      </c>
      <c r="C580" s="372" t="s">
        <v>4433</v>
      </c>
      <c r="D580" s="374">
        <v>1243110041444</v>
      </c>
      <c r="E580" s="372" t="s">
        <v>4434</v>
      </c>
      <c r="F580" s="375" t="s">
        <v>1182</v>
      </c>
      <c r="G580" s="375" t="s">
        <v>1183</v>
      </c>
      <c r="H580" s="375" t="s">
        <v>858</v>
      </c>
      <c r="I580" s="375" t="s">
        <v>859</v>
      </c>
      <c r="J580" s="375">
        <v>88767.040720000005</v>
      </c>
      <c r="K580" s="375">
        <v>-3535.23875</v>
      </c>
      <c r="L580" s="375">
        <v>-4182.8157799999999</v>
      </c>
      <c r="M580" s="375">
        <v>62560.2114</v>
      </c>
      <c r="N580" s="372">
        <v>1.026</v>
      </c>
      <c r="O580" s="704">
        <v>16.529547119540354</v>
      </c>
      <c r="P580" s="375" t="s">
        <v>619</v>
      </c>
      <c r="Q580" s="372" t="s">
        <v>619</v>
      </c>
      <c r="R580" s="696">
        <v>20061108</v>
      </c>
      <c r="S580" s="375" t="s">
        <v>4435</v>
      </c>
      <c r="T580" s="697" t="s">
        <v>768</v>
      </c>
      <c r="U580" s="375" t="s">
        <v>4436</v>
      </c>
      <c r="V580" s="722" t="s">
        <v>770</v>
      </c>
      <c r="W580" s="722">
        <v>2.4500000000000002</v>
      </c>
      <c r="X580" s="722">
        <v>1.78</v>
      </c>
      <c r="Y580" s="722" t="s">
        <v>770</v>
      </c>
      <c r="Z580" s="382" t="s">
        <v>924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4437</v>
      </c>
      <c r="B581" s="373" t="s">
        <v>4438</v>
      </c>
      <c r="C581" s="372" t="s">
        <v>4439</v>
      </c>
      <c r="D581" s="374">
        <v>1358110232363</v>
      </c>
      <c r="E581" s="372" t="s">
        <v>4440</v>
      </c>
      <c r="F581" s="375" t="s">
        <v>1113</v>
      </c>
      <c r="G581" s="375" t="s">
        <v>1333</v>
      </c>
      <c r="H581" s="375" t="s">
        <v>1334</v>
      </c>
      <c r="I581" s="375" t="s">
        <v>859</v>
      </c>
      <c r="J581" s="375">
        <v>0</v>
      </c>
      <c r="K581" s="375">
        <v>-24646.373769999998</v>
      </c>
      <c r="L581" s="375">
        <v>-23306.459220000001</v>
      </c>
      <c r="M581" s="375">
        <v>56218.422400000003</v>
      </c>
      <c r="N581" s="372">
        <v>1.4630000000000001</v>
      </c>
      <c r="O581" s="704">
        <v>4.5297288203107637</v>
      </c>
      <c r="P581" s="375" t="s">
        <v>619</v>
      </c>
      <c r="Q581" s="375" t="s">
        <v>619</v>
      </c>
      <c r="R581" s="696">
        <v>20191219</v>
      </c>
      <c r="S581" s="375" t="s">
        <v>4441</v>
      </c>
      <c r="T581" s="697" t="s">
        <v>768</v>
      </c>
      <c r="U581" s="375" t="s">
        <v>4442</v>
      </c>
      <c r="V581" s="722" t="s">
        <v>770</v>
      </c>
      <c r="W581" s="722">
        <v>3.63</v>
      </c>
      <c r="X581" s="722">
        <v>0</v>
      </c>
      <c r="Y581" s="722" t="s">
        <v>770</v>
      </c>
      <c r="Z581" s="382" t="s">
        <v>770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4443</v>
      </c>
      <c r="B582" s="373" t="s">
        <v>4444</v>
      </c>
      <c r="C582" s="372" t="s">
        <v>4445</v>
      </c>
      <c r="D582" s="374">
        <v>1101110513633</v>
      </c>
      <c r="E582" s="372" t="s">
        <v>4446</v>
      </c>
      <c r="F582" s="375" t="s">
        <v>2072</v>
      </c>
      <c r="G582" s="375" t="s">
        <v>2072</v>
      </c>
      <c r="H582" s="375" t="s">
        <v>858</v>
      </c>
      <c r="I582" s="375" t="s">
        <v>859</v>
      </c>
      <c r="J582" s="375">
        <v>277741.68385999999</v>
      </c>
      <c r="K582" s="375">
        <v>109982.14676</v>
      </c>
      <c r="L582" s="375">
        <v>113414.89171</v>
      </c>
      <c r="M582" s="375">
        <v>186178.66774</v>
      </c>
      <c r="N582" s="372">
        <v>0.97899999999999998</v>
      </c>
      <c r="O582" s="704">
        <v>6.2850217418856963E-2</v>
      </c>
      <c r="P582" s="375" t="s">
        <v>619</v>
      </c>
      <c r="Q582" s="372" t="s">
        <v>619</v>
      </c>
      <c r="R582" s="696">
        <v>19970818</v>
      </c>
      <c r="S582" s="372" t="s">
        <v>4447</v>
      </c>
      <c r="T582" s="697">
        <v>0.23100000000000001</v>
      </c>
      <c r="U582" s="372" t="s">
        <v>4448</v>
      </c>
      <c r="V582" s="722">
        <v>0</v>
      </c>
      <c r="W582" s="722">
        <v>0</v>
      </c>
      <c r="X582" s="722">
        <v>0</v>
      </c>
      <c r="Y582" s="722">
        <v>0</v>
      </c>
      <c r="Z582" s="382" t="s">
        <v>924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4449</v>
      </c>
      <c r="B583" s="373" t="s">
        <v>4450</v>
      </c>
      <c r="C583" s="372" t="s">
        <v>4451</v>
      </c>
      <c r="D583" s="374">
        <v>1101110169874</v>
      </c>
      <c r="E583" s="372" t="s">
        <v>4452</v>
      </c>
      <c r="F583" s="375" t="s">
        <v>2100</v>
      </c>
      <c r="G583" s="375" t="s">
        <v>2100</v>
      </c>
      <c r="H583" s="375" t="s">
        <v>892</v>
      </c>
      <c r="I583" s="375" t="s">
        <v>859</v>
      </c>
      <c r="J583" s="375">
        <v>0</v>
      </c>
      <c r="K583" s="375">
        <v>0</v>
      </c>
      <c r="L583" s="375">
        <v>0</v>
      </c>
      <c r="M583" s="375">
        <v>0</v>
      </c>
      <c r="N583" s="372">
        <v>1.1040000000000001</v>
      </c>
      <c r="O583" s="704" t="s">
        <v>16298</v>
      </c>
      <c r="P583" s="375" t="s">
        <v>619</v>
      </c>
      <c r="Q583" s="375" t="s">
        <v>619</v>
      </c>
      <c r="R583" s="696">
        <v>20181121</v>
      </c>
      <c r="S583" s="375">
        <v>0</v>
      </c>
      <c r="T583" s="697" t="s">
        <v>768</v>
      </c>
      <c r="U583" s="372" t="s">
        <v>4453</v>
      </c>
      <c r="V583" s="722">
        <v>0</v>
      </c>
      <c r="W583" s="722">
        <v>0</v>
      </c>
      <c r="X583" s="722">
        <v>0</v>
      </c>
      <c r="Y583" s="722">
        <v>0</v>
      </c>
      <c r="Z583" s="382" t="s">
        <v>924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4454</v>
      </c>
      <c r="B584" s="373" t="s">
        <v>4455</v>
      </c>
      <c r="C584" s="372" t="s">
        <v>4456</v>
      </c>
      <c r="D584" s="374">
        <v>1101110015556</v>
      </c>
      <c r="E584" s="372" t="s">
        <v>4457</v>
      </c>
      <c r="F584" s="375" t="s">
        <v>2004</v>
      </c>
      <c r="G584" s="375" t="s">
        <v>2004</v>
      </c>
      <c r="H584" s="375" t="s">
        <v>789</v>
      </c>
      <c r="I584" s="375" t="s">
        <v>751</v>
      </c>
      <c r="J584" s="375">
        <v>1214478.6273399999</v>
      </c>
      <c r="K584" s="375">
        <v>38944.815240000004</v>
      </c>
      <c r="L584" s="375">
        <v>36074.468930000003</v>
      </c>
      <c r="M584" s="375">
        <v>692049.47829999996</v>
      </c>
      <c r="N584" s="372">
        <v>1.2609999999999999</v>
      </c>
      <c r="O584" s="704">
        <v>112.42887671383713</v>
      </c>
      <c r="P584" s="375" t="s">
        <v>619</v>
      </c>
      <c r="Q584" s="372" t="s">
        <v>619</v>
      </c>
      <c r="R584" s="696">
        <v>19770622</v>
      </c>
      <c r="S584" s="375" t="s">
        <v>16300</v>
      </c>
      <c r="T584" s="697">
        <v>0.23100000000000001</v>
      </c>
      <c r="U584" s="375" t="s">
        <v>4458</v>
      </c>
      <c r="V584" s="722">
        <v>7.11</v>
      </c>
      <c r="W584" s="722">
        <v>0.49</v>
      </c>
      <c r="X584" s="722">
        <v>0.21</v>
      </c>
      <c r="Y584" s="722">
        <v>19.03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12574</v>
      </c>
      <c r="AF584" s="372">
        <v>14130</v>
      </c>
      <c r="AG584" s="372">
        <v>17470</v>
      </c>
      <c r="AH584" s="372">
        <v>0</v>
      </c>
    </row>
    <row r="585" spans="1:34">
      <c r="A585" s="372" t="s">
        <v>4459</v>
      </c>
      <c r="B585" s="373" t="s">
        <v>4460</v>
      </c>
      <c r="C585" s="372" t="s">
        <v>4461</v>
      </c>
      <c r="D585" s="374">
        <v>1845110003290</v>
      </c>
      <c r="E585" s="372" t="s">
        <v>4462</v>
      </c>
      <c r="F585" s="375" t="s">
        <v>2121</v>
      </c>
      <c r="G585" s="375" t="s">
        <v>4463</v>
      </c>
      <c r="H585" s="375" t="s">
        <v>858</v>
      </c>
      <c r="I585" s="375" t="s">
        <v>859</v>
      </c>
      <c r="J585" s="375">
        <v>112560.32371</v>
      </c>
      <c r="K585" s="375">
        <v>-47053.32447</v>
      </c>
      <c r="L585" s="375">
        <v>-73210.287030000007</v>
      </c>
      <c r="M585" s="375">
        <v>213140.88211999999</v>
      </c>
      <c r="N585" s="372">
        <v>0.65200000000000002</v>
      </c>
      <c r="O585" s="704">
        <v>35.213625815059949</v>
      </c>
      <c r="P585" s="375" t="s">
        <v>619</v>
      </c>
      <c r="Q585" s="375" t="s">
        <v>619</v>
      </c>
      <c r="R585" s="696">
        <v>20000627</v>
      </c>
      <c r="S585" s="375" t="s">
        <v>4464</v>
      </c>
      <c r="T585" s="697" t="s">
        <v>768</v>
      </c>
      <c r="U585" s="372" t="s">
        <v>4465</v>
      </c>
      <c r="V585" s="722" t="s">
        <v>770</v>
      </c>
      <c r="W585" s="722">
        <v>1.07</v>
      </c>
      <c r="X585" s="722">
        <v>2.29</v>
      </c>
      <c r="Y585" s="722" t="s">
        <v>770</v>
      </c>
      <c r="Z585" s="382">
        <v>6.163498108181642E-2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1187</v>
      </c>
      <c r="AF585" s="372">
        <v>1566.25</v>
      </c>
      <c r="AG585" s="372">
        <v>1979.33</v>
      </c>
      <c r="AH585" s="372">
        <v>2460</v>
      </c>
    </row>
    <row r="586" spans="1:34">
      <c r="A586" s="372" t="s">
        <v>4466</v>
      </c>
      <c r="B586" s="373" t="s">
        <v>4467</v>
      </c>
      <c r="C586" s="372" t="s">
        <v>4468</v>
      </c>
      <c r="D586" s="374">
        <v>1311110126936</v>
      </c>
      <c r="E586" s="372" t="s">
        <v>4469</v>
      </c>
      <c r="F586" s="372" t="s">
        <v>1182</v>
      </c>
      <c r="G586" s="375" t="s">
        <v>1183</v>
      </c>
      <c r="H586" s="375" t="s">
        <v>858</v>
      </c>
      <c r="I586" s="375" t="s">
        <v>859</v>
      </c>
      <c r="J586" s="375">
        <v>88566.761570000002</v>
      </c>
      <c r="K586" s="375">
        <v>-4943.1140599999999</v>
      </c>
      <c r="L586" s="375">
        <v>-9371.3574900000003</v>
      </c>
      <c r="M586" s="375">
        <v>28556.483459999999</v>
      </c>
      <c r="N586" s="372">
        <v>1.3280000000000001</v>
      </c>
      <c r="O586" s="704">
        <v>26.938680622485911</v>
      </c>
      <c r="P586" s="375" t="s">
        <v>619</v>
      </c>
      <c r="Q586" s="372" t="s">
        <v>619</v>
      </c>
      <c r="R586" s="696">
        <v>20181129</v>
      </c>
      <c r="S586" s="372" t="s">
        <v>4470</v>
      </c>
      <c r="T586" s="697" t="s">
        <v>768</v>
      </c>
      <c r="U586" s="372" t="s">
        <v>4471</v>
      </c>
      <c r="V586" s="722" t="s">
        <v>770</v>
      </c>
      <c r="W586" s="722">
        <v>5.28</v>
      </c>
      <c r="X586" s="722">
        <v>1.74</v>
      </c>
      <c r="Y586" s="722" t="s">
        <v>770</v>
      </c>
      <c r="Z586" s="382" t="s">
        <v>924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4472</v>
      </c>
      <c r="B587" s="373" t="s">
        <v>4473</v>
      </c>
      <c r="C587" s="372" t="s">
        <v>4474</v>
      </c>
      <c r="D587" s="374">
        <v>1812110024485</v>
      </c>
      <c r="E587" s="372" t="s">
        <v>4475</v>
      </c>
      <c r="F587" s="375" t="s">
        <v>16111</v>
      </c>
      <c r="G587" s="375" t="s">
        <v>16111</v>
      </c>
      <c r="H587" s="375">
        <v>0</v>
      </c>
      <c r="I587" s="375" t="s">
        <v>859</v>
      </c>
      <c r="J587" s="375">
        <v>80608.307509999999</v>
      </c>
      <c r="K587" s="375">
        <v>33249.837489999998</v>
      </c>
      <c r="L587" s="375">
        <v>35367.390209999998</v>
      </c>
      <c r="M587" s="375">
        <v>177523.07209999999</v>
      </c>
      <c r="N587" s="372">
        <v>0.53900000000000003</v>
      </c>
      <c r="O587" s="704">
        <v>7.6956588673170883</v>
      </c>
      <c r="P587" s="375" t="s">
        <v>619</v>
      </c>
      <c r="Q587" s="372" t="s">
        <v>619</v>
      </c>
      <c r="R587" s="696">
        <v>20040616</v>
      </c>
      <c r="S587" s="372" t="s">
        <v>4476</v>
      </c>
      <c r="T587" s="697">
        <v>0.23100000000000001</v>
      </c>
      <c r="U587" s="372" t="s">
        <v>4477</v>
      </c>
      <c r="V587" s="722">
        <v>0</v>
      </c>
      <c r="W587" s="722">
        <v>0</v>
      </c>
      <c r="X587" s="722">
        <v>0</v>
      </c>
      <c r="Y587" s="722">
        <v>0</v>
      </c>
      <c r="Z587" s="382" t="s">
        <v>924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4478</v>
      </c>
      <c r="B588" s="373" t="s">
        <v>4479</v>
      </c>
      <c r="C588" s="372" t="s">
        <v>4480</v>
      </c>
      <c r="D588" s="374">
        <v>1311110065514</v>
      </c>
      <c r="E588" s="372" t="s">
        <v>4481</v>
      </c>
      <c r="F588" s="372" t="s">
        <v>1182</v>
      </c>
      <c r="G588" s="375" t="s">
        <v>3112</v>
      </c>
      <c r="H588" s="375" t="s">
        <v>858</v>
      </c>
      <c r="I588" s="375" t="s">
        <v>859</v>
      </c>
      <c r="J588" s="375">
        <v>102798.97463</v>
      </c>
      <c r="K588" s="375">
        <v>9342.9608599999992</v>
      </c>
      <c r="L588" s="375">
        <v>18935.139070000001</v>
      </c>
      <c r="M588" s="375">
        <v>229301.67008000001</v>
      </c>
      <c r="N588" s="372">
        <v>0.70699999999999996</v>
      </c>
      <c r="O588" s="704">
        <v>4.4480564386812969</v>
      </c>
      <c r="P588" s="375" t="s">
        <v>619</v>
      </c>
      <c r="Q588" s="375" t="s">
        <v>619</v>
      </c>
      <c r="R588" s="696">
        <v>20200622</v>
      </c>
      <c r="S588" s="375" t="s">
        <v>4482</v>
      </c>
      <c r="T588" s="697">
        <v>0.20900000000000002</v>
      </c>
      <c r="U588" s="372" t="s">
        <v>15856</v>
      </c>
      <c r="V588" s="722">
        <v>30.44</v>
      </c>
      <c r="W588" s="722">
        <v>1.41</v>
      </c>
      <c r="X588" s="722">
        <v>3.14</v>
      </c>
      <c r="Y588" s="722">
        <v>21.59</v>
      </c>
      <c r="Z588" s="382" t="s">
        <v>924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1437</v>
      </c>
      <c r="AF588" s="372">
        <v>0</v>
      </c>
      <c r="AG588" s="372">
        <v>0</v>
      </c>
      <c r="AH588" s="372">
        <v>0</v>
      </c>
    </row>
    <row r="589" spans="1:34">
      <c r="A589" s="372" t="s">
        <v>4483</v>
      </c>
      <c r="B589" s="373" t="s">
        <v>4484</v>
      </c>
      <c r="C589" s="372" t="s">
        <v>4485</v>
      </c>
      <c r="D589" s="374">
        <v>1101110738637</v>
      </c>
      <c r="E589" s="372" t="s">
        <v>4486</v>
      </c>
      <c r="F589" s="372" t="s">
        <v>4487</v>
      </c>
      <c r="G589" s="375" t="s">
        <v>4487</v>
      </c>
      <c r="H589" s="375" t="s">
        <v>858</v>
      </c>
      <c r="I589" s="375" t="s">
        <v>859</v>
      </c>
      <c r="J589" s="375">
        <v>798855.04408000002</v>
      </c>
      <c r="K589" s="375">
        <v>103365.22864</v>
      </c>
      <c r="L589" s="375">
        <v>65572.21488</v>
      </c>
      <c r="M589" s="375">
        <v>738217.45669000002</v>
      </c>
      <c r="N589" s="372">
        <v>0.83799999999999997</v>
      </c>
      <c r="O589" s="704">
        <v>167.98162437212997</v>
      </c>
      <c r="P589" s="375" t="s">
        <v>619</v>
      </c>
      <c r="Q589" s="372" t="s">
        <v>619</v>
      </c>
      <c r="R589" s="696">
        <v>20010130</v>
      </c>
      <c r="S589" s="372" t="s">
        <v>16071</v>
      </c>
      <c r="T589" s="697">
        <v>0.23100000000000001</v>
      </c>
      <c r="U589" s="372" t="s">
        <v>4488</v>
      </c>
      <c r="V589" s="722">
        <v>4.51</v>
      </c>
      <c r="W589" s="722">
        <v>0.45</v>
      </c>
      <c r="X589" s="722">
        <v>0.41</v>
      </c>
      <c r="Y589" s="722">
        <v>6.57</v>
      </c>
      <c r="Z589" s="382">
        <v>1.4629332513724114E-2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8020</v>
      </c>
      <c r="AF589" s="372">
        <v>8200</v>
      </c>
      <c r="AG589" s="372">
        <v>8730</v>
      </c>
      <c r="AH589" s="372">
        <v>0</v>
      </c>
    </row>
    <row r="590" spans="1:34">
      <c r="A590" s="372" t="s">
        <v>4489</v>
      </c>
      <c r="B590" s="373" t="s">
        <v>4490</v>
      </c>
      <c r="C590" s="372" t="s">
        <v>4491</v>
      </c>
      <c r="D590" s="374">
        <v>1311110126192</v>
      </c>
      <c r="E590" s="372" t="s">
        <v>4492</v>
      </c>
      <c r="F590" s="375" t="s">
        <v>1272</v>
      </c>
      <c r="G590" s="375" t="s">
        <v>1272</v>
      </c>
      <c r="H590" s="375" t="s">
        <v>858</v>
      </c>
      <c r="I590" s="375" t="s">
        <v>859</v>
      </c>
      <c r="J590" s="375">
        <v>441796.72876000003</v>
      </c>
      <c r="K590" s="375">
        <v>23026.61594</v>
      </c>
      <c r="L590" s="375">
        <v>26206.341059999999</v>
      </c>
      <c r="M590" s="375">
        <v>158272.3676</v>
      </c>
      <c r="N590" s="372">
        <v>0.751</v>
      </c>
      <c r="O590" s="704">
        <v>16.318806507990569</v>
      </c>
      <c r="P590" s="375" t="s">
        <v>619</v>
      </c>
      <c r="Q590" s="375" t="s">
        <v>619</v>
      </c>
      <c r="R590" s="696">
        <v>20151112</v>
      </c>
      <c r="S590" s="375" t="s">
        <v>4493</v>
      </c>
      <c r="T590" s="697">
        <v>0.23100000000000001</v>
      </c>
      <c r="U590" s="372" t="s">
        <v>4494</v>
      </c>
      <c r="V590" s="722">
        <v>5.38</v>
      </c>
      <c r="W590" s="722">
        <v>1.27</v>
      </c>
      <c r="X590" s="722">
        <v>0.49</v>
      </c>
      <c r="Y590" s="722">
        <v>10.220000000000001</v>
      </c>
      <c r="Z590" s="382" t="s">
        <v>924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4330</v>
      </c>
      <c r="AF590" s="372">
        <v>5080</v>
      </c>
      <c r="AG590" s="372">
        <v>0</v>
      </c>
      <c r="AH590" s="372">
        <v>0</v>
      </c>
    </row>
    <row r="591" spans="1:34">
      <c r="A591" s="372" t="s">
        <v>4495</v>
      </c>
      <c r="B591" s="373" t="s">
        <v>4496</v>
      </c>
      <c r="C591" s="372" t="s">
        <v>4497</v>
      </c>
      <c r="D591" s="374">
        <v>1601110002313</v>
      </c>
      <c r="E591" s="372" t="s">
        <v>4498</v>
      </c>
      <c r="F591" s="372" t="s">
        <v>2113</v>
      </c>
      <c r="G591" s="375" t="s">
        <v>2114</v>
      </c>
      <c r="H591" s="375" t="s">
        <v>809</v>
      </c>
      <c r="I591" s="375" t="s">
        <v>751</v>
      </c>
      <c r="J591" s="375">
        <v>632585.96351999999</v>
      </c>
      <c r="K591" s="375">
        <v>38244.128349999999</v>
      </c>
      <c r="L591" s="375">
        <v>22935.26251</v>
      </c>
      <c r="M591" s="375">
        <v>368732.01929000003</v>
      </c>
      <c r="N591" s="372">
        <v>0.70499999999999996</v>
      </c>
      <c r="O591" s="704">
        <v>177.67529548895766</v>
      </c>
      <c r="P591" s="375" t="s">
        <v>619</v>
      </c>
      <c r="Q591" s="375" t="s">
        <v>619</v>
      </c>
      <c r="R591" s="696">
        <v>19720317</v>
      </c>
      <c r="S591" s="375" t="s">
        <v>4499</v>
      </c>
      <c r="T591" s="697">
        <v>0.23100000000000001</v>
      </c>
      <c r="U591" s="375" t="s">
        <v>4500</v>
      </c>
      <c r="V591" s="722">
        <v>7.01</v>
      </c>
      <c r="W591" s="722">
        <v>0.82</v>
      </c>
      <c r="X591" s="722">
        <v>0.37</v>
      </c>
      <c r="Y591" s="722">
        <v>15.65</v>
      </c>
      <c r="Z591" s="382" t="s">
        <v>924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4501</v>
      </c>
      <c r="B592" s="373" t="s">
        <v>4502</v>
      </c>
      <c r="C592" s="372" t="s">
        <v>4503</v>
      </c>
      <c r="D592" s="374">
        <v>1201110038209</v>
      </c>
      <c r="E592" s="372" t="s">
        <v>4504</v>
      </c>
      <c r="F592" s="372" t="s">
        <v>2508</v>
      </c>
      <c r="G592" s="375" t="s">
        <v>2508</v>
      </c>
      <c r="H592" s="375" t="s">
        <v>858</v>
      </c>
      <c r="I592" s="375" t="s">
        <v>859</v>
      </c>
      <c r="J592" s="375">
        <v>172912.3088</v>
      </c>
      <c r="K592" s="375">
        <v>6375.4003599999996</v>
      </c>
      <c r="L592" s="375">
        <v>8413.1416700000009</v>
      </c>
      <c r="M592" s="375">
        <v>188536.68669999999</v>
      </c>
      <c r="N592" s="372">
        <v>0.98399999999999999</v>
      </c>
      <c r="O592" s="704">
        <v>34.851744014901882</v>
      </c>
      <c r="P592" s="375" t="s">
        <v>619</v>
      </c>
      <c r="Q592" s="372" t="s">
        <v>619</v>
      </c>
      <c r="R592" s="696">
        <v>20110721</v>
      </c>
      <c r="S592" s="372" t="s">
        <v>4505</v>
      </c>
      <c r="T592" s="697">
        <v>0.20900000000000002</v>
      </c>
      <c r="U592" s="372" t="s">
        <v>4506</v>
      </c>
      <c r="V592" s="722">
        <v>20.71</v>
      </c>
      <c r="W592" s="722">
        <v>1.87</v>
      </c>
      <c r="X592" s="722">
        <v>2.09</v>
      </c>
      <c r="Y592" s="722">
        <v>65.2</v>
      </c>
      <c r="Z592" s="382">
        <v>7.7630798778734134E-2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1740</v>
      </c>
      <c r="AF592" s="372">
        <v>1916</v>
      </c>
      <c r="AG592" s="372">
        <v>2476</v>
      </c>
      <c r="AH592" s="372">
        <v>3083</v>
      </c>
    </row>
    <row r="593" spans="1:34">
      <c r="A593" s="372" t="s">
        <v>4507</v>
      </c>
      <c r="B593" s="373" t="s">
        <v>4508</v>
      </c>
      <c r="C593" s="372" t="s">
        <v>4509</v>
      </c>
      <c r="D593" s="374">
        <v>1101110609771</v>
      </c>
      <c r="E593" s="372" t="s">
        <v>4510</v>
      </c>
      <c r="F593" s="375" t="s">
        <v>2438</v>
      </c>
      <c r="G593" s="375" t="s">
        <v>2438</v>
      </c>
      <c r="H593" s="375" t="s">
        <v>1334</v>
      </c>
      <c r="I593" s="375" t="s">
        <v>859</v>
      </c>
      <c r="J593" s="375">
        <v>248103.08152000001</v>
      </c>
      <c r="K593" s="375">
        <v>1973.5995399999999</v>
      </c>
      <c r="L593" s="375">
        <v>4438.5235899999998</v>
      </c>
      <c r="M593" s="375">
        <v>66421.416169999997</v>
      </c>
      <c r="N593" s="372">
        <v>0.51600000000000001</v>
      </c>
      <c r="O593" s="704">
        <v>16.84297639960263</v>
      </c>
      <c r="P593" s="375" t="s">
        <v>619</v>
      </c>
      <c r="Q593" s="372" t="s">
        <v>619</v>
      </c>
      <c r="R593" s="696">
        <v>20050726</v>
      </c>
      <c r="S593" s="375" t="s">
        <v>4511</v>
      </c>
      <c r="T593" s="697">
        <v>0.20900000000000002</v>
      </c>
      <c r="U593" s="375" t="s">
        <v>4512</v>
      </c>
      <c r="V593" s="722">
        <v>33.4</v>
      </c>
      <c r="W593" s="722">
        <v>2.0299999999999998</v>
      </c>
      <c r="X593" s="722">
        <v>0.81</v>
      </c>
      <c r="Y593" s="722">
        <v>31.64</v>
      </c>
      <c r="Z593" s="382">
        <v>0.1556529813741232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2467.8000000000002</v>
      </c>
      <c r="AF593" s="372">
        <v>2840.25</v>
      </c>
      <c r="AG593" s="372">
        <v>3185.33</v>
      </c>
      <c r="AH593" s="372">
        <v>0</v>
      </c>
    </row>
    <row r="594" spans="1:34">
      <c r="A594" s="372" t="s">
        <v>4513</v>
      </c>
      <c r="B594" s="373" t="s">
        <v>4514</v>
      </c>
      <c r="C594" s="372" t="s">
        <v>4515</v>
      </c>
      <c r="D594" s="374">
        <v>1101110210859</v>
      </c>
      <c r="E594" s="372" t="s">
        <v>4516</v>
      </c>
      <c r="F594" s="375" t="s">
        <v>972</v>
      </c>
      <c r="G594" s="375" t="s">
        <v>973</v>
      </c>
      <c r="H594" s="375" t="s">
        <v>814</v>
      </c>
      <c r="I594" s="375" t="s">
        <v>751</v>
      </c>
      <c r="J594" s="375">
        <v>548079.96336000005</v>
      </c>
      <c r="K594" s="375">
        <v>25166.838489999998</v>
      </c>
      <c r="L594" s="375">
        <v>78410.91231</v>
      </c>
      <c r="M594" s="375">
        <v>386391.77872</v>
      </c>
      <c r="N594" s="372">
        <v>0.91700000000000004</v>
      </c>
      <c r="O594" s="704">
        <v>100.34465935492088</v>
      </c>
      <c r="P594" s="375" t="s">
        <v>619</v>
      </c>
      <c r="Q594" s="375" t="s">
        <v>619</v>
      </c>
      <c r="R594" s="696">
        <v>19930106</v>
      </c>
      <c r="S594" s="375" t="s">
        <v>4517</v>
      </c>
      <c r="T594" s="697">
        <v>0.23100000000000001</v>
      </c>
      <c r="U594" s="375" t="s">
        <v>4518</v>
      </c>
      <c r="V594" s="722">
        <v>15.91</v>
      </c>
      <c r="W594" s="722">
        <v>0.7</v>
      </c>
      <c r="X594" s="722">
        <v>0.53</v>
      </c>
      <c r="Y594" s="722">
        <v>4.3600000000000003</v>
      </c>
      <c r="Z594" s="382" t="s">
        <v>924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4519</v>
      </c>
      <c r="B595" s="373" t="s">
        <v>4520</v>
      </c>
      <c r="C595" s="372" t="s">
        <v>4521</v>
      </c>
      <c r="D595" s="374">
        <v>1243110004252</v>
      </c>
      <c r="E595" s="372" t="s">
        <v>4522</v>
      </c>
      <c r="F595" s="375" t="s">
        <v>1761</v>
      </c>
      <c r="G595" s="375" t="s">
        <v>2235</v>
      </c>
      <c r="H595" s="375" t="s">
        <v>823</v>
      </c>
      <c r="I595" s="375" t="s">
        <v>751</v>
      </c>
      <c r="J595" s="375">
        <v>637903.89390999998</v>
      </c>
      <c r="K595" s="375">
        <v>34485.422789999997</v>
      </c>
      <c r="L595" s="375">
        <v>22151.60572</v>
      </c>
      <c r="M595" s="375">
        <v>496377.98054999998</v>
      </c>
      <c r="N595" s="372">
        <v>0.69699999999999995</v>
      </c>
      <c r="O595" s="704">
        <v>255.06294192035872</v>
      </c>
      <c r="P595" s="375" t="s">
        <v>619</v>
      </c>
      <c r="Q595" s="375" t="s">
        <v>619</v>
      </c>
      <c r="R595" s="696">
        <v>19900327</v>
      </c>
      <c r="S595" s="375" t="s">
        <v>4523</v>
      </c>
      <c r="T595" s="697">
        <v>0.23100000000000001</v>
      </c>
      <c r="U595" s="375" t="s">
        <v>4524</v>
      </c>
      <c r="V595" s="722">
        <v>8.7100000000000009</v>
      </c>
      <c r="W595" s="722">
        <v>0.43</v>
      </c>
      <c r="X595" s="722">
        <v>0.31</v>
      </c>
      <c r="Y595" s="722">
        <v>16.04</v>
      </c>
      <c r="Z595" s="382">
        <v>6.0590023469199394E-2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6499</v>
      </c>
      <c r="AF595" s="372">
        <v>7018</v>
      </c>
      <c r="AG595" s="372">
        <v>7523</v>
      </c>
      <c r="AH595" s="372">
        <v>7951</v>
      </c>
    </row>
    <row r="596" spans="1:34">
      <c r="A596" s="372" t="s">
        <v>4525</v>
      </c>
      <c r="B596" s="373" t="s">
        <v>4526</v>
      </c>
      <c r="C596" s="372" t="s">
        <v>4527</v>
      </c>
      <c r="D596" s="374">
        <v>1101112663436</v>
      </c>
      <c r="E596" s="372" t="s">
        <v>4528</v>
      </c>
      <c r="F596" s="375" t="s">
        <v>1653</v>
      </c>
      <c r="G596" s="375" t="s">
        <v>1653</v>
      </c>
      <c r="H596" s="375" t="s">
        <v>858</v>
      </c>
      <c r="I596" s="375" t="s">
        <v>859</v>
      </c>
      <c r="J596" s="375">
        <v>159081.44967</v>
      </c>
      <c r="K596" s="375">
        <v>11420.832</v>
      </c>
      <c r="L596" s="375">
        <v>8716.7992200000008</v>
      </c>
      <c r="M596" s="375">
        <v>64727.156569999999</v>
      </c>
      <c r="N596" s="372">
        <v>0.49399999999999999</v>
      </c>
      <c r="O596" s="704">
        <v>2.2293245778542619</v>
      </c>
      <c r="P596" s="375" t="s">
        <v>619</v>
      </c>
      <c r="Q596" s="375" t="s">
        <v>619</v>
      </c>
      <c r="R596" s="696">
        <v>20101105</v>
      </c>
      <c r="S596" s="375" t="s">
        <v>4529</v>
      </c>
      <c r="T596" s="697">
        <v>0.20900000000000002</v>
      </c>
      <c r="U596" s="375" t="s">
        <v>4530</v>
      </c>
      <c r="V596" s="722">
        <v>0</v>
      </c>
      <c r="W596" s="722">
        <v>0</v>
      </c>
      <c r="X596" s="722">
        <v>0</v>
      </c>
      <c r="Y596" s="722">
        <v>0</v>
      </c>
      <c r="Z596" s="382" t="s">
        <v>924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4531</v>
      </c>
      <c r="B597" s="373" t="s">
        <v>4532</v>
      </c>
      <c r="C597" s="372" t="s">
        <v>4533</v>
      </c>
      <c r="D597" s="374">
        <v>1348110400341</v>
      </c>
      <c r="E597" s="372" t="s">
        <v>4534</v>
      </c>
      <c r="F597" s="372" t="s">
        <v>1182</v>
      </c>
      <c r="G597" s="375" t="s">
        <v>3112</v>
      </c>
      <c r="H597" s="375" t="s">
        <v>858</v>
      </c>
      <c r="I597" s="375" t="s">
        <v>859</v>
      </c>
      <c r="J597" s="375">
        <v>512269.37914999999</v>
      </c>
      <c r="K597" s="375">
        <v>54892.3024</v>
      </c>
      <c r="L597" s="375">
        <v>66882.763250000004</v>
      </c>
      <c r="M597" s="375">
        <v>327051.57214</v>
      </c>
      <c r="N597" s="372">
        <v>0.89200000000000002</v>
      </c>
      <c r="O597" s="704">
        <v>40.506170156899174</v>
      </c>
      <c r="P597" s="375" t="s">
        <v>619</v>
      </c>
      <c r="Q597" s="375" t="s">
        <v>619</v>
      </c>
      <c r="R597" s="696">
        <v>20170407</v>
      </c>
      <c r="S597" s="375" t="s">
        <v>4535</v>
      </c>
      <c r="T597" s="697">
        <v>0.23100000000000001</v>
      </c>
      <c r="U597" s="372" t="s">
        <v>4536</v>
      </c>
      <c r="V597" s="722">
        <v>4.8899999999999997</v>
      </c>
      <c r="W597" s="722">
        <v>0.9</v>
      </c>
      <c r="X597" s="722">
        <v>0.57999999999999996</v>
      </c>
      <c r="Y597" s="722">
        <v>5.64</v>
      </c>
      <c r="Z597" s="382">
        <v>3.9425029795297828E-2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5180.67</v>
      </c>
      <c r="AF597" s="372">
        <v>5696.67</v>
      </c>
      <c r="AG597" s="372">
        <v>6228.33</v>
      </c>
      <c r="AH597" s="372">
        <v>0</v>
      </c>
    </row>
    <row r="598" spans="1:34">
      <c r="A598" s="372" t="s">
        <v>4537</v>
      </c>
      <c r="B598" s="373" t="s">
        <v>4538</v>
      </c>
      <c r="C598" s="372" t="s">
        <v>4539</v>
      </c>
      <c r="D598" s="374">
        <v>1101115671171</v>
      </c>
      <c r="E598" s="372" t="s">
        <v>4540</v>
      </c>
      <c r="F598" s="372" t="s">
        <v>1367</v>
      </c>
      <c r="G598" s="375" t="s">
        <v>1367</v>
      </c>
      <c r="H598" s="375" t="s">
        <v>858</v>
      </c>
      <c r="I598" s="375" t="s">
        <v>859</v>
      </c>
      <c r="J598" s="375">
        <v>118319.08532</v>
      </c>
      <c r="K598" s="375">
        <v>9992.9085500000001</v>
      </c>
      <c r="L598" s="375">
        <v>55462.982660000001</v>
      </c>
      <c r="M598" s="375">
        <v>424466.62566999998</v>
      </c>
      <c r="N598" s="372">
        <v>1.1100000000000001</v>
      </c>
      <c r="O598" s="704">
        <v>3.8221804882724553</v>
      </c>
      <c r="P598" s="375" t="s">
        <v>619</v>
      </c>
      <c r="Q598" s="375" t="s">
        <v>619</v>
      </c>
      <c r="R598" s="696">
        <v>20150618</v>
      </c>
      <c r="S598" s="375" t="s">
        <v>2502</v>
      </c>
      <c r="T598" s="697">
        <v>0.23100000000000001</v>
      </c>
      <c r="U598" s="372" t="s">
        <v>4541</v>
      </c>
      <c r="V598" s="722">
        <v>14.77</v>
      </c>
      <c r="W598" s="722">
        <v>0.6</v>
      </c>
      <c r="X598" s="722">
        <v>2.27</v>
      </c>
      <c r="Y598" s="722">
        <v>5.05</v>
      </c>
      <c r="Z598" s="382" t="s">
        <v>924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4542</v>
      </c>
      <c r="B599" s="373" t="s">
        <v>4543</v>
      </c>
      <c r="C599" s="372" t="s">
        <v>4544</v>
      </c>
      <c r="D599" s="374">
        <v>2201110000819</v>
      </c>
      <c r="E599" s="372" t="s">
        <v>4545</v>
      </c>
      <c r="F599" s="372" t="s">
        <v>919</v>
      </c>
      <c r="G599" s="375" t="s">
        <v>920</v>
      </c>
      <c r="H599" s="375" t="s">
        <v>921</v>
      </c>
      <c r="I599" s="375" t="s">
        <v>751</v>
      </c>
      <c r="J599" s="375">
        <v>0</v>
      </c>
      <c r="K599" s="375">
        <v>0</v>
      </c>
      <c r="L599" s="375">
        <v>0</v>
      </c>
      <c r="M599" s="375">
        <v>0</v>
      </c>
      <c r="N599" s="372">
        <v>0.751</v>
      </c>
      <c r="O599" s="704" t="s">
        <v>16298</v>
      </c>
      <c r="P599" s="375" t="s">
        <v>619</v>
      </c>
      <c r="Q599" s="375" t="s">
        <v>619</v>
      </c>
      <c r="R599" s="696">
        <v>19721228</v>
      </c>
      <c r="S599" s="372" t="s">
        <v>4546</v>
      </c>
      <c r="T599" s="697" t="s">
        <v>768</v>
      </c>
      <c r="U599" s="375" t="s">
        <v>4547</v>
      </c>
      <c r="V599" s="722">
        <v>0</v>
      </c>
      <c r="W599" s="722">
        <v>0</v>
      </c>
      <c r="X599" s="722">
        <v>0</v>
      </c>
      <c r="Y599" s="722">
        <v>0</v>
      </c>
      <c r="Z599" s="382" t="s">
        <v>924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4548</v>
      </c>
      <c r="B600" s="373" t="s">
        <v>4549</v>
      </c>
      <c r="C600" s="372" t="s">
        <v>4550</v>
      </c>
      <c r="D600" s="374">
        <v>1801110058742</v>
      </c>
      <c r="E600" s="372" t="s">
        <v>4551</v>
      </c>
      <c r="F600" s="375" t="s">
        <v>1320</v>
      </c>
      <c r="G600" s="375" t="s">
        <v>16103</v>
      </c>
      <c r="H600" s="375" t="s">
        <v>858</v>
      </c>
      <c r="I600" s="375" t="s">
        <v>859</v>
      </c>
      <c r="J600" s="375">
        <v>129613.60311</v>
      </c>
      <c r="K600" s="375">
        <v>-26882.13394</v>
      </c>
      <c r="L600" s="375">
        <v>-32946.027719999998</v>
      </c>
      <c r="M600" s="375">
        <v>170233.56594</v>
      </c>
      <c r="N600" s="372">
        <v>1.302</v>
      </c>
      <c r="O600" s="704">
        <v>10.859646362194027</v>
      </c>
      <c r="P600" s="375" t="s">
        <v>619</v>
      </c>
      <c r="Q600" s="372" t="s">
        <v>619</v>
      </c>
      <c r="R600" s="696">
        <v>20010803</v>
      </c>
      <c r="S600" s="372" t="s">
        <v>4552</v>
      </c>
      <c r="T600" s="697" t="s">
        <v>768</v>
      </c>
      <c r="U600" s="372" t="s">
        <v>4553</v>
      </c>
      <c r="V600" s="722" t="s">
        <v>770</v>
      </c>
      <c r="W600" s="722">
        <v>4.34</v>
      </c>
      <c r="X600" s="722">
        <v>6.03</v>
      </c>
      <c r="Y600" s="722" t="s">
        <v>770</v>
      </c>
      <c r="Z600" s="382">
        <v>0.12264924116321874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1438</v>
      </c>
      <c r="AF600" s="372">
        <v>1916</v>
      </c>
      <c r="AG600" s="372">
        <v>2459.33</v>
      </c>
      <c r="AH600" s="372">
        <v>2514</v>
      </c>
    </row>
    <row r="601" spans="1:34">
      <c r="A601" s="372" t="s">
        <v>4554</v>
      </c>
      <c r="B601" s="373" t="s">
        <v>4555</v>
      </c>
      <c r="C601" s="372" t="s">
        <v>4556</v>
      </c>
      <c r="D601" s="374">
        <v>1101116390770</v>
      </c>
      <c r="E601" s="372" t="s">
        <v>4557</v>
      </c>
      <c r="F601" s="375" t="s">
        <v>16108</v>
      </c>
      <c r="G601" s="375" t="s">
        <v>16108</v>
      </c>
      <c r="H601" s="375" t="s">
        <v>858</v>
      </c>
      <c r="I601" s="375" t="s">
        <v>859</v>
      </c>
      <c r="J601" s="375">
        <v>1792447.39258</v>
      </c>
      <c r="K601" s="375">
        <v>74882.594419999994</v>
      </c>
      <c r="L601" s="375">
        <v>72524.728640000001</v>
      </c>
      <c r="M601" s="375">
        <v>568357.28060000006</v>
      </c>
      <c r="N601" s="372">
        <v>0.46800000000000003</v>
      </c>
      <c r="O601" s="704">
        <v>78.840792864894681</v>
      </c>
      <c r="P601" s="375" t="s">
        <v>619</v>
      </c>
      <c r="Q601" s="375" t="s">
        <v>619</v>
      </c>
      <c r="R601" s="696">
        <v>20170605</v>
      </c>
      <c r="S601" s="375" t="s">
        <v>4558</v>
      </c>
      <c r="T601" s="697">
        <v>0.23100000000000001</v>
      </c>
      <c r="U601" s="375" t="s">
        <v>4559</v>
      </c>
      <c r="V601" s="722">
        <v>2.6</v>
      </c>
      <c r="W601" s="722">
        <v>0.51</v>
      </c>
      <c r="X601" s="722">
        <v>0.17</v>
      </c>
      <c r="Y601" s="722">
        <v>5.82</v>
      </c>
      <c r="Z601" s="382">
        <v>2.1679936506237896E-2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18312</v>
      </c>
      <c r="AF601" s="372">
        <v>18862</v>
      </c>
      <c r="AG601" s="372">
        <v>19427</v>
      </c>
      <c r="AH601" s="372">
        <v>0</v>
      </c>
    </row>
    <row r="602" spans="1:34">
      <c r="A602" s="372" t="s">
        <v>4560</v>
      </c>
      <c r="B602" s="373" t="s">
        <v>4561</v>
      </c>
      <c r="C602" s="372" t="s">
        <v>4562</v>
      </c>
      <c r="D602" s="374">
        <v>1311110251395</v>
      </c>
      <c r="E602" s="372" t="s">
        <v>4563</v>
      </c>
      <c r="F602" s="375" t="s">
        <v>1113</v>
      </c>
      <c r="G602" s="375" t="s">
        <v>1333</v>
      </c>
      <c r="H602" s="375" t="s">
        <v>1334</v>
      </c>
      <c r="I602" s="375" t="s">
        <v>859</v>
      </c>
      <c r="J602" s="375">
        <v>6185.7272599999997</v>
      </c>
      <c r="K602" s="375">
        <v>-11845.082549999999</v>
      </c>
      <c r="L602" s="375">
        <v>-16475.888040000002</v>
      </c>
      <c r="M602" s="375">
        <v>58503.193800000001</v>
      </c>
      <c r="N602" s="372">
        <v>0.64100000000000001</v>
      </c>
      <c r="O602" s="704">
        <v>7.9492331178565756</v>
      </c>
      <c r="P602" s="375" t="s">
        <v>619</v>
      </c>
      <c r="Q602" s="372" t="s">
        <v>619</v>
      </c>
      <c r="R602" s="696">
        <v>20181122</v>
      </c>
      <c r="S602" s="372" t="s">
        <v>4564</v>
      </c>
      <c r="T602" s="697" t="s">
        <v>768</v>
      </c>
      <c r="U602" s="372" t="s">
        <v>4565</v>
      </c>
      <c r="V602" s="722" t="s">
        <v>770</v>
      </c>
      <c r="W602" s="722">
        <v>2.61</v>
      </c>
      <c r="X602" s="722">
        <v>24.39</v>
      </c>
      <c r="Y602" s="722" t="s">
        <v>770</v>
      </c>
      <c r="Z602" s="382" t="s">
        <v>924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4566</v>
      </c>
      <c r="B603" s="373" t="s">
        <v>4567</v>
      </c>
      <c r="C603" s="372" t="s">
        <v>4568</v>
      </c>
      <c r="D603" s="374">
        <v>1501110267365</v>
      </c>
      <c r="E603" s="372" t="s">
        <v>4569</v>
      </c>
      <c r="F603" s="375" t="s">
        <v>2715</v>
      </c>
      <c r="G603" s="375" t="s">
        <v>2715</v>
      </c>
      <c r="H603" s="375" t="s">
        <v>1334</v>
      </c>
      <c r="I603" s="375" t="s">
        <v>859</v>
      </c>
      <c r="J603" s="375">
        <v>129119.64436999999</v>
      </c>
      <c r="K603" s="375">
        <v>-4663.5344100000002</v>
      </c>
      <c r="L603" s="375">
        <v>-43190.301480000002</v>
      </c>
      <c r="M603" s="375">
        <v>174948.43302999999</v>
      </c>
      <c r="N603" s="372">
        <v>1.325</v>
      </c>
      <c r="O603" s="704">
        <v>89.844735714906349</v>
      </c>
      <c r="P603" s="375" t="s">
        <v>619</v>
      </c>
      <c r="Q603" s="375" t="s">
        <v>619</v>
      </c>
      <c r="R603" s="696">
        <v>20201117</v>
      </c>
      <c r="S603" s="375" t="s">
        <v>4570</v>
      </c>
      <c r="T603" s="697" t="s">
        <v>768</v>
      </c>
      <c r="U603" s="375" t="s">
        <v>4571</v>
      </c>
      <c r="V603" s="722">
        <v>0</v>
      </c>
      <c r="W603" s="722">
        <v>0</v>
      </c>
      <c r="X603" s="722">
        <v>0</v>
      </c>
      <c r="Y603" s="722">
        <v>0</v>
      </c>
      <c r="Z603" s="382" t="s">
        <v>924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4572</v>
      </c>
      <c r="B604" s="373" t="s">
        <v>4573</v>
      </c>
      <c r="C604" s="372" t="s">
        <v>4574</v>
      </c>
      <c r="D604" s="374">
        <v>1101111948277</v>
      </c>
      <c r="E604" s="372" t="s">
        <v>4575</v>
      </c>
      <c r="F604" s="372" t="s">
        <v>16098</v>
      </c>
      <c r="G604" s="375" t="s">
        <v>16098</v>
      </c>
      <c r="H604" s="375" t="s">
        <v>858</v>
      </c>
      <c r="I604" s="375" t="s">
        <v>859</v>
      </c>
      <c r="J604" s="375">
        <v>147976.98378000001</v>
      </c>
      <c r="K604" s="375">
        <v>-27058.70248</v>
      </c>
      <c r="L604" s="375">
        <v>-89743.544219999996</v>
      </c>
      <c r="M604" s="375">
        <v>113049.96017000001</v>
      </c>
      <c r="N604" s="372">
        <v>0.626</v>
      </c>
      <c r="O604" s="704">
        <v>48.015825669075014</v>
      </c>
      <c r="P604" s="375" t="s">
        <v>619</v>
      </c>
      <c r="Q604" s="375" t="s">
        <v>619</v>
      </c>
      <c r="R604" s="696">
        <v>20090407</v>
      </c>
      <c r="S604" s="375" t="s">
        <v>4576</v>
      </c>
      <c r="T604" s="697" t="s">
        <v>768</v>
      </c>
      <c r="U604" s="375" t="s">
        <v>4577</v>
      </c>
      <c r="V604" s="722" t="s">
        <v>770</v>
      </c>
      <c r="W604" s="722">
        <v>2.02</v>
      </c>
      <c r="X604" s="722">
        <v>1.46</v>
      </c>
      <c r="Y604" s="722" t="s">
        <v>770</v>
      </c>
      <c r="Z604" s="382" t="s">
        <v>924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4578</v>
      </c>
      <c r="B605" s="373" t="s">
        <v>4579</v>
      </c>
      <c r="C605" s="372" t="s">
        <v>4580</v>
      </c>
      <c r="D605" s="374">
        <v>1101112743866</v>
      </c>
      <c r="E605" s="372" t="s">
        <v>4581</v>
      </c>
      <c r="F605" s="375" t="s">
        <v>1693</v>
      </c>
      <c r="G605" s="375" t="s">
        <v>1693</v>
      </c>
      <c r="H605" s="375" t="s">
        <v>1334</v>
      </c>
      <c r="I605" s="375" t="s">
        <v>859</v>
      </c>
      <c r="J605" s="375">
        <v>348326.86285999999</v>
      </c>
      <c r="K605" s="375">
        <v>50324.888509999997</v>
      </c>
      <c r="L605" s="375">
        <v>52461.414409999998</v>
      </c>
      <c r="M605" s="375">
        <v>278391.84198000003</v>
      </c>
      <c r="N605" s="372">
        <v>0.60899999999999999</v>
      </c>
      <c r="O605" s="704">
        <v>7.8745005279630309</v>
      </c>
      <c r="P605" s="375" t="s">
        <v>619</v>
      </c>
      <c r="Q605" s="375" t="s">
        <v>619</v>
      </c>
      <c r="R605" s="696">
        <v>20160808</v>
      </c>
      <c r="S605" s="375" t="s">
        <v>4582</v>
      </c>
      <c r="T605" s="697">
        <v>0.23100000000000001</v>
      </c>
      <c r="U605" s="375" t="s">
        <v>4583</v>
      </c>
      <c r="V605" s="722">
        <v>6.5</v>
      </c>
      <c r="W605" s="722">
        <v>1.42</v>
      </c>
      <c r="X605" s="722">
        <v>0.99</v>
      </c>
      <c r="Y605" s="722">
        <v>11.09</v>
      </c>
      <c r="Z605" s="382">
        <v>5.7228121839359103E-2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3597</v>
      </c>
      <c r="AF605" s="372">
        <v>3974.2</v>
      </c>
      <c r="AG605" s="372">
        <v>4378.6000000000004</v>
      </c>
      <c r="AH605" s="372">
        <v>0</v>
      </c>
    </row>
    <row r="606" spans="1:34">
      <c r="A606" s="372" t="s">
        <v>4584</v>
      </c>
      <c r="B606" s="373" t="s">
        <v>4585</v>
      </c>
      <c r="C606" s="372" t="s">
        <v>4586</v>
      </c>
      <c r="D606" s="374">
        <v>1350110115846</v>
      </c>
      <c r="E606" s="372" t="s">
        <v>4587</v>
      </c>
      <c r="F606" s="372" t="s">
        <v>1246</v>
      </c>
      <c r="G606" s="375" t="s">
        <v>1246</v>
      </c>
      <c r="H606" s="375" t="s">
        <v>858</v>
      </c>
      <c r="I606" s="375" t="s">
        <v>859</v>
      </c>
      <c r="J606" s="375">
        <v>94363.88725</v>
      </c>
      <c r="K606" s="375">
        <v>-463.54309000000001</v>
      </c>
      <c r="L606" s="375">
        <v>3878.4662899999998</v>
      </c>
      <c r="M606" s="375">
        <v>196029.73801</v>
      </c>
      <c r="N606" s="372">
        <v>0.90700000000000003</v>
      </c>
      <c r="O606" s="704">
        <v>26.341767218510302</v>
      </c>
      <c r="P606" s="375" t="s">
        <v>619</v>
      </c>
      <c r="Q606" s="375" t="s">
        <v>619</v>
      </c>
      <c r="R606" s="696">
        <v>20010829</v>
      </c>
      <c r="S606" s="375" t="s">
        <v>1341</v>
      </c>
      <c r="T606" s="697">
        <v>0.20900000000000002</v>
      </c>
      <c r="U606" s="375" t="s">
        <v>4588</v>
      </c>
      <c r="V606" s="722">
        <v>110.62</v>
      </c>
      <c r="W606" s="722">
        <v>1.54</v>
      </c>
      <c r="X606" s="722">
        <v>3.21</v>
      </c>
      <c r="Y606" s="722">
        <v>104.6</v>
      </c>
      <c r="Z606" s="382" t="s">
        <v>924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4589</v>
      </c>
      <c r="B607" s="373" t="s">
        <v>4590</v>
      </c>
      <c r="C607" s="372" t="s">
        <v>4591</v>
      </c>
      <c r="D607" s="374">
        <v>1801110029321</v>
      </c>
      <c r="E607" s="372" t="s">
        <v>4592</v>
      </c>
      <c r="F607" s="375" t="s">
        <v>3215</v>
      </c>
      <c r="G607" s="375" t="s">
        <v>3215</v>
      </c>
      <c r="H607" s="375" t="s">
        <v>858</v>
      </c>
      <c r="I607" s="375" t="s">
        <v>859</v>
      </c>
      <c r="J607" s="375">
        <v>188066.22020000001</v>
      </c>
      <c r="K607" s="375">
        <v>54902.302259999997</v>
      </c>
      <c r="L607" s="375">
        <v>61625.856180000002</v>
      </c>
      <c r="M607" s="375">
        <v>419125.39513000002</v>
      </c>
      <c r="N607" s="372">
        <v>0.56399999999999995</v>
      </c>
      <c r="O607" s="704">
        <v>0</v>
      </c>
      <c r="P607" s="375" t="s">
        <v>619</v>
      </c>
      <c r="Q607" s="375" t="s">
        <v>619</v>
      </c>
      <c r="R607" s="696">
        <v>19891208</v>
      </c>
      <c r="S607" s="375" t="s">
        <v>4593</v>
      </c>
      <c r="T607" s="697">
        <v>0.23100000000000001</v>
      </c>
      <c r="U607" s="375" t="s">
        <v>4594</v>
      </c>
      <c r="V607" s="722">
        <v>5.48</v>
      </c>
      <c r="W607" s="722">
        <v>0.74</v>
      </c>
      <c r="X607" s="722">
        <v>1.72</v>
      </c>
      <c r="Y607" s="722">
        <v>7.08</v>
      </c>
      <c r="Z607" s="382">
        <v>8.7038725657564431E-3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1872.5</v>
      </c>
      <c r="AF607" s="372">
        <v>1866</v>
      </c>
      <c r="AG607" s="372">
        <v>1955</v>
      </c>
      <c r="AH607" s="372">
        <v>0</v>
      </c>
    </row>
    <row r="608" spans="1:34">
      <c r="A608" s="372" t="s">
        <v>4595</v>
      </c>
      <c r="B608" s="373" t="s">
        <v>4596</v>
      </c>
      <c r="C608" s="372" t="s">
        <v>4597</v>
      </c>
      <c r="D608" s="374">
        <v>1313110038864</v>
      </c>
      <c r="E608" s="372" t="s">
        <v>4598</v>
      </c>
      <c r="F608" s="375" t="s">
        <v>1182</v>
      </c>
      <c r="G608" s="375" t="s">
        <v>1183</v>
      </c>
      <c r="H608" s="375" t="s">
        <v>858</v>
      </c>
      <c r="I608" s="375" t="s">
        <v>859</v>
      </c>
      <c r="J608" s="375">
        <v>335889.72349</v>
      </c>
      <c r="K608" s="375">
        <v>61923.905180000002</v>
      </c>
      <c r="L608" s="375">
        <v>63231.414340000003</v>
      </c>
      <c r="M608" s="375">
        <v>265877.99154999998</v>
      </c>
      <c r="N608" s="372">
        <v>1.423</v>
      </c>
      <c r="O608" s="704">
        <v>4.8283289465845884</v>
      </c>
      <c r="P608" s="375" t="s">
        <v>619</v>
      </c>
      <c r="Q608" s="375" t="s">
        <v>619</v>
      </c>
      <c r="R608" s="696">
        <v>20060201</v>
      </c>
      <c r="S608" s="375" t="s">
        <v>4599</v>
      </c>
      <c r="T608" s="697">
        <v>0.23100000000000001</v>
      </c>
      <c r="U608" s="375" t="s">
        <v>4600</v>
      </c>
      <c r="V608" s="722">
        <v>4.8499999999999996</v>
      </c>
      <c r="W608" s="722">
        <v>1.2</v>
      </c>
      <c r="X608" s="722">
        <v>0.93</v>
      </c>
      <c r="Y608" s="722">
        <v>6.67</v>
      </c>
      <c r="Z608" s="382" t="s">
        <v>924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4601</v>
      </c>
      <c r="B609" s="373" t="s">
        <v>4602</v>
      </c>
      <c r="C609" s="372" t="s">
        <v>4603</v>
      </c>
      <c r="D609" s="374">
        <v>1101112727141</v>
      </c>
      <c r="E609" s="372" t="s">
        <v>4604</v>
      </c>
      <c r="F609" s="375" t="s">
        <v>1320</v>
      </c>
      <c r="G609" s="375" t="s">
        <v>16103</v>
      </c>
      <c r="H609" s="375" t="s">
        <v>858</v>
      </c>
      <c r="I609" s="375" t="s">
        <v>859</v>
      </c>
      <c r="J609" s="375">
        <v>161140.90938999999</v>
      </c>
      <c r="K609" s="375">
        <v>38212.316509999997</v>
      </c>
      <c r="L609" s="375">
        <v>38217.149039999997</v>
      </c>
      <c r="M609" s="375">
        <v>217070.30428000001</v>
      </c>
      <c r="N609" s="372">
        <v>0.35699999999999998</v>
      </c>
      <c r="O609" s="704">
        <v>0.56037158790477437</v>
      </c>
      <c r="P609" s="375" t="s">
        <v>619</v>
      </c>
      <c r="Q609" s="372" t="s">
        <v>619</v>
      </c>
      <c r="R609" s="696">
        <v>20141226</v>
      </c>
      <c r="S609" s="372" t="s">
        <v>4605</v>
      </c>
      <c r="T609" s="697">
        <v>0.23100000000000001</v>
      </c>
      <c r="U609" s="372" t="s">
        <v>4606</v>
      </c>
      <c r="V609" s="722">
        <v>0</v>
      </c>
      <c r="W609" s="722">
        <v>0</v>
      </c>
      <c r="X609" s="722">
        <v>0</v>
      </c>
      <c r="Y609" s="722">
        <v>0</v>
      </c>
      <c r="Z609" s="382">
        <v>0.1073950248784421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1783</v>
      </c>
      <c r="AF609" s="372">
        <v>2021</v>
      </c>
      <c r="AG609" s="372">
        <v>2290</v>
      </c>
      <c r="AH609" s="372">
        <v>0</v>
      </c>
    </row>
    <row r="610" spans="1:34">
      <c r="A610" s="372" t="s">
        <v>4607</v>
      </c>
      <c r="B610" s="373" t="s">
        <v>4608</v>
      </c>
      <c r="C610" s="372" t="s">
        <v>4609</v>
      </c>
      <c r="D610" s="374">
        <v>1760110007234</v>
      </c>
      <c r="E610" s="372" t="s">
        <v>4610</v>
      </c>
      <c r="F610" s="375" t="s">
        <v>1273</v>
      </c>
      <c r="G610" s="375" t="s">
        <v>1449</v>
      </c>
      <c r="H610" s="375" t="s">
        <v>858</v>
      </c>
      <c r="I610" s="375" t="s">
        <v>859</v>
      </c>
      <c r="J610" s="375">
        <v>298041.13191</v>
      </c>
      <c r="K610" s="375">
        <v>21331.701990000001</v>
      </c>
      <c r="L610" s="375">
        <v>15000.373020000001</v>
      </c>
      <c r="M610" s="375">
        <v>253568.00727</v>
      </c>
      <c r="N610" s="372">
        <v>0.88400000000000001</v>
      </c>
      <c r="O610" s="704">
        <v>22.896945900525953</v>
      </c>
      <c r="P610" s="375" t="s">
        <v>619</v>
      </c>
      <c r="Q610" s="375" t="s">
        <v>619</v>
      </c>
      <c r="R610" s="696">
        <v>20020517</v>
      </c>
      <c r="S610" s="375" t="s">
        <v>4611</v>
      </c>
      <c r="T610" s="697">
        <v>0.20900000000000002</v>
      </c>
      <c r="U610" s="372" t="s">
        <v>4612</v>
      </c>
      <c r="V610" s="722">
        <v>5.95</v>
      </c>
      <c r="W610" s="722">
        <v>0.86</v>
      </c>
      <c r="X610" s="722">
        <v>0.8</v>
      </c>
      <c r="Y610" s="722">
        <v>20.72</v>
      </c>
      <c r="Z610" s="382">
        <v>0.10274181412593753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3542</v>
      </c>
      <c r="AF610" s="372">
        <v>4720.83</v>
      </c>
      <c r="AG610" s="372">
        <v>5376.33</v>
      </c>
      <c r="AH610" s="372">
        <v>0</v>
      </c>
    </row>
    <row r="611" spans="1:34">
      <c r="A611" s="372" t="s">
        <v>4613</v>
      </c>
      <c r="B611" s="373" t="s">
        <v>4614</v>
      </c>
      <c r="C611" s="372" t="s">
        <v>4615</v>
      </c>
      <c r="D611" s="374">
        <v>1801110003268</v>
      </c>
      <c r="E611" s="372" t="s">
        <v>4616</v>
      </c>
      <c r="F611" s="375" t="s">
        <v>808</v>
      </c>
      <c r="G611" s="375" t="s">
        <v>808</v>
      </c>
      <c r="H611" s="375" t="s">
        <v>809</v>
      </c>
      <c r="I611" s="375" t="s">
        <v>751</v>
      </c>
      <c r="J611" s="375">
        <v>1238865.24095</v>
      </c>
      <c r="K611" s="375">
        <v>33970.88768</v>
      </c>
      <c r="L611" s="375">
        <v>62259.428590000003</v>
      </c>
      <c r="M611" s="375">
        <v>891626.97542999999</v>
      </c>
      <c r="N611" s="372">
        <v>0.63300000000000001</v>
      </c>
      <c r="O611" s="704">
        <v>12.031045727205637</v>
      </c>
      <c r="P611" s="375" t="s">
        <v>619</v>
      </c>
      <c r="Q611" s="375" t="s">
        <v>619</v>
      </c>
      <c r="R611" s="696">
        <v>20051031</v>
      </c>
      <c r="S611" s="375" t="s">
        <v>4617</v>
      </c>
      <c r="T611" s="697">
        <v>0.23100000000000001</v>
      </c>
      <c r="U611" s="375" t="s">
        <v>4618</v>
      </c>
      <c r="V611" s="722">
        <v>6.17</v>
      </c>
      <c r="W611" s="722">
        <v>0.35</v>
      </c>
      <c r="X611" s="722">
        <v>0.25</v>
      </c>
      <c r="Y611" s="722">
        <v>5.33</v>
      </c>
      <c r="Z611" s="382">
        <v>-2.8193012043141952E-2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12108.5</v>
      </c>
      <c r="AF611" s="372">
        <v>12584.75</v>
      </c>
      <c r="AG611" s="372">
        <v>12913.33</v>
      </c>
      <c r="AH611" s="372">
        <v>0</v>
      </c>
    </row>
    <row r="612" spans="1:34">
      <c r="A612" s="372" t="s">
        <v>4619</v>
      </c>
      <c r="B612" s="373" t="s">
        <v>4620</v>
      </c>
      <c r="C612" s="372" t="s">
        <v>4621</v>
      </c>
      <c r="D612" s="374">
        <v>1244110002907</v>
      </c>
      <c r="E612" s="372" t="s">
        <v>4622</v>
      </c>
      <c r="F612" s="375" t="s">
        <v>890</v>
      </c>
      <c r="G612" s="375" t="s">
        <v>891</v>
      </c>
      <c r="H612" s="375" t="s">
        <v>852</v>
      </c>
      <c r="I612" s="375" t="s">
        <v>751</v>
      </c>
      <c r="J612" s="375">
        <v>1767704.51159</v>
      </c>
      <c r="K612" s="375">
        <v>214807.06865999999</v>
      </c>
      <c r="L612" s="375">
        <v>225751.15701</v>
      </c>
      <c r="M612" s="375">
        <v>2052726.7997699999</v>
      </c>
      <c r="N612" s="372">
        <v>0.64200000000000002</v>
      </c>
      <c r="O612" s="704">
        <v>1.418730896390886</v>
      </c>
      <c r="P612" s="375" t="s">
        <v>619</v>
      </c>
      <c r="Q612" s="372" t="s">
        <v>619</v>
      </c>
      <c r="R612" s="696">
        <v>20000303</v>
      </c>
      <c r="S612" s="372" t="s">
        <v>4623</v>
      </c>
      <c r="T612" s="697">
        <v>0.23100000000000001</v>
      </c>
      <c r="U612" s="375" t="s">
        <v>4624</v>
      </c>
      <c r="V612" s="722">
        <v>4.76</v>
      </c>
      <c r="W612" s="722">
        <v>0.3</v>
      </c>
      <c r="X612" s="722">
        <v>0.21</v>
      </c>
      <c r="Y612" s="722">
        <v>3.17</v>
      </c>
      <c r="Z612" s="382">
        <v>3.0404781955203353E-2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18420</v>
      </c>
      <c r="AF612" s="372">
        <v>19870</v>
      </c>
      <c r="AG612" s="372">
        <v>21370</v>
      </c>
      <c r="AH612" s="372">
        <v>0</v>
      </c>
    </row>
    <row r="613" spans="1:34">
      <c r="A613" s="372" t="s">
        <v>4625</v>
      </c>
      <c r="B613" s="373" t="s">
        <v>4626</v>
      </c>
      <c r="C613" s="372" t="s">
        <v>4627</v>
      </c>
      <c r="D613" s="374">
        <v>1101111786057</v>
      </c>
      <c r="E613" s="372" t="s">
        <v>4628</v>
      </c>
      <c r="F613" s="375" t="s">
        <v>2121</v>
      </c>
      <c r="G613" s="375" t="s">
        <v>2121</v>
      </c>
      <c r="H613" s="375" t="s">
        <v>858</v>
      </c>
      <c r="I613" s="375" t="s">
        <v>859</v>
      </c>
      <c r="J613" s="375">
        <v>4570.84908</v>
      </c>
      <c r="K613" s="375">
        <v>-1865.2000599999999</v>
      </c>
      <c r="L613" s="375">
        <v>-1242.5328500000001</v>
      </c>
      <c r="M613" s="375">
        <v>42752.271540000002</v>
      </c>
      <c r="N613" s="372">
        <v>0.91800000000000004</v>
      </c>
      <c r="O613" s="704">
        <v>6.9134777682305405E-4</v>
      </c>
      <c r="P613" s="375" t="s">
        <v>619</v>
      </c>
      <c r="Q613" s="375" t="s">
        <v>619</v>
      </c>
      <c r="R613" s="696">
        <v>20210317</v>
      </c>
      <c r="S613" s="375" t="s">
        <v>4629</v>
      </c>
      <c r="T613" s="697" t="s">
        <v>768</v>
      </c>
      <c r="U613" s="372" t="s">
        <v>4630</v>
      </c>
      <c r="V613" s="722">
        <v>0</v>
      </c>
      <c r="W613" s="722">
        <v>0</v>
      </c>
      <c r="X613" s="722">
        <v>0</v>
      </c>
      <c r="Y613" s="722">
        <v>0</v>
      </c>
      <c r="Z613" s="382" t="s">
        <v>924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4631</v>
      </c>
      <c r="B614" s="373" t="s">
        <v>4632</v>
      </c>
      <c r="C614" s="372" t="s">
        <v>4633</v>
      </c>
      <c r="D614" s="374">
        <v>1101110134372</v>
      </c>
      <c r="E614" s="372" t="s">
        <v>4634</v>
      </c>
      <c r="F614" s="372" t="s">
        <v>4635</v>
      </c>
      <c r="G614" s="375" t="s">
        <v>4635</v>
      </c>
      <c r="H614" s="375" t="s">
        <v>858</v>
      </c>
      <c r="I614" s="375" t="s">
        <v>859</v>
      </c>
      <c r="J614" s="375">
        <v>54530.639799999997</v>
      </c>
      <c r="K614" s="375">
        <v>3034.1878200000001</v>
      </c>
      <c r="L614" s="375">
        <v>13215.951709999999</v>
      </c>
      <c r="M614" s="375">
        <v>71290.111910000007</v>
      </c>
      <c r="N614" s="372">
        <v>0.60299999999999998</v>
      </c>
      <c r="O614" s="704">
        <v>14.703846724209471</v>
      </c>
      <c r="P614" s="375" t="s">
        <v>619</v>
      </c>
      <c r="Q614" s="372" t="s">
        <v>619</v>
      </c>
      <c r="R614" s="696">
        <v>20011026</v>
      </c>
      <c r="S614" s="372" t="s">
        <v>4636</v>
      </c>
      <c r="T614" s="697">
        <v>0.20900000000000002</v>
      </c>
      <c r="U614" s="372" t="s">
        <v>4637</v>
      </c>
      <c r="V614" s="722">
        <v>49.63</v>
      </c>
      <c r="W614" s="722">
        <v>4.0199999999999996</v>
      </c>
      <c r="X614" s="722">
        <v>5.25</v>
      </c>
      <c r="Y614" s="722">
        <v>25.22</v>
      </c>
      <c r="Z614" s="382" t="s">
        <v>924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4638</v>
      </c>
      <c r="B615" s="373" t="s">
        <v>4639</v>
      </c>
      <c r="C615" s="372" t="s">
        <v>4640</v>
      </c>
      <c r="D615" s="374">
        <v>1101110301632</v>
      </c>
      <c r="E615" s="372" t="s">
        <v>4641</v>
      </c>
      <c r="F615" s="372" t="s">
        <v>1367</v>
      </c>
      <c r="G615" s="375" t="s">
        <v>1367</v>
      </c>
      <c r="H615" s="375" t="s">
        <v>858</v>
      </c>
      <c r="I615" s="375" t="s">
        <v>859</v>
      </c>
      <c r="J615" s="375">
        <v>50171.69814</v>
      </c>
      <c r="K615" s="375">
        <v>-5564.0327299999999</v>
      </c>
      <c r="L615" s="375">
        <v>-5859.7076699999998</v>
      </c>
      <c r="M615" s="375">
        <v>71505.203840000002</v>
      </c>
      <c r="N615" s="372">
        <v>0.76</v>
      </c>
      <c r="O615" s="704">
        <v>4.6639300364620562</v>
      </c>
      <c r="P615" s="375" t="s">
        <v>619</v>
      </c>
      <c r="Q615" s="372" t="s">
        <v>619</v>
      </c>
      <c r="R615" s="696">
        <v>20200723</v>
      </c>
      <c r="S615" s="372" t="s">
        <v>4642</v>
      </c>
      <c r="T615" s="697" t="s">
        <v>768</v>
      </c>
      <c r="U615" s="372" t="s">
        <v>4643</v>
      </c>
      <c r="V615" s="722" t="s">
        <v>770</v>
      </c>
      <c r="W615" s="722">
        <v>2.68</v>
      </c>
      <c r="X615" s="722">
        <v>3.77</v>
      </c>
      <c r="Y615" s="722" t="s">
        <v>770</v>
      </c>
      <c r="Z615" s="382" t="s">
        <v>924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570</v>
      </c>
      <c r="AF615" s="372">
        <v>810</v>
      </c>
      <c r="AG615" s="372">
        <v>0</v>
      </c>
      <c r="AH615" s="372">
        <v>0</v>
      </c>
    </row>
    <row r="616" spans="1:34">
      <c r="A616" s="372" t="s">
        <v>4644</v>
      </c>
      <c r="B616" s="373" t="s">
        <v>4645</v>
      </c>
      <c r="C616" s="372" t="s">
        <v>4646</v>
      </c>
      <c r="D616" s="374">
        <v>1942110000183</v>
      </c>
      <c r="E616" s="372" t="s">
        <v>4646</v>
      </c>
      <c r="F616" s="375" t="s">
        <v>1740</v>
      </c>
      <c r="G616" s="375" t="s">
        <v>1740</v>
      </c>
      <c r="H616" s="375" t="s">
        <v>843</v>
      </c>
      <c r="I616" s="375" t="s">
        <v>751</v>
      </c>
      <c r="J616" s="375">
        <v>918794</v>
      </c>
      <c r="K616" s="375">
        <v>-7678</v>
      </c>
      <c r="L616" s="375">
        <v>-35314</v>
      </c>
      <c r="M616" s="375">
        <v>131854</v>
      </c>
      <c r="N616" s="372">
        <v>0.91700000000000004</v>
      </c>
      <c r="O616" s="704">
        <v>192.39161366315392</v>
      </c>
      <c r="P616" s="375" t="s">
        <v>619</v>
      </c>
      <c r="Q616" s="375" t="s">
        <v>619</v>
      </c>
      <c r="R616" s="696">
        <v>19900912</v>
      </c>
      <c r="S616" s="375" t="s">
        <v>4647</v>
      </c>
      <c r="T616" s="697" t="s">
        <v>768</v>
      </c>
      <c r="U616" s="375" t="s">
        <v>4648</v>
      </c>
      <c r="V616" s="722">
        <v>161.72999999999999</v>
      </c>
      <c r="W616" s="722">
        <v>2.4700000000000002</v>
      </c>
      <c r="X616" s="722">
        <v>0.18</v>
      </c>
      <c r="Y616" s="722" t="s">
        <v>770</v>
      </c>
      <c r="Z616" s="382" t="s">
        <v>924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4649</v>
      </c>
      <c r="B617" s="373" t="s">
        <v>4650</v>
      </c>
      <c r="C617" s="372" t="s">
        <v>4651</v>
      </c>
      <c r="D617" s="374">
        <v>1101112462002</v>
      </c>
      <c r="E617" s="372" t="s">
        <v>4652</v>
      </c>
      <c r="F617" s="375" t="s">
        <v>1367</v>
      </c>
      <c r="G617" s="375" t="s">
        <v>1367</v>
      </c>
      <c r="H617" s="375" t="s">
        <v>858</v>
      </c>
      <c r="I617" s="375" t="s">
        <v>859</v>
      </c>
      <c r="J617" s="375">
        <v>88372.997709999996</v>
      </c>
      <c r="K617" s="375">
        <v>8966.3406300000006</v>
      </c>
      <c r="L617" s="375">
        <v>12980.51873</v>
      </c>
      <c r="M617" s="375">
        <v>98488.03357</v>
      </c>
      <c r="N617" s="372" t="s">
        <v>1023</v>
      </c>
      <c r="O617" s="704">
        <v>12.039931391081454</v>
      </c>
      <c r="P617" s="375" t="s">
        <v>619</v>
      </c>
      <c r="Q617" s="372" t="s">
        <v>619</v>
      </c>
      <c r="R617" s="696">
        <v>20230428</v>
      </c>
      <c r="S617" s="372" t="s">
        <v>4653</v>
      </c>
      <c r="T617" s="697">
        <v>0.20900000000000002</v>
      </c>
      <c r="U617" s="375" t="s">
        <v>4654</v>
      </c>
      <c r="V617" s="722">
        <v>26.54</v>
      </c>
      <c r="W617" s="722">
        <v>3.61</v>
      </c>
      <c r="X617" s="722">
        <v>3.57</v>
      </c>
      <c r="Y617" s="722">
        <v>24.41</v>
      </c>
      <c r="Z617" s="382" t="s">
        <v>924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981</v>
      </c>
      <c r="AF617" s="372">
        <v>1147</v>
      </c>
      <c r="AG617" s="372">
        <v>0</v>
      </c>
      <c r="AH617" s="372">
        <v>0</v>
      </c>
    </row>
    <row r="618" spans="1:34">
      <c r="A618" s="372" t="s">
        <v>4655</v>
      </c>
      <c r="B618" s="373" t="s">
        <v>4656</v>
      </c>
      <c r="C618" s="372" t="s">
        <v>4657</v>
      </c>
      <c r="D618" s="374">
        <v>1350110103601</v>
      </c>
      <c r="E618" s="372" t="s">
        <v>4658</v>
      </c>
      <c r="F618" s="375" t="s">
        <v>995</v>
      </c>
      <c r="G618" s="375" t="s">
        <v>996</v>
      </c>
      <c r="H618" s="375" t="s">
        <v>858</v>
      </c>
      <c r="I618" s="375" t="s">
        <v>859</v>
      </c>
      <c r="J618" s="375">
        <v>190043.13954999999</v>
      </c>
      <c r="K618" s="375">
        <v>17239.300200000001</v>
      </c>
      <c r="L618" s="375">
        <v>15250.76611</v>
      </c>
      <c r="M618" s="375">
        <v>97513.751269999993</v>
      </c>
      <c r="N618" s="372">
        <v>1.218</v>
      </c>
      <c r="O618" s="704">
        <v>20.652932040249265</v>
      </c>
      <c r="P618" s="375" t="s">
        <v>619</v>
      </c>
      <c r="Q618" s="375" t="s">
        <v>619</v>
      </c>
      <c r="R618" s="696">
        <v>20060117</v>
      </c>
      <c r="S618" s="375" t="s">
        <v>4659</v>
      </c>
      <c r="T618" s="697">
        <v>0.20900000000000002</v>
      </c>
      <c r="U618" s="375" t="s">
        <v>4660</v>
      </c>
      <c r="V618" s="722">
        <v>6.51</v>
      </c>
      <c r="W618" s="722">
        <v>1.6</v>
      </c>
      <c r="X618" s="722">
        <v>0.82</v>
      </c>
      <c r="Y618" s="722">
        <v>11.66</v>
      </c>
      <c r="Z618" s="382">
        <v>5.0273131839607244E-2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1923</v>
      </c>
      <c r="AF618" s="372">
        <v>2118</v>
      </c>
      <c r="AG618" s="372">
        <v>2374</v>
      </c>
      <c r="AH618" s="372">
        <v>0</v>
      </c>
    </row>
    <row r="619" spans="1:34">
      <c r="A619" s="372" t="s">
        <v>4661</v>
      </c>
      <c r="B619" s="373" t="s">
        <v>4662</v>
      </c>
      <c r="C619" s="372" t="s">
        <v>4663</v>
      </c>
      <c r="D619" s="374">
        <v>1801110036425</v>
      </c>
      <c r="E619" s="372" t="s">
        <v>4664</v>
      </c>
      <c r="F619" s="375" t="s">
        <v>2482</v>
      </c>
      <c r="G619" s="375" t="s">
        <v>4665</v>
      </c>
      <c r="H619" s="375" t="s">
        <v>858</v>
      </c>
      <c r="I619" s="375" t="s">
        <v>859</v>
      </c>
      <c r="J619" s="375">
        <v>232820.77483000001</v>
      </c>
      <c r="K619" s="375">
        <v>45200.702360000003</v>
      </c>
      <c r="L619" s="375">
        <v>49417.334710000003</v>
      </c>
      <c r="M619" s="375">
        <v>516988.96359</v>
      </c>
      <c r="N619" s="372">
        <v>0.55500000000000005</v>
      </c>
      <c r="O619" s="704">
        <v>0.64065182373236385</v>
      </c>
      <c r="P619" s="375" t="s">
        <v>619</v>
      </c>
      <c r="Q619" s="375" t="s">
        <v>619</v>
      </c>
      <c r="R619" s="696">
        <v>20010109</v>
      </c>
      <c r="S619" s="375" t="s">
        <v>4593</v>
      </c>
      <c r="T619" s="697">
        <v>0.23100000000000001</v>
      </c>
      <c r="U619" s="372" t="s">
        <v>4666</v>
      </c>
      <c r="V619" s="722">
        <v>8</v>
      </c>
      <c r="W619" s="722">
        <v>0.72</v>
      </c>
      <c r="X619" s="722">
        <v>1.7</v>
      </c>
      <c r="Y619" s="722">
        <v>10.14</v>
      </c>
      <c r="Z619" s="382">
        <v>3.7038211381132058E-2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2398</v>
      </c>
      <c r="AF619" s="372">
        <v>2721.75</v>
      </c>
      <c r="AG619" s="372">
        <v>2945.75</v>
      </c>
      <c r="AH619" s="372">
        <v>0</v>
      </c>
    </row>
    <row r="620" spans="1:34">
      <c r="A620" s="372" t="s">
        <v>4667</v>
      </c>
      <c r="B620" s="373" t="s">
        <v>4668</v>
      </c>
      <c r="C620" s="372" t="s">
        <v>16272</v>
      </c>
      <c r="D620" s="374">
        <v>1942110048381</v>
      </c>
      <c r="E620" s="372" t="s">
        <v>16273</v>
      </c>
      <c r="F620" s="375" t="s">
        <v>1038</v>
      </c>
      <c r="G620" s="375" t="s">
        <v>1039</v>
      </c>
      <c r="H620" s="375" t="s">
        <v>1040</v>
      </c>
      <c r="I620" s="375" t="s">
        <v>751</v>
      </c>
      <c r="J620" s="375">
        <v>307807.56475000002</v>
      </c>
      <c r="K620" s="375">
        <v>30066.80284</v>
      </c>
      <c r="L620" s="375">
        <v>37222.276160000001</v>
      </c>
      <c r="M620" s="375">
        <v>293090.04754</v>
      </c>
      <c r="N620" s="372">
        <v>0.66900000000000004</v>
      </c>
      <c r="O620" s="704">
        <v>0.66526687095020409</v>
      </c>
      <c r="P620" s="375" t="s">
        <v>619</v>
      </c>
      <c r="Q620" s="375" t="s">
        <v>619</v>
      </c>
      <c r="R620" s="696">
        <v>20090515</v>
      </c>
      <c r="S620" s="375" t="s">
        <v>4669</v>
      </c>
      <c r="T620" s="697">
        <v>0.23100000000000001</v>
      </c>
      <c r="U620" s="375" t="s">
        <v>4670</v>
      </c>
      <c r="V620" s="722">
        <v>19.489999999999998</v>
      </c>
      <c r="W620" s="722">
        <v>2.21</v>
      </c>
      <c r="X620" s="722">
        <v>1.83</v>
      </c>
      <c r="Y620" s="722">
        <v>10.88</v>
      </c>
      <c r="Z620" s="382">
        <v>0.11077596432746883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3080.67</v>
      </c>
      <c r="AF620" s="372">
        <v>3445</v>
      </c>
      <c r="AG620" s="372">
        <v>3730</v>
      </c>
      <c r="AH620" s="372">
        <v>0</v>
      </c>
    </row>
    <row r="621" spans="1:34">
      <c r="A621" s="372" t="s">
        <v>4671</v>
      </c>
      <c r="B621" s="373" t="s">
        <v>4672</v>
      </c>
      <c r="C621" s="372" t="s">
        <v>4673</v>
      </c>
      <c r="D621" s="374">
        <v>1211110088451</v>
      </c>
      <c r="E621" s="372" t="s">
        <v>4674</v>
      </c>
      <c r="F621" s="375" t="s">
        <v>2839</v>
      </c>
      <c r="G621" s="375" t="s">
        <v>4675</v>
      </c>
      <c r="H621" s="375" t="s">
        <v>858</v>
      </c>
      <c r="I621" s="375" t="s">
        <v>859</v>
      </c>
      <c r="J621" s="375">
        <v>320331.88533999998</v>
      </c>
      <c r="K621" s="375">
        <v>43597.039080000002</v>
      </c>
      <c r="L621" s="375">
        <v>41508.41229</v>
      </c>
      <c r="M621" s="375">
        <v>307283.69715000002</v>
      </c>
      <c r="N621" s="372">
        <v>0.46300000000000002</v>
      </c>
      <c r="O621" s="704">
        <v>6.3975240164106912</v>
      </c>
      <c r="P621" s="375" t="s">
        <v>619</v>
      </c>
      <c r="Q621" s="372" t="s">
        <v>619</v>
      </c>
      <c r="R621" s="696">
        <v>20190704</v>
      </c>
      <c r="S621" s="372" t="s">
        <v>4676</v>
      </c>
      <c r="T621" s="697">
        <v>0.23100000000000001</v>
      </c>
      <c r="U621" s="372" t="s">
        <v>4677</v>
      </c>
      <c r="V621" s="722">
        <v>8.69</v>
      </c>
      <c r="W621" s="722">
        <v>1.72</v>
      </c>
      <c r="X621" s="722">
        <v>1.36</v>
      </c>
      <c r="Y621" s="722">
        <v>15.95</v>
      </c>
      <c r="Z621" s="382">
        <v>0.10964733880592914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3325</v>
      </c>
      <c r="AF621" s="372">
        <v>3775</v>
      </c>
      <c r="AG621" s="372">
        <v>4313.1400000000003</v>
      </c>
      <c r="AH621" s="372">
        <v>4522</v>
      </c>
    </row>
    <row r="622" spans="1:34">
      <c r="A622" s="372" t="s">
        <v>4678</v>
      </c>
      <c r="B622" s="373" t="s">
        <v>4679</v>
      </c>
      <c r="C622" s="372" t="s">
        <v>4680</v>
      </c>
      <c r="D622" s="374">
        <v>1101111228364</v>
      </c>
      <c r="E622" s="372" t="s">
        <v>4681</v>
      </c>
      <c r="F622" s="372" t="s">
        <v>842</v>
      </c>
      <c r="G622" s="375" t="s">
        <v>842</v>
      </c>
      <c r="H622" s="375" t="s">
        <v>3096</v>
      </c>
      <c r="I622" s="375" t="s">
        <v>859</v>
      </c>
      <c r="J622" s="375">
        <v>478589.45944000001</v>
      </c>
      <c r="K622" s="375">
        <v>11467.72955</v>
      </c>
      <c r="L622" s="375">
        <v>8293.9453400000002</v>
      </c>
      <c r="M622" s="375">
        <v>85434.109939999995</v>
      </c>
      <c r="N622" s="372">
        <v>1.964</v>
      </c>
      <c r="O622" s="704">
        <v>17.929835382560082</v>
      </c>
      <c r="P622" s="375" t="s">
        <v>619</v>
      </c>
      <c r="Q622" s="372" t="s">
        <v>619</v>
      </c>
      <c r="R622" s="696">
        <v>20230127</v>
      </c>
      <c r="S622" s="372" t="s">
        <v>4682</v>
      </c>
      <c r="T622" s="697">
        <v>0.20900000000000002</v>
      </c>
      <c r="U622" s="372" t="s">
        <v>4683</v>
      </c>
      <c r="V622" s="722">
        <v>21.71</v>
      </c>
      <c r="W622" s="722">
        <v>2.65</v>
      </c>
      <c r="X622" s="722">
        <v>0.47</v>
      </c>
      <c r="Y622" s="722">
        <v>33.44</v>
      </c>
      <c r="Z622" s="382">
        <v>9.0496054232128254E-2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4799</v>
      </c>
      <c r="AF622" s="372">
        <v>4994</v>
      </c>
      <c r="AG622" s="372">
        <v>5381</v>
      </c>
      <c r="AH622" s="372">
        <v>0</v>
      </c>
    </row>
    <row r="623" spans="1:34">
      <c r="A623" s="372" t="s">
        <v>4684</v>
      </c>
      <c r="B623" s="373" t="s">
        <v>4685</v>
      </c>
      <c r="C623" s="372" t="s">
        <v>4686</v>
      </c>
      <c r="D623" s="374">
        <v>1753110000762</v>
      </c>
      <c r="E623" s="372" t="s">
        <v>4687</v>
      </c>
      <c r="F623" s="375" t="s">
        <v>1273</v>
      </c>
      <c r="G623" s="375" t="s">
        <v>1449</v>
      </c>
      <c r="H623" s="375" t="s">
        <v>858</v>
      </c>
      <c r="I623" s="375" t="s">
        <v>859</v>
      </c>
      <c r="J623" s="375">
        <v>202578.93642000001</v>
      </c>
      <c r="K623" s="375">
        <v>7342.0461100000002</v>
      </c>
      <c r="L623" s="375">
        <v>-102426.09711</v>
      </c>
      <c r="M623" s="375">
        <v>137779.82092999999</v>
      </c>
      <c r="N623" s="372">
        <v>1.2210000000000001</v>
      </c>
      <c r="O623" s="704">
        <v>54.712185197365351</v>
      </c>
      <c r="P623" s="375" t="s">
        <v>619</v>
      </c>
      <c r="Q623" s="375" t="s">
        <v>619</v>
      </c>
      <c r="R623" s="696">
        <v>20020927</v>
      </c>
      <c r="S623" s="375" t="s">
        <v>4688</v>
      </c>
      <c r="T623" s="697" t="s">
        <v>768</v>
      </c>
      <c r="U623" s="372" t="s">
        <v>4689</v>
      </c>
      <c r="V623" s="722">
        <v>21.66</v>
      </c>
      <c r="W623" s="722">
        <v>1.35</v>
      </c>
      <c r="X623" s="722">
        <v>0.89</v>
      </c>
      <c r="Y623" s="722" t="s">
        <v>770</v>
      </c>
      <c r="Z623" s="382" t="s">
        <v>924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4690</v>
      </c>
      <c r="B624" s="373" t="s">
        <v>4691</v>
      </c>
      <c r="C624" s="372" t="s">
        <v>4692</v>
      </c>
      <c r="D624" s="374">
        <v>1345110084018</v>
      </c>
      <c r="E624" s="372" t="s">
        <v>4693</v>
      </c>
      <c r="F624" s="375" t="s">
        <v>2051</v>
      </c>
      <c r="G624" s="375" t="s">
        <v>4694</v>
      </c>
      <c r="H624" s="375" t="s">
        <v>858</v>
      </c>
      <c r="I624" s="375" t="s">
        <v>859</v>
      </c>
      <c r="J624" s="375">
        <v>112545.71279000001</v>
      </c>
      <c r="K624" s="375">
        <v>-22074.851409999999</v>
      </c>
      <c r="L624" s="375">
        <v>-33664.729890000002</v>
      </c>
      <c r="M624" s="375">
        <v>109263.65334</v>
      </c>
      <c r="N624" s="372">
        <v>0.96799999999999997</v>
      </c>
      <c r="O624" s="704">
        <v>77.945603473478073</v>
      </c>
      <c r="P624" s="375" t="s">
        <v>619</v>
      </c>
      <c r="Q624" s="372" t="s">
        <v>619</v>
      </c>
      <c r="R624" s="696">
        <v>20190808</v>
      </c>
      <c r="S624" s="375" t="s">
        <v>4695</v>
      </c>
      <c r="T624" s="697" t="s">
        <v>768</v>
      </c>
      <c r="U624" s="375" t="s">
        <v>4696</v>
      </c>
      <c r="V624" s="722" t="s">
        <v>770</v>
      </c>
      <c r="W624" s="722">
        <v>1.25</v>
      </c>
      <c r="X624" s="722">
        <v>1.18</v>
      </c>
      <c r="Y624" s="722" t="s">
        <v>770</v>
      </c>
      <c r="Z624" s="382">
        <v>-4.9757103509986411E-3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1177</v>
      </c>
      <c r="AF624" s="372">
        <v>1444</v>
      </c>
      <c r="AG624" s="372">
        <v>1430</v>
      </c>
      <c r="AH624" s="372">
        <v>0</v>
      </c>
    </row>
    <row r="625" spans="1:34">
      <c r="A625" s="372" t="s">
        <v>4697</v>
      </c>
      <c r="B625" s="373" t="s">
        <v>4698</v>
      </c>
      <c r="C625" s="372" t="s">
        <v>4699</v>
      </c>
      <c r="D625" s="374">
        <v>1801110073922</v>
      </c>
      <c r="E625" s="372" t="s">
        <v>4700</v>
      </c>
      <c r="F625" s="375" t="s">
        <v>4701</v>
      </c>
      <c r="G625" s="375" t="s">
        <v>4702</v>
      </c>
      <c r="H625" s="375" t="s">
        <v>858</v>
      </c>
      <c r="I625" s="375" t="s">
        <v>859</v>
      </c>
      <c r="J625" s="375">
        <v>383514.81005999999</v>
      </c>
      <c r="K625" s="375">
        <v>27622.842820000002</v>
      </c>
      <c r="L625" s="375">
        <v>23102.708330000001</v>
      </c>
      <c r="M625" s="375">
        <v>528790.38340000005</v>
      </c>
      <c r="N625" s="372">
        <v>0.67100000000000004</v>
      </c>
      <c r="O625" s="704">
        <v>42.695894704608001</v>
      </c>
      <c r="P625" s="375" t="s">
        <v>619</v>
      </c>
      <c r="Q625" s="375" t="s">
        <v>619</v>
      </c>
      <c r="R625" s="696">
        <v>20011106</v>
      </c>
      <c r="S625" s="375" t="s">
        <v>4703</v>
      </c>
      <c r="T625" s="697">
        <v>0.23100000000000001</v>
      </c>
      <c r="U625" s="372" t="s">
        <v>4704</v>
      </c>
      <c r="V625" s="722">
        <v>0</v>
      </c>
      <c r="W625" s="722">
        <v>0</v>
      </c>
      <c r="X625" s="722">
        <v>0</v>
      </c>
      <c r="Y625" s="722">
        <v>0</v>
      </c>
      <c r="Z625" s="382" t="s">
        <v>924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4705</v>
      </c>
      <c r="B626" s="373" t="s">
        <v>4706</v>
      </c>
      <c r="C626" s="372" t="s">
        <v>4707</v>
      </c>
      <c r="D626" s="374">
        <v>1346110012744</v>
      </c>
      <c r="E626" s="372" t="s">
        <v>4708</v>
      </c>
      <c r="F626" s="375" t="s">
        <v>3233</v>
      </c>
      <c r="G626" s="375" t="s">
        <v>3233</v>
      </c>
      <c r="H626" s="375" t="s">
        <v>858</v>
      </c>
      <c r="I626" s="375" t="s">
        <v>859</v>
      </c>
      <c r="J626" s="375">
        <v>502592.74303999997</v>
      </c>
      <c r="K626" s="375">
        <v>83042.758140000005</v>
      </c>
      <c r="L626" s="375">
        <v>65362.464059999998</v>
      </c>
      <c r="M626" s="375">
        <v>423812.49686999997</v>
      </c>
      <c r="N626" s="372">
        <v>1.5129999999999999</v>
      </c>
      <c r="O626" s="704">
        <v>126.46043285934761</v>
      </c>
      <c r="P626" s="375" t="s">
        <v>619</v>
      </c>
      <c r="Q626" s="375" t="s">
        <v>619</v>
      </c>
      <c r="R626" s="696">
        <v>20020111</v>
      </c>
      <c r="S626" s="375" t="s">
        <v>4709</v>
      </c>
      <c r="T626" s="697">
        <v>0.23100000000000001</v>
      </c>
      <c r="U626" s="375" t="s">
        <v>4710</v>
      </c>
      <c r="V626" s="722">
        <v>6.06</v>
      </c>
      <c r="W626" s="722">
        <v>2.86</v>
      </c>
      <c r="X626" s="722">
        <v>0.67</v>
      </c>
      <c r="Y626" s="722">
        <v>18.73</v>
      </c>
      <c r="Z626" s="382" t="s">
        <v>924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4711</v>
      </c>
      <c r="B627" s="373" t="s">
        <v>4712</v>
      </c>
      <c r="C627" s="372" t="s">
        <v>4713</v>
      </c>
      <c r="D627" s="374">
        <v>1101111655393</v>
      </c>
      <c r="E627" s="372" t="s">
        <v>4714</v>
      </c>
      <c r="F627" s="375" t="s">
        <v>1287</v>
      </c>
      <c r="G627" s="375" t="s">
        <v>1287</v>
      </c>
      <c r="H627" s="375" t="s">
        <v>858</v>
      </c>
      <c r="I627" s="375" t="s">
        <v>859</v>
      </c>
      <c r="J627" s="375">
        <v>92120.988140000001</v>
      </c>
      <c r="K627" s="375">
        <v>1255.0887600000001</v>
      </c>
      <c r="L627" s="375">
        <v>927.67038000000002</v>
      </c>
      <c r="M627" s="375">
        <v>89759.609589999993</v>
      </c>
      <c r="N627" s="372">
        <v>0.96299999999999997</v>
      </c>
      <c r="O627" s="704">
        <v>9.2392792413066388E-2</v>
      </c>
      <c r="P627" s="375" t="s">
        <v>619</v>
      </c>
      <c r="Q627" s="375" t="s">
        <v>619</v>
      </c>
      <c r="R627" s="696">
        <v>20111017</v>
      </c>
      <c r="S627" s="372" t="s">
        <v>4715</v>
      </c>
      <c r="T627" s="697">
        <v>0.20900000000000002</v>
      </c>
      <c r="U627" s="375" t="s">
        <v>4716</v>
      </c>
      <c r="V627" s="722">
        <v>84.44</v>
      </c>
      <c r="W627" s="722">
        <v>2.5</v>
      </c>
      <c r="X627" s="722">
        <v>2.4300000000000002</v>
      </c>
      <c r="Y627" s="722">
        <v>268.33999999999997</v>
      </c>
      <c r="Z627" s="382" t="s">
        <v>924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4717</v>
      </c>
      <c r="B628" s="373" t="s">
        <v>4718</v>
      </c>
      <c r="C628" s="372" t="s">
        <v>4719</v>
      </c>
      <c r="D628" s="374">
        <v>1101110028955</v>
      </c>
      <c r="E628" s="372" t="s">
        <v>4720</v>
      </c>
      <c r="F628" s="375" t="s">
        <v>1246</v>
      </c>
      <c r="G628" s="375" t="s">
        <v>1246</v>
      </c>
      <c r="H628" s="375" t="s">
        <v>781</v>
      </c>
      <c r="I628" s="375" t="s">
        <v>751</v>
      </c>
      <c r="J628" s="375">
        <v>955299.80400999996</v>
      </c>
      <c r="K628" s="375">
        <v>30914.8007</v>
      </c>
      <c r="L628" s="375">
        <v>47345.317940000001</v>
      </c>
      <c r="M628" s="375">
        <v>846032.28515999997</v>
      </c>
      <c r="N628" s="372">
        <v>0.59599999999999997</v>
      </c>
      <c r="O628" s="704">
        <v>191.94940304143381</v>
      </c>
      <c r="P628" s="375" t="s">
        <v>619</v>
      </c>
      <c r="Q628" s="375" t="s">
        <v>619</v>
      </c>
      <c r="R628" s="696">
        <v>19760630</v>
      </c>
      <c r="S628" s="375" t="s">
        <v>4721</v>
      </c>
      <c r="T628" s="697">
        <v>0.23100000000000001</v>
      </c>
      <c r="U628" s="372" t="s">
        <v>4722</v>
      </c>
      <c r="V628" s="722">
        <v>12.71</v>
      </c>
      <c r="W628" s="722">
        <v>0.49</v>
      </c>
      <c r="X628" s="722">
        <v>0.31</v>
      </c>
      <c r="Y628" s="722">
        <v>7.06</v>
      </c>
      <c r="Z628" s="382">
        <v>4.9661327642528397E-2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9685</v>
      </c>
      <c r="AF628" s="372">
        <v>10169</v>
      </c>
      <c r="AG628" s="372">
        <v>10680</v>
      </c>
      <c r="AH628" s="372">
        <v>0</v>
      </c>
    </row>
    <row r="629" spans="1:34">
      <c r="A629" s="372" t="s">
        <v>4723</v>
      </c>
      <c r="B629" s="373" t="s">
        <v>4724</v>
      </c>
      <c r="C629" s="372" t="s">
        <v>4725</v>
      </c>
      <c r="D629" s="374">
        <v>1311110047356</v>
      </c>
      <c r="E629" s="372" t="s">
        <v>4726</v>
      </c>
      <c r="F629" s="375" t="s">
        <v>1182</v>
      </c>
      <c r="G629" s="375" t="s">
        <v>1183</v>
      </c>
      <c r="H629" s="375" t="s">
        <v>858</v>
      </c>
      <c r="I629" s="375" t="s">
        <v>859</v>
      </c>
      <c r="J629" s="375">
        <v>73228.503020000004</v>
      </c>
      <c r="K629" s="375">
        <v>-20437.29189</v>
      </c>
      <c r="L629" s="375">
        <v>-22878.154320000001</v>
      </c>
      <c r="M629" s="375">
        <v>129580.03473</v>
      </c>
      <c r="N629" s="372">
        <v>0.97399999999999998</v>
      </c>
      <c r="O629" s="704">
        <v>9.622584380524577</v>
      </c>
      <c r="P629" s="375" t="s">
        <v>619</v>
      </c>
      <c r="Q629" s="372" t="s">
        <v>619</v>
      </c>
      <c r="R629" s="696">
        <v>20061205</v>
      </c>
      <c r="S629" s="372" t="s">
        <v>4727</v>
      </c>
      <c r="T629" s="697" t="s">
        <v>768</v>
      </c>
      <c r="U629" s="372" t="s">
        <v>4728</v>
      </c>
      <c r="V629" s="722" t="s">
        <v>770</v>
      </c>
      <c r="W629" s="722">
        <v>1.47</v>
      </c>
      <c r="X629" s="722">
        <v>2.7</v>
      </c>
      <c r="Y629" s="722" t="s">
        <v>770</v>
      </c>
      <c r="Z629" s="382" t="s">
        <v>924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4729</v>
      </c>
      <c r="B630" s="373" t="s">
        <v>4730</v>
      </c>
      <c r="C630" s="372" t="s">
        <v>4731</v>
      </c>
      <c r="D630" s="374">
        <v>1101111144297</v>
      </c>
      <c r="E630" s="372" t="s">
        <v>4732</v>
      </c>
      <c r="F630" s="375" t="s">
        <v>4733</v>
      </c>
      <c r="G630" s="375" t="s">
        <v>4734</v>
      </c>
      <c r="H630" s="375" t="s">
        <v>814</v>
      </c>
      <c r="I630" s="375" t="s">
        <v>751</v>
      </c>
      <c r="J630" s="375">
        <v>1211455.65173</v>
      </c>
      <c r="K630" s="375">
        <v>27505.139060000001</v>
      </c>
      <c r="L630" s="375">
        <v>-60017.282740000002</v>
      </c>
      <c r="M630" s="375">
        <v>564923.60317999998</v>
      </c>
      <c r="N630" s="372">
        <v>0.67</v>
      </c>
      <c r="O630" s="704">
        <v>267.20648347447587</v>
      </c>
      <c r="P630" s="375" t="s">
        <v>619</v>
      </c>
      <c r="Q630" s="375" t="s">
        <v>619</v>
      </c>
      <c r="R630" s="696">
        <v>20121109</v>
      </c>
      <c r="S630" s="375" t="s">
        <v>4735</v>
      </c>
      <c r="T630" s="697" t="s">
        <v>768</v>
      </c>
      <c r="U630" s="372" t="s">
        <v>4736</v>
      </c>
      <c r="V630" s="722">
        <v>3.65</v>
      </c>
      <c r="W630" s="722">
        <v>0.37</v>
      </c>
      <c r="X630" s="722">
        <v>0.17</v>
      </c>
      <c r="Y630" s="722" t="s">
        <v>770</v>
      </c>
      <c r="Z630" s="382">
        <v>4.1902298333513777E-3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11658.17</v>
      </c>
      <c r="AF630" s="372">
        <v>11920.17</v>
      </c>
      <c r="AG630" s="372">
        <v>12103.33</v>
      </c>
      <c r="AH630" s="372">
        <v>0</v>
      </c>
    </row>
    <row r="631" spans="1:34">
      <c r="A631" s="372" t="s">
        <v>4737</v>
      </c>
      <c r="B631" s="373" t="s">
        <v>4738</v>
      </c>
      <c r="C631" s="372" t="s">
        <v>4739</v>
      </c>
      <c r="D631" s="374">
        <v>1801110083442</v>
      </c>
      <c r="E631" s="372" t="s">
        <v>4740</v>
      </c>
      <c r="F631" s="372" t="s">
        <v>1825</v>
      </c>
      <c r="G631" s="375" t="s">
        <v>1826</v>
      </c>
      <c r="H631" s="375" t="s">
        <v>3096</v>
      </c>
      <c r="I631" s="375" t="s">
        <v>859</v>
      </c>
      <c r="J631" s="375">
        <v>3162853.9826799999</v>
      </c>
      <c r="K631" s="375">
        <v>93201.870330000005</v>
      </c>
      <c r="L631" s="375">
        <v>34537.278810000003</v>
      </c>
      <c r="M631" s="375">
        <v>372402.30544000003</v>
      </c>
      <c r="N631" s="372">
        <v>0.72799999999999998</v>
      </c>
      <c r="O631" s="704">
        <v>209.81707712453161</v>
      </c>
      <c r="P631" s="375" t="s">
        <v>619</v>
      </c>
      <c r="Q631" s="375" t="s">
        <v>619</v>
      </c>
      <c r="R631" s="696">
        <v>20010724</v>
      </c>
      <c r="S631" s="375" t="s">
        <v>4741</v>
      </c>
      <c r="T631" s="697">
        <v>0.23100000000000001</v>
      </c>
      <c r="U631" s="372" t="s">
        <v>4742</v>
      </c>
      <c r="V631" s="722">
        <v>4</v>
      </c>
      <c r="W631" s="722">
        <v>0.78</v>
      </c>
      <c r="X631" s="722">
        <v>7.0000000000000007E-2</v>
      </c>
      <c r="Y631" s="722">
        <v>11.71</v>
      </c>
      <c r="Z631" s="382">
        <v>4.4322994647202352E-2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32210.22</v>
      </c>
      <c r="AF631" s="372">
        <v>34326.949999999997</v>
      </c>
      <c r="AG631" s="372">
        <v>36566</v>
      </c>
      <c r="AH631" s="372">
        <v>0</v>
      </c>
    </row>
    <row r="632" spans="1:34">
      <c r="A632" s="372" t="s">
        <v>4743</v>
      </c>
      <c r="B632" s="373" t="s">
        <v>4744</v>
      </c>
      <c r="C632" s="372" t="s">
        <v>4745</v>
      </c>
      <c r="D632" s="374">
        <v>2301110060126</v>
      </c>
      <c r="E632" s="372" t="s">
        <v>4746</v>
      </c>
      <c r="F632" s="375" t="s">
        <v>1133</v>
      </c>
      <c r="G632" s="375" t="s">
        <v>3125</v>
      </c>
      <c r="H632" s="375" t="s">
        <v>789</v>
      </c>
      <c r="I632" s="375" t="s">
        <v>751</v>
      </c>
      <c r="J632" s="375">
        <v>351683.57344000001</v>
      </c>
      <c r="K632" s="375">
        <v>38275.820749999999</v>
      </c>
      <c r="L632" s="375">
        <v>30718.94931</v>
      </c>
      <c r="M632" s="375">
        <v>232932.40526999999</v>
      </c>
      <c r="N632" s="372">
        <v>0.58699999999999997</v>
      </c>
      <c r="O632" s="704">
        <v>71.917680231312204</v>
      </c>
      <c r="P632" s="375" t="s">
        <v>619</v>
      </c>
      <c r="Q632" s="372" t="s">
        <v>619</v>
      </c>
      <c r="R632" s="696">
        <v>20151130</v>
      </c>
      <c r="S632" s="372" t="s">
        <v>4747</v>
      </c>
      <c r="T632" s="697">
        <v>0.23100000000000001</v>
      </c>
      <c r="U632" s="372" t="s">
        <v>4748</v>
      </c>
      <c r="V632" s="722">
        <v>14.28</v>
      </c>
      <c r="W632" s="722">
        <v>2.39</v>
      </c>
      <c r="X632" s="722">
        <v>1.19</v>
      </c>
      <c r="Y632" s="722">
        <v>116.78</v>
      </c>
      <c r="Z632" s="382">
        <v>7.0884764211077034E-2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3916.2</v>
      </c>
      <c r="AF632" s="372">
        <v>4456.6000000000004</v>
      </c>
      <c r="AG632" s="372">
        <v>5060.6000000000004</v>
      </c>
      <c r="AH632" s="372">
        <v>9400</v>
      </c>
    </row>
    <row r="633" spans="1:34">
      <c r="A633" s="372" t="s">
        <v>4749</v>
      </c>
      <c r="B633" s="373" t="s">
        <v>4750</v>
      </c>
      <c r="C633" s="372" t="s">
        <v>15857</v>
      </c>
      <c r="D633" s="374">
        <v>1101110039019</v>
      </c>
      <c r="E633" s="372" t="s">
        <v>15858</v>
      </c>
      <c r="F633" s="375" t="s">
        <v>1320</v>
      </c>
      <c r="G633" s="375" t="s">
        <v>16103</v>
      </c>
      <c r="H633" s="375" t="s">
        <v>781</v>
      </c>
      <c r="I633" s="375" t="s">
        <v>751</v>
      </c>
      <c r="J633" s="375">
        <v>74169.946849999993</v>
      </c>
      <c r="K633" s="375">
        <v>-6724.5410199999997</v>
      </c>
      <c r="L633" s="375">
        <v>-12681.324979999999</v>
      </c>
      <c r="M633" s="375">
        <v>381044.14088000002</v>
      </c>
      <c r="N633" s="372">
        <v>0.79400000000000004</v>
      </c>
      <c r="O633" s="704">
        <v>0.17431801091466786</v>
      </c>
      <c r="P633" s="375" t="s">
        <v>619</v>
      </c>
      <c r="Q633" s="372" t="s">
        <v>619</v>
      </c>
      <c r="R633" s="696">
        <v>19850114</v>
      </c>
      <c r="S633" s="372" t="s">
        <v>4751</v>
      </c>
      <c r="T633" s="697" t="s">
        <v>768</v>
      </c>
      <c r="U633" s="372" t="s">
        <v>4752</v>
      </c>
      <c r="V633" s="722">
        <v>0</v>
      </c>
      <c r="W633" s="722">
        <v>0</v>
      </c>
      <c r="X633" s="722">
        <v>0</v>
      </c>
      <c r="Y633" s="722">
        <v>0</v>
      </c>
      <c r="Z633" s="382" t="s">
        <v>924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4753</v>
      </c>
      <c r="B634" s="373" t="s">
        <v>4754</v>
      </c>
      <c r="C634" s="372" t="s">
        <v>4755</v>
      </c>
      <c r="D634" s="374">
        <v>1348110048183</v>
      </c>
      <c r="E634" s="372" t="s">
        <v>4756</v>
      </c>
      <c r="F634" s="372" t="s">
        <v>1182</v>
      </c>
      <c r="G634" s="375" t="s">
        <v>1183</v>
      </c>
      <c r="H634" s="375" t="s">
        <v>858</v>
      </c>
      <c r="I634" s="375" t="s">
        <v>859</v>
      </c>
      <c r="J634" s="375">
        <v>101204.0399</v>
      </c>
      <c r="K634" s="375">
        <v>10603.140359999999</v>
      </c>
      <c r="L634" s="375">
        <v>-7895.1842900000001</v>
      </c>
      <c r="M634" s="375">
        <v>118395.07816</v>
      </c>
      <c r="N634" s="372">
        <v>0.93799999999999994</v>
      </c>
      <c r="O634" s="704">
        <v>12.015765811664581</v>
      </c>
      <c r="P634" s="375" t="s">
        <v>619</v>
      </c>
      <c r="Q634" s="375" t="s">
        <v>619</v>
      </c>
      <c r="R634" s="696">
        <v>20141229</v>
      </c>
      <c r="S634" s="375" t="s">
        <v>4757</v>
      </c>
      <c r="T634" s="697" t="s">
        <v>768</v>
      </c>
      <c r="U634" s="375" t="s">
        <v>4758</v>
      </c>
      <c r="V634" s="722">
        <v>22.74</v>
      </c>
      <c r="W634" s="722">
        <v>2.71</v>
      </c>
      <c r="X634" s="722">
        <v>3.32</v>
      </c>
      <c r="Y634" s="722" t="s">
        <v>770</v>
      </c>
      <c r="Z634" s="382" t="s">
        <v>924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4759</v>
      </c>
      <c r="B635" s="373" t="s">
        <v>4760</v>
      </c>
      <c r="C635" s="372" t="s">
        <v>4761</v>
      </c>
      <c r="D635" s="374">
        <v>1101112819005</v>
      </c>
      <c r="E635" s="372" t="s">
        <v>4762</v>
      </c>
      <c r="F635" s="375" t="s">
        <v>890</v>
      </c>
      <c r="G635" s="375" t="s">
        <v>891</v>
      </c>
      <c r="H635" s="375" t="s">
        <v>852</v>
      </c>
      <c r="I635" s="375" t="s">
        <v>751</v>
      </c>
      <c r="J635" s="375">
        <v>860380.72846000001</v>
      </c>
      <c r="K635" s="375">
        <v>98714.260519999996</v>
      </c>
      <c r="L635" s="375">
        <v>96565.390299999999</v>
      </c>
      <c r="M635" s="375">
        <v>1192788.6183</v>
      </c>
      <c r="N635" s="372">
        <v>0.59899999999999998</v>
      </c>
      <c r="O635" s="704">
        <v>47.068240592856355</v>
      </c>
      <c r="P635" s="375" t="s">
        <v>619</v>
      </c>
      <c r="Q635" s="375" t="s">
        <v>619</v>
      </c>
      <c r="R635" s="696">
        <v>20030730</v>
      </c>
      <c r="S635" s="375" t="s">
        <v>4763</v>
      </c>
      <c r="T635" s="697">
        <v>0.23100000000000001</v>
      </c>
      <c r="U635" s="375" t="s">
        <v>4764</v>
      </c>
      <c r="V635" s="722">
        <v>3.29</v>
      </c>
      <c r="W635" s="722">
        <v>0.26</v>
      </c>
      <c r="X635" s="722">
        <v>0.36</v>
      </c>
      <c r="Y635" s="722">
        <v>3.58</v>
      </c>
      <c r="Z635" s="382" t="s">
        <v>924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4765</v>
      </c>
      <c r="B636" s="373" t="s">
        <v>4766</v>
      </c>
      <c r="C636" s="372" t="s">
        <v>4767</v>
      </c>
      <c r="D636" s="374">
        <v>1101110360399</v>
      </c>
      <c r="E636" s="372" t="s">
        <v>4768</v>
      </c>
      <c r="F636" s="375" t="s">
        <v>1588</v>
      </c>
      <c r="G636" s="375" t="s">
        <v>1588</v>
      </c>
      <c r="H636" s="375" t="s">
        <v>943</v>
      </c>
      <c r="I636" s="375" t="s">
        <v>751</v>
      </c>
      <c r="J636" s="375">
        <v>1726339.41603</v>
      </c>
      <c r="K636" s="375">
        <v>-5042.2398599999997</v>
      </c>
      <c r="L636" s="375">
        <v>30227.473139999998</v>
      </c>
      <c r="M636" s="375">
        <v>1088407.0419699999</v>
      </c>
      <c r="N636" s="372">
        <v>0.86</v>
      </c>
      <c r="O636" s="704">
        <v>25.336472963321761</v>
      </c>
      <c r="P636" s="375" t="s">
        <v>619</v>
      </c>
      <c r="Q636" s="375" t="s">
        <v>619</v>
      </c>
      <c r="R636" s="696">
        <v>19950818</v>
      </c>
      <c r="S636" s="375" t="s">
        <v>4769</v>
      </c>
      <c r="T636" s="697">
        <v>0.23100000000000001</v>
      </c>
      <c r="U636" s="372" t="s">
        <v>4770</v>
      </c>
      <c r="V636" s="722">
        <v>7.88</v>
      </c>
      <c r="W636" s="722">
        <v>0.24</v>
      </c>
      <c r="X636" s="722">
        <v>0.16</v>
      </c>
      <c r="Y636" s="722">
        <v>8.89</v>
      </c>
      <c r="Z636" s="382" t="s">
        <v>924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4771</v>
      </c>
      <c r="B637" s="373" t="s">
        <v>4772</v>
      </c>
      <c r="C637" s="372" t="s">
        <v>4773</v>
      </c>
      <c r="D637" s="374">
        <v>1401110050944</v>
      </c>
      <c r="E637" s="372" t="s">
        <v>4774</v>
      </c>
      <c r="F637" s="375" t="s">
        <v>1113</v>
      </c>
      <c r="G637" s="375" t="s">
        <v>1333</v>
      </c>
      <c r="H637" s="375" t="s">
        <v>1334</v>
      </c>
      <c r="I637" s="375" t="s">
        <v>859</v>
      </c>
      <c r="J637" s="375">
        <v>20712</v>
      </c>
      <c r="K637" s="375">
        <v>10566.854020000001</v>
      </c>
      <c r="L637" s="375">
        <v>7589.8125399999999</v>
      </c>
      <c r="M637" s="375">
        <v>74097.94313</v>
      </c>
      <c r="N637" s="372">
        <v>1.2250000000000001</v>
      </c>
      <c r="O637" s="704">
        <v>1.4280009977973576</v>
      </c>
      <c r="P637" s="375" t="s">
        <v>619</v>
      </c>
      <c r="Q637" s="375" t="s">
        <v>619</v>
      </c>
      <c r="R637" s="696">
        <v>20220728</v>
      </c>
      <c r="S637" s="375" t="s">
        <v>4775</v>
      </c>
      <c r="T637" s="697">
        <v>0.20900000000000002</v>
      </c>
      <c r="U637" s="375" t="s">
        <v>4776</v>
      </c>
      <c r="V637" s="722">
        <v>0</v>
      </c>
      <c r="W637" s="722">
        <v>0</v>
      </c>
      <c r="X637" s="722">
        <v>0</v>
      </c>
      <c r="Y637" s="722">
        <v>0</v>
      </c>
      <c r="Z637" s="382" t="s">
        <v>770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4777</v>
      </c>
      <c r="B638" s="373" t="s">
        <v>4778</v>
      </c>
      <c r="C638" s="372" t="s">
        <v>4779</v>
      </c>
      <c r="D638" s="374">
        <v>0</v>
      </c>
      <c r="E638" s="372" t="s">
        <v>4780</v>
      </c>
      <c r="F638" s="372" t="s">
        <v>1052</v>
      </c>
      <c r="G638" s="375" t="s">
        <v>16101</v>
      </c>
      <c r="H638" s="375">
        <v>0</v>
      </c>
      <c r="I638" s="375" t="s">
        <v>859</v>
      </c>
      <c r="J638" s="375">
        <v>123059.32799999999</v>
      </c>
      <c r="K638" s="375">
        <v>-22268.337</v>
      </c>
      <c r="L638" s="375">
        <v>-13416.109</v>
      </c>
      <c r="M638" s="375">
        <v>604278.14800000004</v>
      </c>
      <c r="N638" s="372">
        <v>0.7</v>
      </c>
      <c r="O638" s="704">
        <v>28.980602867281519</v>
      </c>
      <c r="P638" s="375" t="s">
        <v>619</v>
      </c>
      <c r="Q638" s="375" t="s">
        <v>619</v>
      </c>
      <c r="R638" s="696">
        <v>20130530</v>
      </c>
      <c r="S638" s="375" t="s">
        <v>4781</v>
      </c>
      <c r="T638" s="697" t="s">
        <v>768</v>
      </c>
      <c r="U638" s="375" t="s">
        <v>4782</v>
      </c>
      <c r="V638" s="722" t="s">
        <v>770</v>
      </c>
      <c r="W638" s="722">
        <v>0.38</v>
      </c>
      <c r="X638" s="722">
        <v>1.95</v>
      </c>
      <c r="Y638" s="722" t="s">
        <v>770</v>
      </c>
      <c r="Z638" s="382" t="s">
        <v>924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4783</v>
      </c>
      <c r="B639" s="373" t="s">
        <v>4784</v>
      </c>
      <c r="C639" s="372" t="s">
        <v>4785</v>
      </c>
      <c r="D639" s="374">
        <v>1101110822026</v>
      </c>
      <c r="E639" s="372" t="s">
        <v>4786</v>
      </c>
      <c r="F639" s="375" t="s">
        <v>1066</v>
      </c>
      <c r="G639" s="375" t="s">
        <v>1066</v>
      </c>
      <c r="H639" s="375" t="s">
        <v>3096</v>
      </c>
      <c r="I639" s="375" t="s">
        <v>859</v>
      </c>
      <c r="J639" s="375">
        <v>427456.22139999998</v>
      </c>
      <c r="K639" s="375">
        <v>21723.991819999999</v>
      </c>
      <c r="L639" s="375">
        <v>20678.23389</v>
      </c>
      <c r="M639" s="375">
        <v>257780.21554</v>
      </c>
      <c r="N639" s="372">
        <v>0.81399999999999995</v>
      </c>
      <c r="O639" s="704">
        <v>2.6394607746959062</v>
      </c>
      <c r="P639" s="375" t="s">
        <v>619</v>
      </c>
      <c r="Q639" s="375" t="s">
        <v>619</v>
      </c>
      <c r="R639" s="696">
        <v>19991222</v>
      </c>
      <c r="S639" s="375" t="s">
        <v>4787</v>
      </c>
      <c r="T639" s="697">
        <v>0.23100000000000001</v>
      </c>
      <c r="U639" s="372" t="s">
        <v>4788</v>
      </c>
      <c r="V639" s="722">
        <v>0</v>
      </c>
      <c r="W639" s="722">
        <v>0</v>
      </c>
      <c r="X639" s="722">
        <v>0</v>
      </c>
      <c r="Y639" s="722">
        <v>0</v>
      </c>
      <c r="Z639" s="382" t="s">
        <v>924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4789</v>
      </c>
      <c r="B640" s="373" t="s">
        <v>4790</v>
      </c>
      <c r="C640" s="372" t="s">
        <v>4791</v>
      </c>
      <c r="D640" s="374">
        <v>1746110006492</v>
      </c>
      <c r="E640" s="372" t="s">
        <v>4792</v>
      </c>
      <c r="F640" s="372" t="s">
        <v>2086</v>
      </c>
      <c r="G640" s="375" t="s">
        <v>2086</v>
      </c>
      <c r="H640" s="375" t="s">
        <v>809</v>
      </c>
      <c r="I640" s="375" t="s">
        <v>751</v>
      </c>
      <c r="J640" s="375">
        <v>1206024.48484</v>
      </c>
      <c r="K640" s="375">
        <v>43891.381119999998</v>
      </c>
      <c r="L640" s="375">
        <v>35522.432240000002</v>
      </c>
      <c r="M640" s="375">
        <v>374987.79544000002</v>
      </c>
      <c r="N640" s="372">
        <v>1.415</v>
      </c>
      <c r="O640" s="704">
        <v>18.111039346708754</v>
      </c>
      <c r="P640" s="375" t="s">
        <v>619</v>
      </c>
      <c r="Q640" s="375" t="s">
        <v>619</v>
      </c>
      <c r="R640" s="696">
        <v>20020816</v>
      </c>
      <c r="S640" s="375" t="s">
        <v>4793</v>
      </c>
      <c r="T640" s="697">
        <v>0.23100000000000001</v>
      </c>
      <c r="U640" s="375" t="s">
        <v>15859</v>
      </c>
      <c r="V640" s="722">
        <v>4.34</v>
      </c>
      <c r="W640" s="722">
        <v>0.65</v>
      </c>
      <c r="X640" s="722">
        <v>0.2</v>
      </c>
      <c r="Y640" s="722">
        <v>8.8800000000000008</v>
      </c>
      <c r="Z640" s="382">
        <v>1.590025908574777E-2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12160</v>
      </c>
      <c r="AF640" s="372">
        <v>11950</v>
      </c>
      <c r="AG640" s="372">
        <v>12340</v>
      </c>
      <c r="AH640" s="372">
        <v>0</v>
      </c>
    </row>
    <row r="641" spans="1:34">
      <c r="A641" s="372" t="s">
        <v>4794</v>
      </c>
      <c r="B641" s="373" t="s">
        <v>4795</v>
      </c>
      <c r="C641" s="372" t="s">
        <v>4796</v>
      </c>
      <c r="D641" s="374">
        <v>1101110042278</v>
      </c>
      <c r="E641" s="372" t="s">
        <v>4797</v>
      </c>
      <c r="F641" s="375" t="s">
        <v>4798</v>
      </c>
      <c r="G641" s="375" t="s">
        <v>4799</v>
      </c>
      <c r="H641" s="375" t="s">
        <v>1313</v>
      </c>
      <c r="I641" s="375" t="s">
        <v>751</v>
      </c>
      <c r="J641" s="375">
        <v>2321346.74211</v>
      </c>
      <c r="K641" s="375">
        <v>151643.20053</v>
      </c>
      <c r="L641" s="375">
        <v>147800.16850999999</v>
      </c>
      <c r="M641" s="375">
        <v>855145.87902999995</v>
      </c>
      <c r="N641" s="372">
        <v>1.016</v>
      </c>
      <c r="O641" s="704">
        <v>199.7245578708617</v>
      </c>
      <c r="P641" s="375" t="s">
        <v>619</v>
      </c>
      <c r="Q641" s="375" t="s">
        <v>619</v>
      </c>
      <c r="R641" s="696">
        <v>19760916</v>
      </c>
      <c r="S641" s="375" t="s">
        <v>4800</v>
      </c>
      <c r="T641" s="697">
        <v>0.23100000000000001</v>
      </c>
      <c r="U641" s="372" t="s">
        <v>15860</v>
      </c>
      <c r="V641" s="722">
        <v>6.05</v>
      </c>
      <c r="W641" s="722">
        <v>0.65</v>
      </c>
      <c r="X641" s="722">
        <v>0.21</v>
      </c>
      <c r="Y641" s="722">
        <v>4.55</v>
      </c>
      <c r="Z641" s="382">
        <v>8.3504585892981931E-2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26118.5</v>
      </c>
      <c r="AF641" s="372">
        <v>26696</v>
      </c>
      <c r="AG641" s="372">
        <v>28434</v>
      </c>
      <c r="AH641" s="372">
        <v>0</v>
      </c>
    </row>
    <row r="642" spans="1:34">
      <c r="A642" s="372" t="s">
        <v>4801</v>
      </c>
      <c r="B642" s="373" t="s">
        <v>4802</v>
      </c>
      <c r="C642" s="372" t="s">
        <v>4803</v>
      </c>
      <c r="D642" s="374">
        <v>1342110058902</v>
      </c>
      <c r="E642" s="372" t="s">
        <v>4804</v>
      </c>
      <c r="F642" s="375" t="s">
        <v>3233</v>
      </c>
      <c r="G642" s="375" t="s">
        <v>3233</v>
      </c>
      <c r="H642" s="375" t="s">
        <v>858</v>
      </c>
      <c r="I642" s="375" t="s">
        <v>859</v>
      </c>
      <c r="J642" s="375">
        <v>74445.964529999997</v>
      </c>
      <c r="K642" s="375">
        <v>559.30962</v>
      </c>
      <c r="L642" s="375">
        <v>-1250.02575</v>
      </c>
      <c r="M642" s="375">
        <v>74947.621239999993</v>
      </c>
      <c r="N642" s="372">
        <v>0.996</v>
      </c>
      <c r="O642" s="704">
        <v>45.826539647003827</v>
      </c>
      <c r="P642" s="375" t="s">
        <v>619</v>
      </c>
      <c r="Q642" s="372" t="s">
        <v>619</v>
      </c>
      <c r="R642" s="696">
        <v>20220303</v>
      </c>
      <c r="S642" s="372" t="s">
        <v>4805</v>
      </c>
      <c r="T642" s="697" t="s">
        <v>768</v>
      </c>
      <c r="U642" s="375" t="s">
        <v>4806</v>
      </c>
      <c r="V642" s="722">
        <v>31.24</v>
      </c>
      <c r="W642" s="722">
        <v>2.36</v>
      </c>
      <c r="X642" s="722">
        <v>2.36</v>
      </c>
      <c r="Y642" s="722">
        <v>130.96</v>
      </c>
      <c r="Z642" s="382">
        <v>0.20250841812836229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821.25</v>
      </c>
      <c r="AF642" s="372">
        <v>1030</v>
      </c>
      <c r="AG642" s="372">
        <v>1365.67</v>
      </c>
      <c r="AH642" s="372">
        <v>1600</v>
      </c>
    </row>
    <row r="643" spans="1:34">
      <c r="A643" s="372" t="s">
        <v>4807</v>
      </c>
      <c r="B643" s="373" t="s">
        <v>4808</v>
      </c>
      <c r="C643" s="372" t="s">
        <v>4809</v>
      </c>
      <c r="D643" s="374">
        <v>1101110037112</v>
      </c>
      <c r="E643" s="372" t="s">
        <v>4810</v>
      </c>
      <c r="F643" s="375" t="s">
        <v>1259</v>
      </c>
      <c r="G643" s="375" t="s">
        <v>1260</v>
      </c>
      <c r="H643" s="375" t="s">
        <v>1261</v>
      </c>
      <c r="I643" s="375" t="s">
        <v>751</v>
      </c>
      <c r="J643" s="375">
        <v>0</v>
      </c>
      <c r="K643" s="375">
        <v>0</v>
      </c>
      <c r="L643" s="375">
        <v>0</v>
      </c>
      <c r="M643" s="375">
        <v>0</v>
      </c>
      <c r="N643" s="372">
        <v>0.873</v>
      </c>
      <c r="O643" s="704" t="s">
        <v>16298</v>
      </c>
      <c r="P643" s="375" t="s">
        <v>619</v>
      </c>
      <c r="Q643" s="375" t="s">
        <v>619</v>
      </c>
      <c r="R643" s="696">
        <v>19860920</v>
      </c>
      <c r="S643" s="375" t="s">
        <v>4811</v>
      </c>
      <c r="T643" s="697" t="s">
        <v>768</v>
      </c>
      <c r="U643" s="375" t="s">
        <v>4812</v>
      </c>
      <c r="V643" s="722">
        <v>0</v>
      </c>
      <c r="W643" s="722">
        <v>0</v>
      </c>
      <c r="X643" s="722">
        <v>0</v>
      </c>
      <c r="Y643" s="722">
        <v>0</v>
      </c>
      <c r="Z643" s="382" t="s">
        <v>924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4813</v>
      </c>
      <c r="B644" s="373" t="s">
        <v>4814</v>
      </c>
      <c r="C644" s="372" t="s">
        <v>4815</v>
      </c>
      <c r="D644" s="374">
        <v>2842110063231</v>
      </c>
      <c r="E644" s="372" t="s">
        <v>4816</v>
      </c>
      <c r="F644" s="375" t="s">
        <v>1113</v>
      </c>
      <c r="G644" s="375" t="s">
        <v>1333</v>
      </c>
      <c r="H644" s="375" t="s">
        <v>1334</v>
      </c>
      <c r="I644" s="375" t="s">
        <v>859</v>
      </c>
      <c r="J644" s="375">
        <v>56755.208200000001</v>
      </c>
      <c r="K644" s="375">
        <v>-8168.0418499999996</v>
      </c>
      <c r="L644" s="375">
        <v>-5367.5760499999997</v>
      </c>
      <c r="M644" s="375">
        <v>120189.94770999999</v>
      </c>
      <c r="N644" s="372">
        <v>1.147</v>
      </c>
      <c r="O644" s="704">
        <v>19.951602954272296</v>
      </c>
      <c r="P644" s="375" t="s">
        <v>619</v>
      </c>
      <c r="Q644" s="372" t="s">
        <v>619</v>
      </c>
      <c r="R644" s="696">
        <v>20191127</v>
      </c>
      <c r="S644" s="375" t="s">
        <v>4817</v>
      </c>
      <c r="T644" s="697" t="s">
        <v>768</v>
      </c>
      <c r="U644" s="375" t="s">
        <v>15861</v>
      </c>
      <c r="V644" s="722" t="s">
        <v>770</v>
      </c>
      <c r="W644" s="722">
        <v>1.65</v>
      </c>
      <c r="X644" s="722">
        <v>3.6</v>
      </c>
      <c r="Y644" s="722" t="s">
        <v>770</v>
      </c>
      <c r="Z644" s="382" t="s">
        <v>924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4818</v>
      </c>
      <c r="B645" s="373" t="s">
        <v>4819</v>
      </c>
      <c r="C645" s="372" t="s">
        <v>4820</v>
      </c>
      <c r="D645" s="374">
        <v>1801110002591</v>
      </c>
      <c r="E645" s="372" t="s">
        <v>4821</v>
      </c>
      <c r="F645" s="375" t="s">
        <v>4822</v>
      </c>
      <c r="G645" s="375" t="s">
        <v>4823</v>
      </c>
      <c r="H645" s="375" t="s">
        <v>823</v>
      </c>
      <c r="I645" s="375" t="s">
        <v>751</v>
      </c>
      <c r="J645" s="375">
        <v>330847.81991000002</v>
      </c>
      <c r="K645" s="375">
        <v>44526.512560000003</v>
      </c>
      <c r="L645" s="375">
        <v>48999.560649999999</v>
      </c>
      <c r="M645" s="375">
        <v>123086.20316</v>
      </c>
      <c r="N645" s="372">
        <v>0.42899999999999999</v>
      </c>
      <c r="O645" s="704">
        <v>0.29062649097815763</v>
      </c>
      <c r="P645" s="375" t="s">
        <v>619</v>
      </c>
      <c r="Q645" s="375" t="s">
        <v>619</v>
      </c>
      <c r="R645" s="696">
        <v>19880810</v>
      </c>
      <c r="S645" s="375" t="s">
        <v>4824</v>
      </c>
      <c r="T645" s="697">
        <v>0.23100000000000001</v>
      </c>
      <c r="U645" s="372" t="s">
        <v>4825</v>
      </c>
      <c r="V645" s="722">
        <v>0</v>
      </c>
      <c r="W645" s="722">
        <v>0</v>
      </c>
      <c r="X645" s="722">
        <v>0</v>
      </c>
      <c r="Y645" s="722">
        <v>0</v>
      </c>
      <c r="Z645" s="382" t="s">
        <v>924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4826</v>
      </c>
      <c r="B646" s="373" t="s">
        <v>4827</v>
      </c>
      <c r="C646" s="372" t="s">
        <v>4828</v>
      </c>
      <c r="D646" s="374">
        <v>1201110018368</v>
      </c>
      <c r="E646" s="372" t="s">
        <v>4829</v>
      </c>
      <c r="F646" s="375" t="s">
        <v>4830</v>
      </c>
      <c r="G646" s="375" t="s">
        <v>4830</v>
      </c>
      <c r="H646" s="375" t="s">
        <v>1313</v>
      </c>
      <c r="I646" s="375" t="s">
        <v>751</v>
      </c>
      <c r="J646" s="375">
        <v>1362141.172</v>
      </c>
      <c r="K646" s="375">
        <v>46099.523000000001</v>
      </c>
      <c r="L646" s="375">
        <v>38880.938000000002</v>
      </c>
      <c r="M646" s="375">
        <v>563454.26300000004</v>
      </c>
      <c r="N646" s="372">
        <v>0.83299999999999996</v>
      </c>
      <c r="O646" s="704">
        <v>164.43195462919874</v>
      </c>
      <c r="P646" s="375" t="s">
        <v>619</v>
      </c>
      <c r="Q646" s="375" t="s">
        <v>619</v>
      </c>
      <c r="R646" s="696">
        <v>19681227</v>
      </c>
      <c r="S646" s="375" t="s">
        <v>4831</v>
      </c>
      <c r="T646" s="697">
        <v>0.23100000000000001</v>
      </c>
      <c r="U646" s="372" t="s">
        <v>4832</v>
      </c>
      <c r="V646" s="722">
        <v>7.97</v>
      </c>
      <c r="W646" s="722">
        <v>0.5</v>
      </c>
      <c r="X646" s="722">
        <v>0.21</v>
      </c>
      <c r="Y646" s="722">
        <v>11.69</v>
      </c>
      <c r="Z646" s="382" t="s">
        <v>924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4833</v>
      </c>
      <c r="B647" s="373" t="s">
        <v>4834</v>
      </c>
      <c r="C647" s="372" t="s">
        <v>4835</v>
      </c>
      <c r="D647" s="374">
        <v>1101110582547</v>
      </c>
      <c r="E647" s="372" t="s">
        <v>4836</v>
      </c>
      <c r="F647" s="372" t="s">
        <v>3008</v>
      </c>
      <c r="G647" s="375" t="s">
        <v>3008</v>
      </c>
      <c r="H647" s="375" t="s">
        <v>1334</v>
      </c>
      <c r="I647" s="375" t="s">
        <v>859</v>
      </c>
      <c r="J647" s="375">
        <v>1199484.1470000001</v>
      </c>
      <c r="K647" s="375">
        <v>100697.46673</v>
      </c>
      <c r="L647" s="375">
        <v>110089.32562</v>
      </c>
      <c r="M647" s="375">
        <v>581332.17712000001</v>
      </c>
      <c r="N647" s="372">
        <v>0.65700000000000003</v>
      </c>
      <c r="O647" s="704">
        <v>0</v>
      </c>
      <c r="P647" s="375" t="s">
        <v>619</v>
      </c>
      <c r="Q647" s="372" t="s">
        <v>619</v>
      </c>
      <c r="R647" s="696">
        <v>20000829</v>
      </c>
      <c r="S647" s="372" t="s">
        <v>4837</v>
      </c>
      <c r="T647" s="697">
        <v>0.23100000000000001</v>
      </c>
      <c r="U647" s="372" t="s">
        <v>4838</v>
      </c>
      <c r="V647" s="722">
        <v>2.82</v>
      </c>
      <c r="W647" s="722">
        <v>0.53</v>
      </c>
      <c r="X647" s="722">
        <v>0.27</v>
      </c>
      <c r="Y647" s="722">
        <v>3.66</v>
      </c>
      <c r="Z647" s="382" t="s">
        <v>924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4839</v>
      </c>
      <c r="B648" s="373" t="s">
        <v>4840</v>
      </c>
      <c r="C648" s="372" t="s">
        <v>4841</v>
      </c>
      <c r="D648" s="374">
        <v>1101110335912</v>
      </c>
      <c r="E648" s="372" t="s">
        <v>4842</v>
      </c>
      <c r="F648" s="372" t="s">
        <v>4843</v>
      </c>
      <c r="G648" s="375" t="s">
        <v>16114</v>
      </c>
      <c r="H648" s="375" t="s">
        <v>4844</v>
      </c>
      <c r="I648" s="375" t="s">
        <v>859</v>
      </c>
      <c r="J648" s="375">
        <v>1533019.9497499999</v>
      </c>
      <c r="K648" s="375">
        <v>272325.73498000001</v>
      </c>
      <c r="L648" s="375">
        <v>196759.33942</v>
      </c>
      <c r="M648" s="375">
        <v>946521.63538999995</v>
      </c>
      <c r="N648" s="372">
        <v>0.70599999999999996</v>
      </c>
      <c r="O648" s="704">
        <v>44.004553024683759</v>
      </c>
      <c r="P648" s="375" t="s">
        <v>619</v>
      </c>
      <c r="Q648" s="375" t="s">
        <v>619</v>
      </c>
      <c r="R648" s="696">
        <v>19991222</v>
      </c>
      <c r="S648" s="375" t="s">
        <v>4845</v>
      </c>
      <c r="T648" s="697">
        <v>0.23100000000000001</v>
      </c>
      <c r="U648" s="372" t="s">
        <v>4846</v>
      </c>
      <c r="V648" s="722">
        <v>1.23</v>
      </c>
      <c r="W648" s="722">
        <v>0.36</v>
      </c>
      <c r="X648" s="722">
        <v>0.23</v>
      </c>
      <c r="Y648" s="722">
        <v>2.1800000000000002</v>
      </c>
      <c r="Z648" s="382" t="s">
        <v>924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4847</v>
      </c>
      <c r="B649" s="373" t="s">
        <v>4848</v>
      </c>
      <c r="C649" s="372" t="s">
        <v>4849</v>
      </c>
      <c r="D649" s="374">
        <v>1341110067418</v>
      </c>
      <c r="E649" s="372" t="s">
        <v>4850</v>
      </c>
      <c r="F649" s="375" t="s">
        <v>16097</v>
      </c>
      <c r="G649" s="375" t="s">
        <v>16097</v>
      </c>
      <c r="H649" s="375" t="s">
        <v>858</v>
      </c>
      <c r="I649" s="375" t="s">
        <v>859</v>
      </c>
      <c r="J649" s="375">
        <v>60447.058649999999</v>
      </c>
      <c r="K649" s="375">
        <v>-443.00488000000001</v>
      </c>
      <c r="L649" s="375">
        <v>-6137.9974700000002</v>
      </c>
      <c r="M649" s="375">
        <v>91998.245339999994</v>
      </c>
      <c r="N649" s="372">
        <v>1.097</v>
      </c>
      <c r="O649" s="704">
        <v>41.785790057270496</v>
      </c>
      <c r="P649" s="375" t="s">
        <v>619</v>
      </c>
      <c r="Q649" s="375" t="s">
        <v>619</v>
      </c>
      <c r="R649" s="696">
        <v>20130701</v>
      </c>
      <c r="S649" s="375" t="s">
        <v>4851</v>
      </c>
      <c r="T649" s="697" t="s">
        <v>768</v>
      </c>
      <c r="U649" s="375" t="s">
        <v>4852</v>
      </c>
      <c r="V649" s="722">
        <v>59.14</v>
      </c>
      <c r="W649" s="722">
        <v>2.4300000000000002</v>
      </c>
      <c r="X649" s="722">
        <v>3.9</v>
      </c>
      <c r="Y649" s="722" t="s">
        <v>770</v>
      </c>
      <c r="Z649" s="382">
        <v>0.21858516266222106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619.5</v>
      </c>
      <c r="AF649" s="372">
        <v>832</v>
      </c>
      <c r="AG649" s="372">
        <v>1212</v>
      </c>
      <c r="AH649" s="372">
        <v>1277</v>
      </c>
    </row>
    <row r="650" spans="1:34">
      <c r="A650" s="372" t="s">
        <v>4853</v>
      </c>
      <c r="B650" s="373" t="s">
        <v>4854</v>
      </c>
      <c r="C650" s="372" t="s">
        <v>4855</v>
      </c>
      <c r="D650" s="374">
        <v>1101110111867</v>
      </c>
      <c r="E650" s="372" t="s">
        <v>4856</v>
      </c>
      <c r="F650" s="375" t="s">
        <v>1463</v>
      </c>
      <c r="G650" s="375" t="s">
        <v>1464</v>
      </c>
      <c r="H650" s="375" t="s">
        <v>1465</v>
      </c>
      <c r="I650" s="375" t="s">
        <v>751</v>
      </c>
      <c r="J650" s="375">
        <v>503765.74891000002</v>
      </c>
      <c r="K650" s="375">
        <v>74120.177060000002</v>
      </c>
      <c r="L650" s="375">
        <v>68809.652010000005</v>
      </c>
      <c r="M650" s="375">
        <v>426842.78005</v>
      </c>
      <c r="N650" s="372">
        <v>0.71</v>
      </c>
      <c r="O650" s="704">
        <v>146.31986165630912</v>
      </c>
      <c r="P650" s="375" t="s">
        <v>619</v>
      </c>
      <c r="Q650" s="372" t="s">
        <v>619</v>
      </c>
      <c r="R650" s="696">
        <v>19751226</v>
      </c>
      <c r="S650" s="372" t="s">
        <v>4857</v>
      </c>
      <c r="T650" s="697">
        <v>0.23100000000000001</v>
      </c>
      <c r="U650" s="372" t="s">
        <v>4858</v>
      </c>
      <c r="V650" s="722">
        <v>0</v>
      </c>
      <c r="W650" s="722">
        <v>0</v>
      </c>
      <c r="X650" s="722">
        <v>0</v>
      </c>
      <c r="Y650" s="722">
        <v>0</v>
      </c>
      <c r="Z650" s="382" t="s">
        <v>924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4859</v>
      </c>
      <c r="B651" s="373" t="s">
        <v>4860</v>
      </c>
      <c r="C651" s="372" t="s">
        <v>4861</v>
      </c>
      <c r="D651" s="374">
        <v>1801110602507</v>
      </c>
      <c r="E651" s="372" t="s">
        <v>4862</v>
      </c>
      <c r="F651" s="375" t="s">
        <v>1381</v>
      </c>
      <c r="G651" s="375" t="s">
        <v>1382</v>
      </c>
      <c r="H651" s="375" t="s">
        <v>1383</v>
      </c>
      <c r="I651" s="375" t="s">
        <v>751</v>
      </c>
      <c r="J651" s="375">
        <v>2171306</v>
      </c>
      <c r="K651" s="375">
        <v>23662</v>
      </c>
      <c r="L651" s="375">
        <v>23473</v>
      </c>
      <c r="M651" s="375">
        <v>365656</v>
      </c>
      <c r="N651" s="372">
        <v>0.66</v>
      </c>
      <c r="O651" s="704">
        <v>293.1239844369814</v>
      </c>
      <c r="P651" s="375" t="s">
        <v>619</v>
      </c>
      <c r="Q651" s="375" t="s">
        <v>619</v>
      </c>
      <c r="R651" s="696">
        <v>20070831</v>
      </c>
      <c r="S651" s="375" t="s">
        <v>4863</v>
      </c>
      <c r="T651" s="697">
        <v>0.23100000000000001</v>
      </c>
      <c r="U651" s="372" t="s">
        <v>15862</v>
      </c>
      <c r="V651" s="722">
        <v>10.37</v>
      </c>
      <c r="W651" s="722">
        <v>0.6</v>
      </c>
      <c r="X651" s="722">
        <v>0.1</v>
      </c>
      <c r="Y651" s="722">
        <v>11.41</v>
      </c>
      <c r="Z651" s="382" t="s">
        <v>924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4864</v>
      </c>
      <c r="B652" s="373" t="s">
        <v>4865</v>
      </c>
      <c r="C652" s="372" t="s">
        <v>4866</v>
      </c>
      <c r="D652" s="374">
        <v>1101114324127</v>
      </c>
      <c r="E652" s="372" t="s">
        <v>4867</v>
      </c>
      <c r="F652" s="372" t="s">
        <v>4868</v>
      </c>
      <c r="G652" s="375" t="s">
        <v>16115</v>
      </c>
      <c r="H652" s="375" t="s">
        <v>858</v>
      </c>
      <c r="I652" s="375" t="s">
        <v>859</v>
      </c>
      <c r="J652" s="375">
        <v>365306.48102000001</v>
      </c>
      <c r="K652" s="375">
        <v>41923.86967</v>
      </c>
      <c r="L652" s="375">
        <v>48166.292350000003</v>
      </c>
      <c r="M652" s="375">
        <v>289448.52834000002</v>
      </c>
      <c r="N652" s="372">
        <v>0.96299999999999997</v>
      </c>
      <c r="O652" s="704">
        <v>1.7076715546567434</v>
      </c>
      <c r="P652" s="375" t="s">
        <v>619</v>
      </c>
      <c r="Q652" s="375" t="s">
        <v>619</v>
      </c>
      <c r="R652" s="696">
        <v>20100910</v>
      </c>
      <c r="S652" s="375" t="s">
        <v>4869</v>
      </c>
      <c r="T652" s="697">
        <v>0.23100000000000001</v>
      </c>
      <c r="U652" s="372" t="s">
        <v>4870</v>
      </c>
      <c r="V652" s="722">
        <v>6.55</v>
      </c>
      <c r="W652" s="722">
        <v>0.92</v>
      </c>
      <c r="X652" s="722">
        <v>0.73</v>
      </c>
      <c r="Y652" s="722">
        <v>7.05</v>
      </c>
      <c r="Z652" s="382">
        <v>3.5187070428119194E-2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3397.5</v>
      </c>
      <c r="AF652" s="372">
        <v>3462.33</v>
      </c>
      <c r="AG652" s="372">
        <v>3999.5</v>
      </c>
      <c r="AH652" s="372">
        <v>0</v>
      </c>
    </row>
    <row r="653" spans="1:34">
      <c r="A653" s="372" t="s">
        <v>4871</v>
      </c>
      <c r="B653" s="373" t="s">
        <v>4872</v>
      </c>
      <c r="C653" s="372" t="s">
        <v>4873</v>
      </c>
      <c r="D653" s="374">
        <v>1348110109828</v>
      </c>
      <c r="E653" s="372" t="s">
        <v>4874</v>
      </c>
      <c r="F653" s="375" t="s">
        <v>1182</v>
      </c>
      <c r="G653" s="375" t="s">
        <v>1182</v>
      </c>
      <c r="H653" s="375" t="s">
        <v>858</v>
      </c>
      <c r="I653" s="375" t="s">
        <v>859</v>
      </c>
      <c r="J653" s="375">
        <v>146211.4363</v>
      </c>
      <c r="K653" s="375">
        <v>18198.700690000001</v>
      </c>
      <c r="L653" s="375">
        <v>24145.069619999998</v>
      </c>
      <c r="M653" s="375">
        <v>178486.35800000001</v>
      </c>
      <c r="N653" s="372">
        <v>0.96799999999999997</v>
      </c>
      <c r="O653" s="704">
        <v>18.005209635624183</v>
      </c>
      <c r="P653" s="375" t="s">
        <v>619</v>
      </c>
      <c r="Q653" s="375" t="s">
        <v>619</v>
      </c>
      <c r="R653" s="696">
        <v>20130207</v>
      </c>
      <c r="S653" s="375" t="s">
        <v>4875</v>
      </c>
      <c r="T653" s="697">
        <v>0.23100000000000001</v>
      </c>
      <c r="U653" s="375" t="s">
        <v>15863</v>
      </c>
      <c r="V653" s="722">
        <v>9.1</v>
      </c>
      <c r="W653" s="722">
        <v>1.31</v>
      </c>
      <c r="X653" s="722">
        <v>1.69</v>
      </c>
      <c r="Y653" s="722">
        <v>11.89</v>
      </c>
      <c r="Z653" s="382">
        <v>0.12653225751450292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1596</v>
      </c>
      <c r="AF653" s="372">
        <v>1777</v>
      </c>
      <c r="AG653" s="372">
        <v>1996</v>
      </c>
      <c r="AH653" s="372">
        <v>0</v>
      </c>
    </row>
    <row r="654" spans="1:34">
      <c r="A654" s="372" t="s">
        <v>4876</v>
      </c>
      <c r="B654" s="373" t="s">
        <v>4877</v>
      </c>
      <c r="C654" s="372" t="s">
        <v>4878</v>
      </c>
      <c r="D654" s="374">
        <v>1101110703210</v>
      </c>
      <c r="E654" s="372" t="s">
        <v>4879</v>
      </c>
      <c r="F654" s="375" t="s">
        <v>2181</v>
      </c>
      <c r="G654" s="375" t="s">
        <v>4880</v>
      </c>
      <c r="H654" s="375" t="s">
        <v>2053</v>
      </c>
      <c r="I654" s="375" t="s">
        <v>751</v>
      </c>
      <c r="J654" s="375">
        <v>717310.94574999996</v>
      </c>
      <c r="K654" s="375">
        <v>4069.0049300000001</v>
      </c>
      <c r="L654" s="375">
        <v>17258.50793</v>
      </c>
      <c r="M654" s="375">
        <v>846436.01650999999</v>
      </c>
      <c r="N654" s="372">
        <v>0.89500000000000002</v>
      </c>
      <c r="O654" s="704">
        <v>15.076294902684092</v>
      </c>
      <c r="P654" s="375" t="s">
        <v>619</v>
      </c>
      <c r="Q654" s="372" t="s">
        <v>619</v>
      </c>
      <c r="R654" s="696">
        <v>19960902</v>
      </c>
      <c r="S654" s="372" t="s">
        <v>4881</v>
      </c>
      <c r="T654" s="697">
        <v>0.20900000000000002</v>
      </c>
      <c r="U654" s="375" t="s">
        <v>4882</v>
      </c>
      <c r="V654" s="722">
        <v>14.45</v>
      </c>
      <c r="W654" s="722">
        <v>0.36</v>
      </c>
      <c r="X654" s="722">
        <v>0.39</v>
      </c>
      <c r="Y654" s="722">
        <v>23</v>
      </c>
      <c r="Z654" s="382" t="s">
        <v>924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4883</v>
      </c>
      <c r="B655" s="373" t="s">
        <v>4884</v>
      </c>
      <c r="C655" s="372" t="s">
        <v>4885</v>
      </c>
      <c r="D655" s="374">
        <v>1101115633585</v>
      </c>
      <c r="E655" s="372" t="s">
        <v>4886</v>
      </c>
      <c r="F655" s="375" t="s">
        <v>1747</v>
      </c>
      <c r="G655" s="375" t="s">
        <v>1747</v>
      </c>
      <c r="H655" s="375" t="s">
        <v>858</v>
      </c>
      <c r="I655" s="375" t="s">
        <v>859</v>
      </c>
      <c r="J655" s="375">
        <v>93301.736940000003</v>
      </c>
      <c r="K655" s="375">
        <v>-12177.41209</v>
      </c>
      <c r="L655" s="375">
        <v>-19122.980619999998</v>
      </c>
      <c r="M655" s="375">
        <v>78229.772679999995</v>
      </c>
      <c r="N655" s="372">
        <v>1.1359999999999999</v>
      </c>
      <c r="O655" s="704">
        <v>33.523799176696016</v>
      </c>
      <c r="P655" s="375" t="s">
        <v>619</v>
      </c>
      <c r="Q655" s="372" t="s">
        <v>619</v>
      </c>
      <c r="R655" s="696">
        <v>20150420</v>
      </c>
      <c r="S655" s="372" t="s">
        <v>4887</v>
      </c>
      <c r="T655" s="697" t="s">
        <v>768</v>
      </c>
      <c r="U655" s="372" t="s">
        <v>4888</v>
      </c>
      <c r="V655" s="722" t="s">
        <v>770</v>
      </c>
      <c r="W655" s="722">
        <v>2.87</v>
      </c>
      <c r="X655" s="722">
        <v>2.4</v>
      </c>
      <c r="Y655" s="722" t="s">
        <v>770</v>
      </c>
      <c r="Z655" s="382" t="s">
        <v>924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1081</v>
      </c>
      <c r="AF655" s="372">
        <v>1450</v>
      </c>
      <c r="AG655" s="372">
        <v>0</v>
      </c>
      <c r="AH655" s="372">
        <v>0</v>
      </c>
    </row>
    <row r="656" spans="1:34">
      <c r="A656" s="372" t="s">
        <v>4889</v>
      </c>
      <c r="B656" s="373" t="s">
        <v>4890</v>
      </c>
      <c r="C656" s="372" t="s">
        <v>4891</v>
      </c>
      <c r="D656" s="374">
        <v>2849110065613</v>
      </c>
      <c r="E656" s="372" t="s">
        <v>4892</v>
      </c>
      <c r="F656" s="375" t="s">
        <v>4893</v>
      </c>
      <c r="G656" s="375" t="s">
        <v>4893</v>
      </c>
      <c r="H656" s="375" t="s">
        <v>814</v>
      </c>
      <c r="I656" s="375" t="s">
        <v>751</v>
      </c>
      <c r="J656" s="375">
        <v>871335.58730999997</v>
      </c>
      <c r="K656" s="375">
        <v>8899.0271499999999</v>
      </c>
      <c r="L656" s="375">
        <v>-36701.336009999999</v>
      </c>
      <c r="M656" s="375">
        <v>323731.14935000002</v>
      </c>
      <c r="N656" s="372">
        <v>0.89100000000000001</v>
      </c>
      <c r="O656" s="704">
        <v>86.822118552201758</v>
      </c>
      <c r="P656" s="375" t="s">
        <v>619</v>
      </c>
      <c r="Q656" s="375" t="s">
        <v>619</v>
      </c>
      <c r="R656" s="696">
        <v>20070531</v>
      </c>
      <c r="S656" s="375" t="s">
        <v>4894</v>
      </c>
      <c r="T656" s="697" t="s">
        <v>768</v>
      </c>
      <c r="U656" s="372" t="s">
        <v>4895</v>
      </c>
      <c r="V656" s="722">
        <v>4.41</v>
      </c>
      <c r="W656" s="722">
        <v>0.64</v>
      </c>
      <c r="X656" s="722">
        <v>0.23</v>
      </c>
      <c r="Y656" s="722" t="s">
        <v>770</v>
      </c>
      <c r="Z656" s="382">
        <v>1.2446229293881839E-2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8839</v>
      </c>
      <c r="AF656" s="372">
        <v>9141.5</v>
      </c>
      <c r="AG656" s="372">
        <v>9352</v>
      </c>
      <c r="AH656" s="372">
        <v>0</v>
      </c>
    </row>
    <row r="657" spans="1:34">
      <c r="A657" s="372" t="s">
        <v>4896</v>
      </c>
      <c r="B657" s="373" t="s">
        <v>4897</v>
      </c>
      <c r="C657" s="372" t="s">
        <v>4898</v>
      </c>
      <c r="D657" s="374">
        <v>1345110004412</v>
      </c>
      <c r="E657" s="372" t="s">
        <v>4899</v>
      </c>
      <c r="F657" s="372" t="s">
        <v>1272</v>
      </c>
      <c r="G657" s="375" t="s">
        <v>1272</v>
      </c>
      <c r="H657" s="375" t="s">
        <v>858</v>
      </c>
      <c r="I657" s="375" t="s">
        <v>859</v>
      </c>
      <c r="J657" s="375">
        <v>1178869.83393</v>
      </c>
      <c r="K657" s="375">
        <v>48775.893889999999</v>
      </c>
      <c r="L657" s="375">
        <v>-51693.358939999998</v>
      </c>
      <c r="M657" s="375">
        <v>918306.59031999996</v>
      </c>
      <c r="N657" s="372">
        <v>0.99199999999999999</v>
      </c>
      <c r="O657" s="704">
        <v>237.81752777116424</v>
      </c>
      <c r="P657" s="375" t="s">
        <v>619</v>
      </c>
      <c r="Q657" s="372" t="s">
        <v>619</v>
      </c>
      <c r="R657" s="696">
        <v>19971110</v>
      </c>
      <c r="S657" s="375" t="s">
        <v>4900</v>
      </c>
      <c r="T657" s="697" t="s">
        <v>768</v>
      </c>
      <c r="U657" s="375" t="s">
        <v>4901</v>
      </c>
      <c r="V657" s="722">
        <v>16.05</v>
      </c>
      <c r="W657" s="722">
        <v>0.5</v>
      </c>
      <c r="X657" s="722">
        <v>0.15</v>
      </c>
      <c r="Y657" s="722" t="s">
        <v>770</v>
      </c>
      <c r="Z657" s="382" t="s">
        <v>924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12000</v>
      </c>
      <c r="AF657" s="372">
        <v>0</v>
      </c>
      <c r="AG657" s="372">
        <v>0</v>
      </c>
      <c r="AH657" s="372">
        <v>0</v>
      </c>
    </row>
    <row r="658" spans="1:34">
      <c r="A658" s="372" t="s">
        <v>4902</v>
      </c>
      <c r="B658" s="373" t="s">
        <v>4903</v>
      </c>
      <c r="C658" s="372" t="s">
        <v>4904</v>
      </c>
      <c r="D658" s="374">
        <v>1101110400202</v>
      </c>
      <c r="E658" s="372" t="s">
        <v>4905</v>
      </c>
      <c r="F658" s="372" t="s">
        <v>1246</v>
      </c>
      <c r="G658" s="375" t="s">
        <v>1246</v>
      </c>
      <c r="H658" s="375" t="s">
        <v>858</v>
      </c>
      <c r="I658" s="375" t="s">
        <v>859</v>
      </c>
      <c r="J658" s="375">
        <v>811008.12499000004</v>
      </c>
      <c r="K658" s="375">
        <v>91749.058650000006</v>
      </c>
      <c r="L658" s="375">
        <v>96541.415550000005</v>
      </c>
      <c r="M658" s="375">
        <v>948798.95551</v>
      </c>
      <c r="N658" s="372">
        <v>0.94</v>
      </c>
      <c r="O658" s="704">
        <v>66.404176033239708</v>
      </c>
      <c r="P658" s="375" t="s">
        <v>619</v>
      </c>
      <c r="Q658" s="372" t="s">
        <v>619</v>
      </c>
      <c r="R658" s="696">
        <v>20061219</v>
      </c>
      <c r="S658" s="372" t="s">
        <v>4906</v>
      </c>
      <c r="T658" s="697">
        <v>0.23100000000000001</v>
      </c>
      <c r="U658" s="372" t="s">
        <v>4907</v>
      </c>
      <c r="V658" s="722">
        <v>6.49</v>
      </c>
      <c r="W658" s="722">
        <v>0.77</v>
      </c>
      <c r="X658" s="722">
        <v>0.51</v>
      </c>
      <c r="Y658" s="722">
        <v>11.24</v>
      </c>
      <c r="Z658" s="382" t="s">
        <v>924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4908</v>
      </c>
      <c r="B659" s="373" t="s">
        <v>4909</v>
      </c>
      <c r="C659" s="372" t="s">
        <v>4910</v>
      </c>
      <c r="D659" s="374">
        <v>1942110094318</v>
      </c>
      <c r="E659" s="372" t="s">
        <v>4911</v>
      </c>
      <c r="F659" s="372" t="s">
        <v>808</v>
      </c>
      <c r="G659" s="375" t="s">
        <v>808</v>
      </c>
      <c r="H659" s="375" t="s">
        <v>809</v>
      </c>
      <c r="I659" s="375" t="s">
        <v>751</v>
      </c>
      <c r="J659" s="375">
        <v>672308.19212000002</v>
      </c>
      <c r="K659" s="375">
        <v>21025.272369999999</v>
      </c>
      <c r="L659" s="375">
        <v>41558.114600000001</v>
      </c>
      <c r="M659" s="375">
        <v>793900.67925000004</v>
      </c>
      <c r="N659" s="372">
        <v>0.68400000000000005</v>
      </c>
      <c r="O659" s="704">
        <v>0</v>
      </c>
      <c r="P659" s="375" t="s">
        <v>619</v>
      </c>
      <c r="Q659" s="372" t="s">
        <v>619</v>
      </c>
      <c r="R659" s="696">
        <v>20080929</v>
      </c>
      <c r="S659" s="372" t="s">
        <v>4912</v>
      </c>
      <c r="T659" s="697">
        <v>0.23100000000000001</v>
      </c>
      <c r="U659" s="372" t="s">
        <v>4913</v>
      </c>
      <c r="V659" s="722">
        <v>0</v>
      </c>
      <c r="W659" s="722">
        <v>0</v>
      </c>
      <c r="X659" s="722">
        <v>0</v>
      </c>
      <c r="Y659" s="722">
        <v>0</v>
      </c>
      <c r="Z659" s="382" t="s">
        <v>924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4914</v>
      </c>
      <c r="B660" s="373" t="s">
        <v>4915</v>
      </c>
      <c r="C660" s="372" t="s">
        <v>4916</v>
      </c>
      <c r="D660" s="374">
        <v>1101110048143</v>
      </c>
      <c r="E660" s="372" t="s">
        <v>4917</v>
      </c>
      <c r="F660" s="375" t="s">
        <v>1246</v>
      </c>
      <c r="G660" s="375" t="s">
        <v>1246</v>
      </c>
      <c r="H660" s="375" t="s">
        <v>781</v>
      </c>
      <c r="I660" s="375" t="s">
        <v>751</v>
      </c>
      <c r="J660" s="375">
        <v>149842.14697999999</v>
      </c>
      <c r="K660" s="375">
        <v>4048.34328</v>
      </c>
      <c r="L660" s="375">
        <v>1336.0736300000001</v>
      </c>
      <c r="M660" s="375">
        <v>247399.94553</v>
      </c>
      <c r="N660" s="372">
        <v>0.79200000000000004</v>
      </c>
      <c r="O660" s="704">
        <v>51.06604810759292</v>
      </c>
      <c r="P660" s="375" t="s">
        <v>619</v>
      </c>
      <c r="Q660" s="372" t="s">
        <v>619</v>
      </c>
      <c r="R660" s="696">
        <v>20100610</v>
      </c>
      <c r="S660" s="375" t="s">
        <v>4918</v>
      </c>
      <c r="T660" s="697">
        <v>0.20900000000000002</v>
      </c>
      <c r="U660" s="372" t="s">
        <v>4919</v>
      </c>
      <c r="V660" s="722">
        <v>49.48</v>
      </c>
      <c r="W660" s="722">
        <v>1.02</v>
      </c>
      <c r="X660" s="722">
        <v>1.72</v>
      </c>
      <c r="Y660" s="722">
        <v>419.25</v>
      </c>
      <c r="Z660" s="382" t="s">
        <v>924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4920</v>
      </c>
      <c r="B661" s="373" t="s">
        <v>4921</v>
      </c>
      <c r="C661" s="372" t="s">
        <v>4922</v>
      </c>
      <c r="D661" s="374">
        <v>1101116868529</v>
      </c>
      <c r="E661" s="372" t="s">
        <v>4923</v>
      </c>
      <c r="F661" s="375" t="s">
        <v>1246</v>
      </c>
      <c r="G661" s="375" t="s">
        <v>1246</v>
      </c>
      <c r="H661" s="375" t="s">
        <v>858</v>
      </c>
      <c r="I661" s="375" t="s">
        <v>859</v>
      </c>
      <c r="J661" s="375">
        <v>134440.89494999999</v>
      </c>
      <c r="K661" s="375">
        <v>1940.68434</v>
      </c>
      <c r="L661" s="375">
        <v>4342.0973999999997</v>
      </c>
      <c r="M661" s="375">
        <v>99545.369709999999</v>
      </c>
      <c r="N661" s="372">
        <v>0.78100000000000003</v>
      </c>
      <c r="O661" s="704">
        <v>37.906775660500017</v>
      </c>
      <c r="P661" s="375" t="s">
        <v>619</v>
      </c>
      <c r="Q661" s="375" t="s">
        <v>619</v>
      </c>
      <c r="R661" s="696">
        <v>20181219</v>
      </c>
      <c r="S661" s="375" t="s">
        <v>2847</v>
      </c>
      <c r="T661" s="697">
        <v>0.20900000000000002</v>
      </c>
      <c r="U661" s="372" t="s">
        <v>4924</v>
      </c>
      <c r="V661" s="722">
        <v>32.090000000000003</v>
      </c>
      <c r="W661" s="722">
        <v>2.16</v>
      </c>
      <c r="X661" s="722">
        <v>1.59</v>
      </c>
      <c r="Y661" s="722">
        <v>32.42</v>
      </c>
      <c r="Z661" s="382" t="s">
        <v>924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4925</v>
      </c>
      <c r="B662" s="373" t="s">
        <v>4926</v>
      </c>
      <c r="C662" s="372" t="s">
        <v>4927</v>
      </c>
      <c r="D662" s="374">
        <v>1101110088652</v>
      </c>
      <c r="E662" s="372" t="s">
        <v>4928</v>
      </c>
      <c r="F662" s="375" t="s">
        <v>1320</v>
      </c>
      <c r="G662" s="375" t="s">
        <v>16103</v>
      </c>
      <c r="H662" s="375" t="s">
        <v>781</v>
      </c>
      <c r="I662" s="375" t="s">
        <v>751</v>
      </c>
      <c r="J662" s="375">
        <v>301056.53927000001</v>
      </c>
      <c r="K662" s="375">
        <v>29875.928459999999</v>
      </c>
      <c r="L662" s="375">
        <v>44168.103009999999</v>
      </c>
      <c r="M662" s="375">
        <v>282530.00575000001</v>
      </c>
      <c r="N662" s="372">
        <v>0.623</v>
      </c>
      <c r="O662" s="704">
        <v>46.315522509863158</v>
      </c>
      <c r="P662" s="375" t="s">
        <v>619</v>
      </c>
      <c r="Q662" s="375" t="s">
        <v>619</v>
      </c>
      <c r="R662" s="696">
        <v>19880618</v>
      </c>
      <c r="S662" s="375" t="s">
        <v>4929</v>
      </c>
      <c r="T662" s="697">
        <v>0.23100000000000001</v>
      </c>
      <c r="U662" s="375" t="s">
        <v>4930</v>
      </c>
      <c r="V662" s="722">
        <v>0</v>
      </c>
      <c r="W662" s="722">
        <v>0</v>
      </c>
      <c r="X662" s="722">
        <v>0</v>
      </c>
      <c r="Y662" s="722">
        <v>0</v>
      </c>
      <c r="Z662" s="382" t="s">
        <v>924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4931</v>
      </c>
      <c r="B663" s="373" t="s">
        <v>4932</v>
      </c>
      <c r="C663" s="372" t="s">
        <v>4933</v>
      </c>
      <c r="D663" s="374">
        <v>1101110085583</v>
      </c>
      <c r="E663" s="372" t="s">
        <v>4934</v>
      </c>
      <c r="F663" s="375" t="s">
        <v>2744</v>
      </c>
      <c r="G663" s="375" t="s">
        <v>2745</v>
      </c>
      <c r="H663" s="375" t="s">
        <v>858</v>
      </c>
      <c r="I663" s="375" t="s">
        <v>859</v>
      </c>
      <c r="J663" s="375">
        <v>814842.50826000003</v>
      </c>
      <c r="K663" s="375">
        <v>18958.60009</v>
      </c>
      <c r="L663" s="375">
        <v>-1114.62454</v>
      </c>
      <c r="M663" s="375">
        <v>530656.86141000001</v>
      </c>
      <c r="N663" s="372">
        <v>1.2529999999999999</v>
      </c>
      <c r="O663" s="704">
        <v>86.778988181831664</v>
      </c>
      <c r="P663" s="375" t="s">
        <v>619</v>
      </c>
      <c r="Q663" s="375" t="s">
        <v>619</v>
      </c>
      <c r="R663" s="696">
        <v>19990623</v>
      </c>
      <c r="S663" s="375" t="s">
        <v>4935</v>
      </c>
      <c r="T663" s="697" t="s">
        <v>768</v>
      </c>
      <c r="U663" s="375" t="s">
        <v>4936</v>
      </c>
      <c r="V663" s="722">
        <v>22.49</v>
      </c>
      <c r="W663" s="722">
        <v>0.92</v>
      </c>
      <c r="X663" s="722">
        <v>0.45</v>
      </c>
      <c r="Y663" s="722">
        <v>27.05</v>
      </c>
      <c r="Z663" s="382">
        <v>2.5735981356789894E-2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7360</v>
      </c>
      <c r="AF663" s="372">
        <v>7710</v>
      </c>
      <c r="AG663" s="372">
        <v>8380</v>
      </c>
      <c r="AH663" s="372">
        <v>0</v>
      </c>
    </row>
    <row r="664" spans="1:34">
      <c r="A664" s="372" t="s">
        <v>4937</v>
      </c>
      <c r="B664" s="373" t="s">
        <v>4938</v>
      </c>
      <c r="C664" s="372" t="s">
        <v>4939</v>
      </c>
      <c r="D664" s="374">
        <v>1311110104403</v>
      </c>
      <c r="E664" s="372" t="s">
        <v>4940</v>
      </c>
      <c r="F664" s="375" t="s">
        <v>1959</v>
      </c>
      <c r="G664" s="375" t="s">
        <v>1959</v>
      </c>
      <c r="H664" s="375" t="s">
        <v>858</v>
      </c>
      <c r="I664" s="375" t="s">
        <v>859</v>
      </c>
      <c r="J664" s="375">
        <v>51295.096120000002</v>
      </c>
      <c r="K664" s="375">
        <v>498.38447000000002</v>
      </c>
      <c r="L664" s="375">
        <v>988.80533000000003</v>
      </c>
      <c r="M664" s="375">
        <v>58942.345990000002</v>
      </c>
      <c r="N664" s="372">
        <v>1.4410000000000001</v>
      </c>
      <c r="O664" s="704">
        <v>8.1159743920420855</v>
      </c>
      <c r="P664" s="375" t="s">
        <v>619</v>
      </c>
      <c r="Q664" s="375" t="s">
        <v>619</v>
      </c>
      <c r="R664" s="696">
        <v>20210224</v>
      </c>
      <c r="S664" s="375" t="s">
        <v>4941</v>
      </c>
      <c r="T664" s="697">
        <v>0.20900000000000002</v>
      </c>
      <c r="U664" s="375" t="s">
        <v>4942</v>
      </c>
      <c r="V664" s="722">
        <v>43.34</v>
      </c>
      <c r="W664" s="722">
        <v>2.65</v>
      </c>
      <c r="X664" s="722">
        <v>3.21</v>
      </c>
      <c r="Y664" s="722">
        <v>127.93</v>
      </c>
      <c r="Z664" s="382">
        <v>0.18737780877581112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525</v>
      </c>
      <c r="AF664" s="372">
        <v>685</v>
      </c>
      <c r="AG664" s="372">
        <v>905</v>
      </c>
      <c r="AH664" s="372">
        <v>0</v>
      </c>
    </row>
    <row r="665" spans="1:34">
      <c r="A665" s="372" t="s">
        <v>4943</v>
      </c>
      <c r="B665" s="373" t="s">
        <v>4944</v>
      </c>
      <c r="C665" s="372" t="s">
        <v>4945</v>
      </c>
      <c r="D665" s="374">
        <v>1347110002553</v>
      </c>
      <c r="E665" s="372" t="s">
        <v>4946</v>
      </c>
      <c r="F665" s="375" t="s">
        <v>4947</v>
      </c>
      <c r="G665" s="375" t="s">
        <v>4947</v>
      </c>
      <c r="H665" s="375" t="s">
        <v>965</v>
      </c>
      <c r="I665" s="375" t="s">
        <v>751</v>
      </c>
      <c r="J665" s="375">
        <v>913537.71377999999</v>
      </c>
      <c r="K665" s="375">
        <v>-19723.627909999999</v>
      </c>
      <c r="L665" s="375">
        <v>-47645.675799999997</v>
      </c>
      <c r="M665" s="375">
        <v>609745.06314999994</v>
      </c>
      <c r="N665" s="372">
        <v>0.73399999999999999</v>
      </c>
      <c r="O665" s="704">
        <v>57.38984742240639</v>
      </c>
      <c r="P665" s="375" t="s">
        <v>619</v>
      </c>
      <c r="Q665" s="375" t="s">
        <v>619</v>
      </c>
      <c r="R665" s="696">
        <v>19890530</v>
      </c>
      <c r="S665" s="375" t="s">
        <v>4948</v>
      </c>
      <c r="T665" s="697" t="s">
        <v>768</v>
      </c>
      <c r="U665" s="372" t="s">
        <v>4949</v>
      </c>
      <c r="V665" s="722">
        <v>23.82</v>
      </c>
      <c r="W665" s="722">
        <v>0.64</v>
      </c>
      <c r="X665" s="722">
        <v>0.44</v>
      </c>
      <c r="Y665" s="722" t="s">
        <v>770</v>
      </c>
      <c r="Z665" s="382">
        <v>4.2317617483870196E-2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9630</v>
      </c>
      <c r="AF665" s="372">
        <v>10360</v>
      </c>
      <c r="AG665" s="372">
        <v>11240</v>
      </c>
      <c r="AH665" s="372">
        <v>0</v>
      </c>
    </row>
    <row r="666" spans="1:34">
      <c r="A666" s="372" t="s">
        <v>4950</v>
      </c>
      <c r="B666" s="373" t="s">
        <v>4951</v>
      </c>
      <c r="C666" s="372" t="s">
        <v>4952</v>
      </c>
      <c r="D666" s="374">
        <v>1344110059857</v>
      </c>
      <c r="E666" s="372" t="s">
        <v>4953</v>
      </c>
      <c r="F666" s="375" t="s">
        <v>2715</v>
      </c>
      <c r="G666" s="375" t="s">
        <v>3021</v>
      </c>
      <c r="H666" s="375" t="s">
        <v>1334</v>
      </c>
      <c r="I666" s="375" t="s">
        <v>859</v>
      </c>
      <c r="J666" s="375">
        <v>57712.494530000004</v>
      </c>
      <c r="K666" s="375">
        <v>1036.7969800000001</v>
      </c>
      <c r="L666" s="375">
        <v>1425.6482699999999</v>
      </c>
      <c r="M666" s="375">
        <v>93050.514169999995</v>
      </c>
      <c r="N666" s="372">
        <v>0.50800000000000001</v>
      </c>
      <c r="O666" s="704">
        <v>14.801687200488958</v>
      </c>
      <c r="P666" s="375" t="s">
        <v>619</v>
      </c>
      <c r="Q666" s="372" t="s">
        <v>619</v>
      </c>
      <c r="R666" s="696">
        <v>20221102</v>
      </c>
      <c r="S666" s="372" t="s">
        <v>4954</v>
      </c>
      <c r="T666" s="697">
        <v>0.20900000000000002</v>
      </c>
      <c r="U666" s="372" t="s">
        <v>4955</v>
      </c>
      <c r="V666" s="722">
        <v>15.58</v>
      </c>
      <c r="W666" s="722">
        <v>1.76</v>
      </c>
      <c r="X666" s="722">
        <v>3.06</v>
      </c>
      <c r="Y666" s="722">
        <v>117.58</v>
      </c>
      <c r="Z666" s="382">
        <v>0.18155856836767392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693.5</v>
      </c>
      <c r="AF666" s="372">
        <v>860</v>
      </c>
      <c r="AG666" s="372">
        <v>1038</v>
      </c>
      <c r="AH666" s="372">
        <v>0</v>
      </c>
    </row>
    <row r="667" spans="1:34">
      <c r="A667" s="372" t="s">
        <v>4956</v>
      </c>
      <c r="B667" s="373" t="s">
        <v>4957</v>
      </c>
      <c r="C667" s="372" t="s">
        <v>4958</v>
      </c>
      <c r="D667" s="374">
        <v>1311110002772</v>
      </c>
      <c r="E667" s="372" t="s">
        <v>4959</v>
      </c>
      <c r="F667" s="375" t="s">
        <v>4188</v>
      </c>
      <c r="G667" s="375" t="s">
        <v>4189</v>
      </c>
      <c r="H667" s="375" t="s">
        <v>858</v>
      </c>
      <c r="I667" s="375" t="s">
        <v>859</v>
      </c>
      <c r="J667" s="375">
        <v>323160.04077000002</v>
      </c>
      <c r="K667" s="375">
        <v>67322.806410000005</v>
      </c>
      <c r="L667" s="375">
        <v>81838.940170000002</v>
      </c>
      <c r="M667" s="375">
        <v>685804.35488</v>
      </c>
      <c r="N667" s="372">
        <v>0.47099999999999997</v>
      </c>
      <c r="O667" s="704">
        <v>0.31596268863319954</v>
      </c>
      <c r="P667" s="375" t="s">
        <v>619</v>
      </c>
      <c r="Q667" s="372" t="s">
        <v>619</v>
      </c>
      <c r="R667" s="696">
        <v>19960426</v>
      </c>
      <c r="S667" s="375" t="s">
        <v>4960</v>
      </c>
      <c r="T667" s="697">
        <v>0.23100000000000001</v>
      </c>
      <c r="U667" s="375" t="s">
        <v>4961</v>
      </c>
      <c r="V667" s="722">
        <v>3.9</v>
      </c>
      <c r="W667" s="722">
        <v>0.45</v>
      </c>
      <c r="X667" s="722">
        <v>0.95</v>
      </c>
      <c r="Y667" s="722">
        <v>4.91</v>
      </c>
      <c r="Z667" s="382" t="s">
        <v>924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4962</v>
      </c>
      <c r="B668" s="373" t="s">
        <v>4963</v>
      </c>
      <c r="C668" s="372" t="s">
        <v>4964</v>
      </c>
      <c r="D668" s="374">
        <v>1942110050823</v>
      </c>
      <c r="E668" s="372" t="s">
        <v>4965</v>
      </c>
      <c r="F668" s="372" t="s">
        <v>2113</v>
      </c>
      <c r="G668" s="375" t="s">
        <v>2114</v>
      </c>
      <c r="H668" s="375" t="s">
        <v>858</v>
      </c>
      <c r="I668" s="375" t="s">
        <v>859</v>
      </c>
      <c r="J668" s="375">
        <v>166896.5441</v>
      </c>
      <c r="K668" s="375">
        <v>-991.20435999999995</v>
      </c>
      <c r="L668" s="375">
        <v>-4809.8405899999998</v>
      </c>
      <c r="M668" s="375">
        <v>150620.47248999999</v>
      </c>
      <c r="N668" s="372" t="s">
        <v>1023</v>
      </c>
      <c r="O668" s="704">
        <v>81.372720069994926</v>
      </c>
      <c r="P668" s="375" t="s">
        <v>619</v>
      </c>
      <c r="Q668" s="372" t="s">
        <v>619</v>
      </c>
      <c r="R668" s="696">
        <v>20230630</v>
      </c>
      <c r="S668" s="375" t="s">
        <v>4966</v>
      </c>
      <c r="T668" s="697" t="s">
        <v>768</v>
      </c>
      <c r="U668" s="375" t="s">
        <v>4967</v>
      </c>
      <c r="V668" s="722">
        <v>62.63</v>
      </c>
      <c r="W668" s="722">
        <v>1.48</v>
      </c>
      <c r="X668" s="722">
        <v>1.23</v>
      </c>
      <c r="Y668" s="722">
        <v>554.08000000000004</v>
      </c>
      <c r="Z668" s="382" t="s">
        <v>924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4968</v>
      </c>
      <c r="B669" s="373" t="s">
        <v>4969</v>
      </c>
      <c r="C669" s="372" t="s">
        <v>4970</v>
      </c>
      <c r="D669" s="374">
        <v>1615110044697</v>
      </c>
      <c r="E669" s="372" t="s">
        <v>4971</v>
      </c>
      <c r="F669" s="375" t="s">
        <v>1182</v>
      </c>
      <c r="G669" s="375" t="s">
        <v>1183</v>
      </c>
      <c r="H669" s="375" t="s">
        <v>858</v>
      </c>
      <c r="I669" s="375" t="s">
        <v>859</v>
      </c>
      <c r="J669" s="375">
        <v>146754.96622999999</v>
      </c>
      <c r="K669" s="375">
        <v>6606.5865999999996</v>
      </c>
      <c r="L669" s="375">
        <v>7798.9125199999999</v>
      </c>
      <c r="M669" s="375">
        <v>152131.33936000001</v>
      </c>
      <c r="N669" s="372">
        <v>1.375</v>
      </c>
      <c r="O669" s="704">
        <v>17.211549007411627</v>
      </c>
      <c r="P669" s="375" t="s">
        <v>619</v>
      </c>
      <c r="Q669" s="375" t="s">
        <v>619</v>
      </c>
      <c r="R669" s="696">
        <v>20050124</v>
      </c>
      <c r="S669" s="375" t="s">
        <v>4972</v>
      </c>
      <c r="T669" s="697">
        <v>0.20900000000000002</v>
      </c>
      <c r="U669" s="372" t="s">
        <v>4973</v>
      </c>
      <c r="V669" s="722">
        <v>19.57</v>
      </c>
      <c r="W669" s="722">
        <v>1.2</v>
      </c>
      <c r="X669" s="722">
        <v>1.25</v>
      </c>
      <c r="Y669" s="722">
        <v>23.61</v>
      </c>
      <c r="Z669" s="382" t="s">
        <v>924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4974</v>
      </c>
      <c r="B670" s="373" t="s">
        <v>4975</v>
      </c>
      <c r="C670" s="372" t="s">
        <v>4976</v>
      </c>
      <c r="D670" s="374">
        <v>1713110007259</v>
      </c>
      <c r="E670" s="372" t="s">
        <v>4977</v>
      </c>
      <c r="F670" s="375" t="s">
        <v>1761</v>
      </c>
      <c r="G670" s="375" t="s">
        <v>1761</v>
      </c>
      <c r="H670" s="375" t="s">
        <v>858</v>
      </c>
      <c r="I670" s="375" t="s">
        <v>859</v>
      </c>
      <c r="J670" s="375">
        <v>31878.403040000001</v>
      </c>
      <c r="K670" s="375">
        <v>-7135.1404199999997</v>
      </c>
      <c r="L670" s="375">
        <v>-11437.893169999999</v>
      </c>
      <c r="M670" s="375">
        <v>54371.928970000001</v>
      </c>
      <c r="N670" s="372">
        <v>1.3169999999999999</v>
      </c>
      <c r="O670" s="704">
        <v>36.828178027075957</v>
      </c>
      <c r="P670" s="375" t="s">
        <v>619</v>
      </c>
      <c r="Q670" s="375" t="s">
        <v>619</v>
      </c>
      <c r="R670" s="696">
        <v>20220804</v>
      </c>
      <c r="S670" s="375" t="s">
        <v>4978</v>
      </c>
      <c r="T670" s="697" t="s">
        <v>768</v>
      </c>
      <c r="U670" s="375" t="s">
        <v>4979</v>
      </c>
      <c r="V670" s="722">
        <v>0</v>
      </c>
      <c r="W670" s="722">
        <v>0</v>
      </c>
      <c r="X670" s="722">
        <v>0</v>
      </c>
      <c r="Y670" s="722">
        <v>0</v>
      </c>
      <c r="Z670" s="382" t="s">
        <v>924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4980</v>
      </c>
      <c r="B671" s="373" t="s">
        <v>4981</v>
      </c>
      <c r="C671" s="372" t="s">
        <v>15864</v>
      </c>
      <c r="D671" s="374">
        <v>1647110001591</v>
      </c>
      <c r="E671" s="372" t="s">
        <v>15865</v>
      </c>
      <c r="F671" s="375" t="s">
        <v>890</v>
      </c>
      <c r="G671" s="375" t="s">
        <v>891</v>
      </c>
      <c r="H671" s="375" t="s">
        <v>852</v>
      </c>
      <c r="I671" s="375" t="s">
        <v>751</v>
      </c>
      <c r="J671" s="375">
        <v>678845.88800000004</v>
      </c>
      <c r="K671" s="375">
        <v>17459.442449999999</v>
      </c>
      <c r="L671" s="375">
        <v>7094.9333399999996</v>
      </c>
      <c r="M671" s="375">
        <v>822708.71290000004</v>
      </c>
      <c r="N671" s="372">
        <v>0.54200000000000004</v>
      </c>
      <c r="O671" s="704">
        <v>154.66058242085012</v>
      </c>
      <c r="P671" s="375" t="s">
        <v>619</v>
      </c>
      <c r="Q671" s="375" t="s">
        <v>619</v>
      </c>
      <c r="R671" s="696">
        <v>19961024</v>
      </c>
      <c r="S671" s="375" t="s">
        <v>4982</v>
      </c>
      <c r="T671" s="697">
        <v>0.20900000000000002</v>
      </c>
      <c r="U671" s="372" t="s">
        <v>15866</v>
      </c>
      <c r="V671" s="722">
        <v>18.63</v>
      </c>
      <c r="W671" s="722">
        <v>0.44</v>
      </c>
      <c r="X671" s="722">
        <v>0.41</v>
      </c>
      <c r="Y671" s="722" t="s">
        <v>770</v>
      </c>
      <c r="Z671" s="382" t="s">
        <v>924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4983</v>
      </c>
      <c r="B672" s="373" t="s">
        <v>4984</v>
      </c>
      <c r="C672" s="372" t="s">
        <v>4985</v>
      </c>
      <c r="D672" s="374">
        <v>1101111435810</v>
      </c>
      <c r="E672" s="372" t="s">
        <v>4986</v>
      </c>
      <c r="F672" s="375" t="s">
        <v>1367</v>
      </c>
      <c r="G672" s="375" t="s">
        <v>1367</v>
      </c>
      <c r="H672" s="375" t="s">
        <v>858</v>
      </c>
      <c r="I672" s="375" t="s">
        <v>859</v>
      </c>
      <c r="J672" s="375">
        <v>275639.46432999999</v>
      </c>
      <c r="K672" s="375">
        <v>5912.4860399999998</v>
      </c>
      <c r="L672" s="375">
        <v>-21364.95534</v>
      </c>
      <c r="M672" s="375">
        <v>290803.28713999997</v>
      </c>
      <c r="N672" s="372">
        <v>0.999</v>
      </c>
      <c r="O672" s="704">
        <v>136.5480349609085</v>
      </c>
      <c r="P672" s="375" t="s">
        <v>619</v>
      </c>
      <c r="Q672" s="375" t="s">
        <v>619</v>
      </c>
      <c r="R672" s="696">
        <v>20040721</v>
      </c>
      <c r="S672" s="375" t="s">
        <v>4987</v>
      </c>
      <c r="T672" s="697" t="s">
        <v>768</v>
      </c>
      <c r="U672" s="375" t="s">
        <v>4988</v>
      </c>
      <c r="V672" s="722">
        <v>27.36</v>
      </c>
      <c r="W672" s="722">
        <v>0.77</v>
      </c>
      <c r="X672" s="722">
        <v>0.83</v>
      </c>
      <c r="Y672" s="722" t="s">
        <v>770</v>
      </c>
      <c r="Z672" s="382" t="s">
        <v>924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4989</v>
      </c>
      <c r="B673" s="373" t="s">
        <v>4990</v>
      </c>
      <c r="C673" s="372" t="s">
        <v>4991</v>
      </c>
      <c r="D673" s="374">
        <v>1101110008600</v>
      </c>
      <c r="E673" s="372" t="s">
        <v>4992</v>
      </c>
      <c r="F673" s="375" t="s">
        <v>821</v>
      </c>
      <c r="G673" s="375" t="s">
        <v>822</v>
      </c>
      <c r="H673" s="375" t="s">
        <v>823</v>
      </c>
      <c r="I673" s="375" t="s">
        <v>751</v>
      </c>
      <c r="J673" s="375">
        <v>1840456.5201600001</v>
      </c>
      <c r="K673" s="375">
        <v>-47789.569409999996</v>
      </c>
      <c r="L673" s="375">
        <v>-67214.388550000003</v>
      </c>
      <c r="M673" s="375">
        <v>227643.86222000001</v>
      </c>
      <c r="N673" s="372">
        <v>1.3680000000000001</v>
      </c>
      <c r="O673" s="704">
        <v>271.71656005950416</v>
      </c>
      <c r="P673" s="375" t="s">
        <v>619</v>
      </c>
      <c r="Q673" s="375" t="s">
        <v>619</v>
      </c>
      <c r="R673" s="696">
        <v>19880428</v>
      </c>
      <c r="S673" s="375" t="s">
        <v>4993</v>
      </c>
      <c r="T673" s="697" t="s">
        <v>768</v>
      </c>
      <c r="U673" s="375" t="s">
        <v>4994</v>
      </c>
      <c r="V673" s="722" t="s">
        <v>770</v>
      </c>
      <c r="W673" s="722">
        <v>1.47</v>
      </c>
      <c r="X673" s="722">
        <v>0.11</v>
      </c>
      <c r="Y673" s="722" t="s">
        <v>770</v>
      </c>
      <c r="Z673" s="382" t="s">
        <v>924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4995</v>
      </c>
      <c r="B674" s="373" t="s">
        <v>4996</v>
      </c>
      <c r="C674" s="372" t="s">
        <v>4997</v>
      </c>
      <c r="D674" s="374">
        <v>1101110077283</v>
      </c>
      <c r="E674" s="372" t="s">
        <v>4998</v>
      </c>
      <c r="F674" s="375" t="s">
        <v>2482</v>
      </c>
      <c r="G674" s="375" t="s">
        <v>2483</v>
      </c>
      <c r="H674" s="375" t="s">
        <v>809</v>
      </c>
      <c r="I674" s="375" t="s">
        <v>751</v>
      </c>
      <c r="J674" s="375">
        <v>718905.39197</v>
      </c>
      <c r="K674" s="375">
        <v>-11938.95657</v>
      </c>
      <c r="L674" s="375">
        <v>-6973.5803900000001</v>
      </c>
      <c r="M674" s="375">
        <v>1102185.46906</v>
      </c>
      <c r="N674" s="372">
        <v>1.0189999999999999</v>
      </c>
      <c r="O674" s="704">
        <v>58.787762349929238</v>
      </c>
      <c r="P674" s="375" t="s">
        <v>619</v>
      </c>
      <c r="Q674" s="372" t="s">
        <v>619</v>
      </c>
      <c r="R674" s="696">
        <v>19730629</v>
      </c>
      <c r="S674" s="372" t="s">
        <v>4999</v>
      </c>
      <c r="T674" s="697" t="s">
        <v>768</v>
      </c>
      <c r="U674" s="372" t="s">
        <v>5000</v>
      </c>
      <c r="V674" s="722">
        <v>105.52</v>
      </c>
      <c r="W674" s="722">
        <v>0.21</v>
      </c>
      <c r="X674" s="722">
        <v>0.33</v>
      </c>
      <c r="Y674" s="722" t="s">
        <v>770</v>
      </c>
      <c r="Z674" s="382" t="s">
        <v>924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5001</v>
      </c>
      <c r="B675" s="373" t="s">
        <v>5002</v>
      </c>
      <c r="C675" s="372" t="s">
        <v>5003</v>
      </c>
      <c r="D675" s="374">
        <v>0</v>
      </c>
      <c r="E675" s="372" t="s">
        <v>5004</v>
      </c>
      <c r="F675" s="375" t="s">
        <v>1354</v>
      </c>
      <c r="G675" s="375" t="s">
        <v>1354</v>
      </c>
      <c r="H675" s="375">
        <v>0</v>
      </c>
      <c r="I675" s="375" t="s">
        <v>859</v>
      </c>
      <c r="J675" s="375">
        <v>197015.01</v>
      </c>
      <c r="K675" s="375">
        <v>23001.504000000001</v>
      </c>
      <c r="L675" s="375">
        <v>21993.637999999999</v>
      </c>
      <c r="M675" s="375">
        <v>126558.12</v>
      </c>
      <c r="N675" s="372">
        <v>0.23499999999999999</v>
      </c>
      <c r="O675" s="704">
        <v>13.62462616224872</v>
      </c>
      <c r="P675" s="375" t="s">
        <v>619</v>
      </c>
      <c r="Q675" s="375" t="s">
        <v>619</v>
      </c>
      <c r="R675" s="696">
        <v>20161014</v>
      </c>
      <c r="S675" s="375" t="s">
        <v>5005</v>
      </c>
      <c r="T675" s="697">
        <v>0.23100000000000001</v>
      </c>
      <c r="U675" s="372" t="s">
        <v>5006</v>
      </c>
      <c r="V675" s="722">
        <v>9.48</v>
      </c>
      <c r="W675" s="722">
        <v>2.0499999999999998</v>
      </c>
      <c r="X675" s="722">
        <v>1.32</v>
      </c>
      <c r="Y675" s="722">
        <v>17.440000000000001</v>
      </c>
      <c r="Z675" s="382">
        <v>8.5639720011430054E-2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2236</v>
      </c>
      <c r="AF675" s="372">
        <v>2530.5</v>
      </c>
      <c r="AG675" s="372">
        <v>2872.5</v>
      </c>
      <c r="AH675" s="372">
        <v>0</v>
      </c>
    </row>
    <row r="676" spans="1:34">
      <c r="A676" s="372" t="s">
        <v>5007</v>
      </c>
      <c r="B676" s="373" t="s">
        <v>5008</v>
      </c>
      <c r="C676" s="372" t="s">
        <v>5009</v>
      </c>
      <c r="D676" s="374">
        <v>1345110059821</v>
      </c>
      <c r="E676" s="372" t="s">
        <v>5010</v>
      </c>
      <c r="F676" s="375" t="s">
        <v>1113</v>
      </c>
      <c r="G676" s="375" t="s">
        <v>1333</v>
      </c>
      <c r="H676" s="375" t="s">
        <v>1334</v>
      </c>
      <c r="I676" s="375" t="s">
        <v>859</v>
      </c>
      <c r="J676" s="375">
        <v>85816.66502</v>
      </c>
      <c r="K676" s="375">
        <v>-22695.98878</v>
      </c>
      <c r="L676" s="375">
        <v>-24998.048930000001</v>
      </c>
      <c r="M676" s="375">
        <v>218634.12726000001</v>
      </c>
      <c r="N676" s="372">
        <v>0.82499999999999996</v>
      </c>
      <c r="O676" s="704">
        <v>18.570386346650778</v>
      </c>
      <c r="P676" s="375" t="s">
        <v>619</v>
      </c>
      <c r="Q676" s="372" t="s">
        <v>619</v>
      </c>
      <c r="R676" s="696">
        <v>20130701</v>
      </c>
      <c r="S676" s="372" t="s">
        <v>5011</v>
      </c>
      <c r="T676" s="697" t="s">
        <v>768</v>
      </c>
      <c r="U676" s="372" t="s">
        <v>5012</v>
      </c>
      <c r="V676" s="722" t="s">
        <v>770</v>
      </c>
      <c r="W676" s="722">
        <v>1.1299999999999999</v>
      </c>
      <c r="X676" s="722">
        <v>2.88</v>
      </c>
      <c r="Y676" s="722" t="s">
        <v>770</v>
      </c>
      <c r="Z676" s="382">
        <v>0.26574794434897475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918</v>
      </c>
      <c r="AF676" s="372">
        <v>1274</v>
      </c>
      <c r="AG676" s="372">
        <v>1877</v>
      </c>
      <c r="AH676" s="372">
        <v>0</v>
      </c>
    </row>
    <row r="677" spans="1:34">
      <c r="A677" s="372" t="s">
        <v>5013</v>
      </c>
      <c r="B677" s="373" t="s">
        <v>5014</v>
      </c>
      <c r="C677" s="372" t="s">
        <v>5015</v>
      </c>
      <c r="D677" s="374">
        <v>1101116770188</v>
      </c>
      <c r="E677" s="372" t="s">
        <v>5016</v>
      </c>
      <c r="F677" s="372" t="s">
        <v>1300</v>
      </c>
      <c r="G677" s="375" t="s">
        <v>1300</v>
      </c>
      <c r="H677" s="375" t="s">
        <v>823</v>
      </c>
      <c r="I677" s="375" t="s">
        <v>751</v>
      </c>
      <c r="J677" s="375">
        <v>2919673.9569299999</v>
      </c>
      <c r="K677" s="375">
        <v>-149184.26070000001</v>
      </c>
      <c r="L677" s="375">
        <v>-337753.47321000003</v>
      </c>
      <c r="M677" s="375">
        <v>32499.12213</v>
      </c>
      <c r="N677" s="372">
        <v>1.1910000000000001</v>
      </c>
      <c r="O677" s="704">
        <v>1746.7012539158823</v>
      </c>
      <c r="P677" s="375" t="s">
        <v>619</v>
      </c>
      <c r="Q677" s="372" t="s">
        <v>619</v>
      </c>
      <c r="R677" s="696">
        <v>20180713</v>
      </c>
      <c r="S677" s="372" t="s">
        <v>768</v>
      </c>
      <c r="T677" s="697" t="s">
        <v>768</v>
      </c>
      <c r="U677" s="372" t="s">
        <v>5017</v>
      </c>
      <c r="V677" s="722">
        <v>43.37</v>
      </c>
      <c r="W677" s="722">
        <v>5.3</v>
      </c>
      <c r="X677" s="722">
        <v>0.06</v>
      </c>
      <c r="Y677" s="722" t="s">
        <v>770</v>
      </c>
      <c r="Z677" s="382">
        <v>2.5046858645133119E-2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29620</v>
      </c>
      <c r="AF677" s="372">
        <v>29660</v>
      </c>
      <c r="AG677" s="372">
        <v>30820</v>
      </c>
      <c r="AH677" s="372">
        <v>0</v>
      </c>
    </row>
    <row r="678" spans="1:34">
      <c r="A678" s="372" t="s">
        <v>5018</v>
      </c>
      <c r="B678" s="373" t="s">
        <v>5019</v>
      </c>
      <c r="C678" s="372" t="s">
        <v>5020</v>
      </c>
      <c r="D678" s="374">
        <v>1101111775894</v>
      </c>
      <c r="E678" s="372" t="s">
        <v>5021</v>
      </c>
      <c r="F678" s="375" t="s">
        <v>2121</v>
      </c>
      <c r="G678" s="375" t="s">
        <v>4228</v>
      </c>
      <c r="H678" s="375" t="s">
        <v>858</v>
      </c>
      <c r="I678" s="375" t="s">
        <v>859</v>
      </c>
      <c r="J678" s="375">
        <v>225639.91013</v>
      </c>
      <c r="K678" s="375">
        <v>22299.24467</v>
      </c>
      <c r="L678" s="375">
        <v>18231.696639999998</v>
      </c>
      <c r="M678" s="375">
        <v>226736.41227999999</v>
      </c>
      <c r="N678" s="372">
        <v>0.58899999999999997</v>
      </c>
      <c r="O678" s="704">
        <v>31.268035679235588</v>
      </c>
      <c r="P678" s="375" t="s">
        <v>619</v>
      </c>
      <c r="Q678" s="372" t="s">
        <v>619</v>
      </c>
      <c r="R678" s="696">
        <v>20090410</v>
      </c>
      <c r="S678" s="372" t="s">
        <v>5022</v>
      </c>
      <c r="T678" s="697">
        <v>0.20900000000000002</v>
      </c>
      <c r="U678" s="372" t="s">
        <v>5023</v>
      </c>
      <c r="V678" s="722">
        <v>9.14</v>
      </c>
      <c r="W678" s="722">
        <v>1.07</v>
      </c>
      <c r="X678" s="722">
        <v>1.19</v>
      </c>
      <c r="Y678" s="722">
        <v>15.98</v>
      </c>
      <c r="Z678" s="382">
        <v>6.3092140584144252E-2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2339.8000000000002</v>
      </c>
      <c r="AF678" s="372">
        <v>2560.6</v>
      </c>
      <c r="AG678" s="372">
        <v>2813.2</v>
      </c>
      <c r="AH678" s="372">
        <v>0</v>
      </c>
    </row>
    <row r="679" spans="1:34">
      <c r="A679" s="372" t="s">
        <v>5024</v>
      </c>
      <c r="B679" s="373" t="s">
        <v>5025</v>
      </c>
      <c r="C679" s="372" t="s">
        <v>5026</v>
      </c>
      <c r="D679" s="374">
        <v>1701110005042</v>
      </c>
      <c r="E679" s="372" t="s">
        <v>5027</v>
      </c>
      <c r="F679" s="375" t="s">
        <v>2113</v>
      </c>
      <c r="G679" s="375" t="s">
        <v>2114</v>
      </c>
      <c r="H679" s="375" t="s">
        <v>809</v>
      </c>
      <c r="I679" s="375" t="s">
        <v>751</v>
      </c>
      <c r="J679" s="375">
        <v>294339.20452999999</v>
      </c>
      <c r="K679" s="375">
        <v>5311.5047699999996</v>
      </c>
      <c r="L679" s="375">
        <v>13900.521280000001</v>
      </c>
      <c r="M679" s="375">
        <v>319680.20406000002</v>
      </c>
      <c r="N679" s="372">
        <v>0.73099999999999998</v>
      </c>
      <c r="O679" s="704">
        <v>8.6000405806079865</v>
      </c>
      <c r="P679" s="375" t="s">
        <v>619</v>
      </c>
      <c r="Q679" s="375" t="s">
        <v>619</v>
      </c>
      <c r="R679" s="696">
        <v>19780522</v>
      </c>
      <c r="S679" s="375" t="s">
        <v>5028</v>
      </c>
      <c r="T679" s="697">
        <v>0.20900000000000002</v>
      </c>
      <c r="U679" s="375" t="s">
        <v>5029</v>
      </c>
      <c r="V679" s="722">
        <v>20.37</v>
      </c>
      <c r="W679" s="722">
        <v>0.56999999999999995</v>
      </c>
      <c r="X679" s="722">
        <v>0.62</v>
      </c>
      <c r="Y679" s="722">
        <v>15.7</v>
      </c>
      <c r="Z679" s="382" t="s">
        <v>924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5030</v>
      </c>
      <c r="B680" s="373" t="s">
        <v>5031</v>
      </c>
      <c r="C680" s="372" t="s">
        <v>5032</v>
      </c>
      <c r="D680" s="374">
        <v>1101112125262</v>
      </c>
      <c r="E680" s="372" t="s">
        <v>5033</v>
      </c>
      <c r="F680" s="375" t="s">
        <v>1740</v>
      </c>
      <c r="G680" s="375" t="s">
        <v>1740</v>
      </c>
      <c r="H680" s="375" t="s">
        <v>843</v>
      </c>
      <c r="I680" s="375" t="s">
        <v>751</v>
      </c>
      <c r="J680" s="375">
        <v>3427726.8851899998</v>
      </c>
      <c r="K680" s="375">
        <v>44062.244129999999</v>
      </c>
      <c r="L680" s="375">
        <v>44991.436520000003</v>
      </c>
      <c r="M680" s="375">
        <v>402238.44238000002</v>
      </c>
      <c r="N680" s="372">
        <v>0.53800000000000003</v>
      </c>
      <c r="O680" s="704">
        <v>57.715728012609389</v>
      </c>
      <c r="P680" s="375" t="s">
        <v>619</v>
      </c>
      <c r="Q680" s="375" t="s">
        <v>619</v>
      </c>
      <c r="R680" s="696">
        <v>20100730</v>
      </c>
      <c r="S680" s="375" t="s">
        <v>5034</v>
      </c>
      <c r="T680" s="697">
        <v>0.23100000000000001</v>
      </c>
      <c r="U680" s="372" t="s">
        <v>5035</v>
      </c>
      <c r="V680" s="722">
        <v>4.8600000000000003</v>
      </c>
      <c r="W680" s="722">
        <v>0.75</v>
      </c>
      <c r="X680" s="722">
        <v>0.08</v>
      </c>
      <c r="Y680" s="722">
        <v>10.65</v>
      </c>
      <c r="Z680" s="382">
        <v>5.1206240746930698E-2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35420</v>
      </c>
      <c r="AF680" s="372">
        <v>38950</v>
      </c>
      <c r="AG680" s="372">
        <v>41830</v>
      </c>
      <c r="AH680" s="372">
        <v>0</v>
      </c>
    </row>
    <row r="681" spans="1:34">
      <c r="A681" s="372" t="s">
        <v>5036</v>
      </c>
      <c r="B681" s="373" t="s">
        <v>5037</v>
      </c>
      <c r="C681" s="372" t="s">
        <v>5038</v>
      </c>
      <c r="D681" s="374">
        <v>1801110029438</v>
      </c>
      <c r="E681" s="372" t="s">
        <v>5039</v>
      </c>
      <c r="F681" s="375" t="s">
        <v>1846</v>
      </c>
      <c r="G681" s="375" t="s">
        <v>1847</v>
      </c>
      <c r="H681" s="375" t="s">
        <v>4844</v>
      </c>
      <c r="I681" s="375" t="s">
        <v>859</v>
      </c>
      <c r="J681" s="375">
        <v>575029.28422999999</v>
      </c>
      <c r="K681" s="375">
        <v>-7673.3468899999998</v>
      </c>
      <c r="L681" s="375">
        <v>14827.56493</v>
      </c>
      <c r="M681" s="375">
        <v>1058911.3019900001</v>
      </c>
      <c r="N681" s="372">
        <v>0.53100000000000003</v>
      </c>
      <c r="O681" s="704">
        <v>54.299749544524921</v>
      </c>
      <c r="P681" s="375" t="s">
        <v>619</v>
      </c>
      <c r="Q681" s="372" t="s">
        <v>619</v>
      </c>
      <c r="R681" s="696">
        <v>19941222</v>
      </c>
      <c r="S681" s="372" t="s">
        <v>5040</v>
      </c>
      <c r="T681" s="697">
        <v>0.20900000000000002</v>
      </c>
      <c r="U681" s="372" t="s">
        <v>5041</v>
      </c>
      <c r="V681" s="722" t="s">
        <v>770</v>
      </c>
      <c r="W681" s="722">
        <v>0.23</v>
      </c>
      <c r="X681" s="722">
        <v>0.42</v>
      </c>
      <c r="Y681" s="722">
        <v>24.9</v>
      </c>
      <c r="Z681" s="382">
        <v>-5.5160868272210783E-2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5280</v>
      </c>
      <c r="AF681" s="372">
        <v>4500</v>
      </c>
      <c r="AG681" s="372">
        <v>5870</v>
      </c>
      <c r="AH681" s="372">
        <v>0</v>
      </c>
    </row>
    <row r="682" spans="1:34">
      <c r="A682" s="372" t="s">
        <v>5042</v>
      </c>
      <c r="B682" s="373" t="s">
        <v>5043</v>
      </c>
      <c r="C682" s="372" t="s">
        <v>5044</v>
      </c>
      <c r="D682" s="374">
        <v>1101111892333</v>
      </c>
      <c r="E682" s="372" t="s">
        <v>5045</v>
      </c>
      <c r="F682" s="375" t="s">
        <v>1354</v>
      </c>
      <c r="G682" s="375" t="s">
        <v>1354</v>
      </c>
      <c r="H682" s="375" t="s">
        <v>858</v>
      </c>
      <c r="I682" s="375" t="s">
        <v>859</v>
      </c>
      <c r="J682" s="375">
        <v>198486.17473</v>
      </c>
      <c r="K682" s="375">
        <v>35429.387589999998</v>
      </c>
      <c r="L682" s="375">
        <v>36347.761689999999</v>
      </c>
      <c r="M682" s="375">
        <v>88726.186650000003</v>
      </c>
      <c r="N682" s="372">
        <v>0.26100000000000001</v>
      </c>
      <c r="O682" s="704">
        <v>3.1535103540519906</v>
      </c>
      <c r="P682" s="375" t="s">
        <v>619</v>
      </c>
      <c r="Q682" s="375" t="s">
        <v>619</v>
      </c>
      <c r="R682" s="696">
        <v>20211028</v>
      </c>
      <c r="S682" s="375" t="s">
        <v>5046</v>
      </c>
      <c r="T682" s="697">
        <v>0.23100000000000001</v>
      </c>
      <c r="U682" s="375" t="s">
        <v>5047</v>
      </c>
      <c r="V682" s="722">
        <v>12.17</v>
      </c>
      <c r="W682" s="722">
        <v>4.9400000000000004</v>
      </c>
      <c r="X682" s="722">
        <v>2.21</v>
      </c>
      <c r="Y682" s="722">
        <v>14.15</v>
      </c>
      <c r="Z682" s="382">
        <v>0.17688082381755876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2154.67</v>
      </c>
      <c r="AF682" s="372">
        <v>2522.33</v>
      </c>
      <c r="AG682" s="372">
        <v>2852.33</v>
      </c>
      <c r="AH682" s="372">
        <v>0</v>
      </c>
    </row>
    <row r="683" spans="1:34">
      <c r="A683" s="372" t="s">
        <v>5048</v>
      </c>
      <c r="B683" s="373" t="s">
        <v>5049</v>
      </c>
      <c r="C683" s="372" t="s">
        <v>5050</v>
      </c>
      <c r="D683" s="374">
        <v>2011110000440</v>
      </c>
      <c r="E683" s="372" t="s">
        <v>5051</v>
      </c>
      <c r="F683" s="372" t="s">
        <v>5052</v>
      </c>
      <c r="G683" s="375" t="s">
        <v>5052</v>
      </c>
      <c r="H683" s="375" t="s">
        <v>1465</v>
      </c>
      <c r="I683" s="375" t="s">
        <v>751</v>
      </c>
      <c r="J683" s="375">
        <v>831998.08927999996</v>
      </c>
      <c r="K683" s="375">
        <v>51523.252959999998</v>
      </c>
      <c r="L683" s="375">
        <v>41604.907279999999</v>
      </c>
      <c r="M683" s="375">
        <v>831252.41014000005</v>
      </c>
      <c r="N683" s="372">
        <v>0.63400000000000001</v>
      </c>
      <c r="O683" s="704">
        <v>272.97690413929388</v>
      </c>
      <c r="P683" s="375" t="s">
        <v>619</v>
      </c>
      <c r="Q683" s="375" t="s">
        <v>619</v>
      </c>
      <c r="R683" s="696">
        <v>19780630</v>
      </c>
      <c r="S683" s="375" t="s">
        <v>5053</v>
      </c>
      <c r="T683" s="697">
        <v>0.23100000000000001</v>
      </c>
      <c r="U683" s="375" t="s">
        <v>5054</v>
      </c>
      <c r="V683" s="722">
        <v>11.76</v>
      </c>
      <c r="W683" s="722">
        <v>0.45</v>
      </c>
      <c r="X683" s="722">
        <v>0.31</v>
      </c>
      <c r="Y683" s="722">
        <v>160.75</v>
      </c>
      <c r="Z683" s="382" t="s">
        <v>924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5055</v>
      </c>
      <c r="B684" s="373" t="s">
        <v>5056</v>
      </c>
      <c r="C684" s="372" t="s">
        <v>5057</v>
      </c>
      <c r="D684" s="374">
        <v>1350110108445</v>
      </c>
      <c r="E684" s="372" t="s">
        <v>5058</v>
      </c>
      <c r="F684" s="375" t="s">
        <v>1595</v>
      </c>
      <c r="G684" s="375" t="s">
        <v>1596</v>
      </c>
      <c r="H684" s="375" t="s">
        <v>858</v>
      </c>
      <c r="I684" s="375" t="s">
        <v>859</v>
      </c>
      <c r="J684" s="375">
        <v>12835.974179999999</v>
      </c>
      <c r="K684" s="375">
        <v>2608.26935</v>
      </c>
      <c r="L684" s="375">
        <v>3012.8324499999999</v>
      </c>
      <c r="M684" s="375">
        <v>38182.742570000002</v>
      </c>
      <c r="N684" s="372">
        <v>0.745</v>
      </c>
      <c r="O684" s="704">
        <v>0.81342002268921587</v>
      </c>
      <c r="P684" s="375" t="s">
        <v>619</v>
      </c>
      <c r="Q684" s="372" t="s">
        <v>619</v>
      </c>
      <c r="R684" s="696">
        <v>20201223</v>
      </c>
      <c r="S684" s="372" t="s">
        <v>5059</v>
      </c>
      <c r="T684" s="697">
        <v>0.20900000000000002</v>
      </c>
      <c r="U684" s="375" t="s">
        <v>5060</v>
      </c>
      <c r="V684" s="722">
        <v>71.709999999999994</v>
      </c>
      <c r="W684" s="722">
        <v>6.63</v>
      </c>
      <c r="X684" s="722">
        <v>20.100000000000001</v>
      </c>
      <c r="Y684" s="722">
        <v>74.09</v>
      </c>
      <c r="Z684" s="382" t="s">
        <v>924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5061</v>
      </c>
      <c r="B685" s="373" t="s">
        <v>5062</v>
      </c>
      <c r="C685" s="372" t="s">
        <v>5063</v>
      </c>
      <c r="D685" s="374">
        <v>1101110124802</v>
      </c>
      <c r="E685" s="372" t="s">
        <v>5064</v>
      </c>
      <c r="F685" s="375" t="s">
        <v>1320</v>
      </c>
      <c r="G685" s="375" t="s">
        <v>16103</v>
      </c>
      <c r="H685" s="375" t="s">
        <v>781</v>
      </c>
      <c r="I685" s="375" t="s">
        <v>751</v>
      </c>
      <c r="J685" s="375">
        <v>364562.47051000001</v>
      </c>
      <c r="K685" s="375">
        <v>20553.26497</v>
      </c>
      <c r="L685" s="375">
        <v>2049.6499100000001</v>
      </c>
      <c r="M685" s="375">
        <v>271366.07188</v>
      </c>
      <c r="N685" s="372">
        <v>0.67800000000000005</v>
      </c>
      <c r="O685" s="704">
        <v>53.687905108947341</v>
      </c>
      <c r="P685" s="375" t="s">
        <v>619</v>
      </c>
      <c r="Q685" s="375" t="s">
        <v>619</v>
      </c>
      <c r="R685" s="696">
        <v>19740828</v>
      </c>
      <c r="S685" s="375" t="s">
        <v>5065</v>
      </c>
      <c r="T685" s="697">
        <v>0.20900000000000002</v>
      </c>
      <c r="U685" s="372" t="s">
        <v>5066</v>
      </c>
      <c r="V685" s="722">
        <v>11.9</v>
      </c>
      <c r="W685" s="722">
        <v>1.04</v>
      </c>
      <c r="X685" s="722">
        <v>0.7</v>
      </c>
      <c r="Y685" s="722" t="s">
        <v>770</v>
      </c>
      <c r="Z685" s="382" t="s">
        <v>924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5067</v>
      </c>
      <c r="B686" s="373" t="s">
        <v>5068</v>
      </c>
      <c r="C686" s="372" t="s">
        <v>5069</v>
      </c>
      <c r="D686" s="374">
        <v>1243110008204</v>
      </c>
      <c r="E686" s="372" t="s">
        <v>5070</v>
      </c>
      <c r="F686" s="375" t="s">
        <v>3882</v>
      </c>
      <c r="G686" s="375" t="s">
        <v>3882</v>
      </c>
      <c r="H686" s="375" t="s">
        <v>852</v>
      </c>
      <c r="I686" s="375" t="s">
        <v>751</v>
      </c>
      <c r="J686" s="375">
        <v>104193.64645</v>
      </c>
      <c r="K686" s="375">
        <v>31732.29796</v>
      </c>
      <c r="L686" s="375">
        <v>27424.005379999999</v>
      </c>
      <c r="M686" s="375">
        <v>252030.87406</v>
      </c>
      <c r="N686" s="372">
        <v>0.61899999999999999</v>
      </c>
      <c r="O686" s="704">
        <v>0</v>
      </c>
      <c r="P686" s="375" t="s">
        <v>619</v>
      </c>
      <c r="Q686" s="375" t="s">
        <v>619</v>
      </c>
      <c r="R686" s="696">
        <v>19971125</v>
      </c>
      <c r="S686" s="372" t="s">
        <v>5071</v>
      </c>
      <c r="T686" s="697">
        <v>0.23100000000000001</v>
      </c>
      <c r="U686" s="372" t="s">
        <v>5072</v>
      </c>
      <c r="V686" s="722">
        <v>0</v>
      </c>
      <c r="W686" s="722">
        <v>1.25</v>
      </c>
      <c r="X686" s="722">
        <v>3.27</v>
      </c>
      <c r="Y686" s="722">
        <v>16.29</v>
      </c>
      <c r="Z686" s="382" t="s">
        <v>924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5073</v>
      </c>
      <c r="B687" s="373" t="s">
        <v>5074</v>
      </c>
      <c r="C687" s="372" t="s">
        <v>5075</v>
      </c>
      <c r="D687" s="374">
        <v>1101110043870</v>
      </c>
      <c r="E687" s="372" t="s">
        <v>5076</v>
      </c>
      <c r="F687" s="375" t="s">
        <v>1320</v>
      </c>
      <c r="G687" s="375" t="s">
        <v>16103</v>
      </c>
      <c r="H687" s="375" t="s">
        <v>781</v>
      </c>
      <c r="I687" s="375" t="s">
        <v>751</v>
      </c>
      <c r="J687" s="375">
        <v>428482.23216000001</v>
      </c>
      <c r="K687" s="375">
        <v>9002.5337400000008</v>
      </c>
      <c r="L687" s="375">
        <v>9819.3072200000006</v>
      </c>
      <c r="M687" s="375">
        <v>404767.55709000002</v>
      </c>
      <c r="N687" s="372">
        <v>0.68200000000000005</v>
      </c>
      <c r="O687" s="704">
        <v>37.334677898523793</v>
      </c>
      <c r="P687" s="375" t="s">
        <v>619</v>
      </c>
      <c r="Q687" s="375" t="s">
        <v>619</v>
      </c>
      <c r="R687" s="696">
        <v>19760324</v>
      </c>
      <c r="S687" s="375" t="s">
        <v>5077</v>
      </c>
      <c r="T687" s="697">
        <v>0.20900000000000002</v>
      </c>
      <c r="U687" s="375" t="s">
        <v>5078</v>
      </c>
      <c r="V687" s="722">
        <v>10.35</v>
      </c>
      <c r="W687" s="722">
        <v>0.56999999999999995</v>
      </c>
      <c r="X687" s="722">
        <v>0.51</v>
      </c>
      <c r="Y687" s="722">
        <v>28.25</v>
      </c>
      <c r="Z687" s="382" t="s">
        <v>924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5079</v>
      </c>
      <c r="B688" s="373" t="s">
        <v>5080</v>
      </c>
      <c r="C688" s="372" t="s">
        <v>5081</v>
      </c>
      <c r="D688" s="374">
        <v>1351110047419</v>
      </c>
      <c r="E688" s="372" t="s">
        <v>5082</v>
      </c>
      <c r="F688" s="375" t="s">
        <v>1959</v>
      </c>
      <c r="G688" s="375" t="s">
        <v>1959</v>
      </c>
      <c r="H688" s="375" t="s">
        <v>858</v>
      </c>
      <c r="I688" s="375" t="s">
        <v>859</v>
      </c>
      <c r="J688" s="375">
        <v>300256.49111</v>
      </c>
      <c r="K688" s="375">
        <v>14829.6808</v>
      </c>
      <c r="L688" s="375">
        <v>19571.406009999999</v>
      </c>
      <c r="M688" s="375">
        <v>286100.12011000002</v>
      </c>
      <c r="N688" s="372">
        <v>1.196</v>
      </c>
      <c r="O688" s="704">
        <v>41.556477255171401</v>
      </c>
      <c r="P688" s="375" t="s">
        <v>619</v>
      </c>
      <c r="Q688" s="372" t="s">
        <v>619</v>
      </c>
      <c r="R688" s="696">
        <v>20190805</v>
      </c>
      <c r="S688" s="372" t="s">
        <v>5083</v>
      </c>
      <c r="T688" s="697">
        <v>0.20900000000000002</v>
      </c>
      <c r="U688" s="375" t="s">
        <v>5084</v>
      </c>
      <c r="V688" s="722">
        <v>13.55</v>
      </c>
      <c r="W688" s="722">
        <v>0.94</v>
      </c>
      <c r="X688" s="722">
        <v>0.56000000000000005</v>
      </c>
      <c r="Y688" s="722">
        <v>9.16</v>
      </c>
      <c r="Z688" s="382">
        <v>2.9779249594325208E-2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3065.5</v>
      </c>
      <c r="AF688" s="372">
        <v>3521.95</v>
      </c>
      <c r="AG688" s="372">
        <v>3778</v>
      </c>
      <c r="AH688" s="372">
        <v>0</v>
      </c>
    </row>
    <row r="689" spans="1:34">
      <c r="A689" s="372" t="s">
        <v>5085</v>
      </c>
      <c r="B689" s="373" t="s">
        <v>5086</v>
      </c>
      <c r="C689" s="372" t="s">
        <v>5087</v>
      </c>
      <c r="D689" s="374">
        <v>1101111905516</v>
      </c>
      <c r="E689" s="372" t="s">
        <v>5088</v>
      </c>
      <c r="F689" s="375" t="s">
        <v>1693</v>
      </c>
      <c r="G689" s="375" t="s">
        <v>1693</v>
      </c>
      <c r="H689" s="375" t="s">
        <v>1334</v>
      </c>
      <c r="I689" s="375" t="s">
        <v>859</v>
      </c>
      <c r="J689" s="375">
        <v>142926.79845999999</v>
      </c>
      <c r="K689" s="375">
        <v>21399.518690000001</v>
      </c>
      <c r="L689" s="375">
        <v>23828.926889999999</v>
      </c>
      <c r="M689" s="375">
        <v>259749.18987999999</v>
      </c>
      <c r="N689" s="372">
        <v>0.79400000000000004</v>
      </c>
      <c r="O689" s="704">
        <v>4.0843938561789441</v>
      </c>
      <c r="P689" s="375" t="s">
        <v>619</v>
      </c>
      <c r="Q689" s="375" t="s">
        <v>619</v>
      </c>
      <c r="R689" s="696">
        <v>20130717</v>
      </c>
      <c r="S689" s="375" t="s">
        <v>5089</v>
      </c>
      <c r="T689" s="697">
        <v>0.23100000000000001</v>
      </c>
      <c r="U689" s="372" t="s">
        <v>5090</v>
      </c>
      <c r="V689" s="722">
        <v>7.51</v>
      </c>
      <c r="W689" s="722">
        <v>0.81</v>
      </c>
      <c r="X689" s="722">
        <v>1.29</v>
      </c>
      <c r="Y689" s="722">
        <v>10.220000000000001</v>
      </c>
      <c r="Z689" s="382">
        <v>4.3541726953799431E-2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1478</v>
      </c>
      <c r="AF689" s="372">
        <v>1610.6</v>
      </c>
      <c r="AG689" s="372">
        <v>1740.5</v>
      </c>
      <c r="AH689" s="372">
        <v>0</v>
      </c>
    </row>
    <row r="690" spans="1:34">
      <c r="A690" s="372" t="s">
        <v>5091</v>
      </c>
      <c r="B690" s="373" t="s">
        <v>5092</v>
      </c>
      <c r="C690" s="372" t="s">
        <v>15991</v>
      </c>
      <c r="D690" s="374">
        <v>1713110003504</v>
      </c>
      <c r="E690" s="372" t="s">
        <v>15992</v>
      </c>
      <c r="F690" s="375" t="s">
        <v>2278</v>
      </c>
      <c r="G690" s="375" t="s">
        <v>5093</v>
      </c>
      <c r="H690" s="375" t="s">
        <v>823</v>
      </c>
      <c r="I690" s="375" t="s">
        <v>751</v>
      </c>
      <c r="J690" s="375">
        <v>472660.49391999998</v>
      </c>
      <c r="K690" s="375">
        <v>37495.324000000001</v>
      </c>
      <c r="L690" s="375">
        <v>53902.708890000002</v>
      </c>
      <c r="M690" s="375">
        <v>308188.02807</v>
      </c>
      <c r="N690" s="372">
        <v>0.71499999999999997</v>
      </c>
      <c r="O690" s="704">
        <v>3.7735153299916453</v>
      </c>
      <c r="P690" s="375" t="s">
        <v>619</v>
      </c>
      <c r="Q690" s="372" t="s">
        <v>619</v>
      </c>
      <c r="R690" s="696">
        <v>20110615</v>
      </c>
      <c r="S690" s="372" t="s">
        <v>5094</v>
      </c>
      <c r="T690" s="697">
        <v>0.23100000000000001</v>
      </c>
      <c r="U690" s="375" t="s">
        <v>5095</v>
      </c>
      <c r="V690" s="722">
        <v>4.59</v>
      </c>
      <c r="W690" s="722">
        <v>0.76</v>
      </c>
      <c r="X690" s="722">
        <v>0.49</v>
      </c>
      <c r="Y690" s="722">
        <v>5.38</v>
      </c>
      <c r="Z690" s="382">
        <v>6.4780600982370817E-2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4902</v>
      </c>
      <c r="AF690" s="372">
        <v>5291</v>
      </c>
      <c r="AG690" s="372">
        <v>5864</v>
      </c>
      <c r="AH690" s="372">
        <v>0</v>
      </c>
    </row>
    <row r="691" spans="1:34">
      <c r="A691" s="372" t="s">
        <v>5096</v>
      </c>
      <c r="B691" s="373" t="s">
        <v>5097</v>
      </c>
      <c r="C691" s="372" t="s">
        <v>16320</v>
      </c>
      <c r="D691" s="374">
        <v>1101113805293</v>
      </c>
      <c r="E691" s="372" t="s">
        <v>5098</v>
      </c>
      <c r="F691" s="375" t="s">
        <v>1793</v>
      </c>
      <c r="G691" s="375" t="s">
        <v>1794</v>
      </c>
      <c r="H691" s="375" t="s">
        <v>858</v>
      </c>
      <c r="I691" s="375" t="s">
        <v>859</v>
      </c>
      <c r="J691" s="375">
        <v>49088.425239999997</v>
      </c>
      <c r="K691" s="375">
        <v>14167.34397</v>
      </c>
      <c r="L691" s="375">
        <v>14075.26578</v>
      </c>
      <c r="M691" s="375">
        <v>74321.377609999996</v>
      </c>
      <c r="N691" s="372">
        <v>0.747</v>
      </c>
      <c r="O691" s="704">
        <v>3.8134231088078634</v>
      </c>
      <c r="P691" s="375" t="s">
        <v>619</v>
      </c>
      <c r="Q691" s="375" t="s">
        <v>619</v>
      </c>
      <c r="R691" s="696">
        <v>20171130</v>
      </c>
      <c r="S691" s="375" t="e">
        <v>#N/A</v>
      </c>
      <c r="T691" s="697">
        <v>0.20900000000000002</v>
      </c>
      <c r="U691" s="375" t="s">
        <v>5099</v>
      </c>
      <c r="V691" s="722">
        <v>21.05</v>
      </c>
      <c r="W691" s="722">
        <v>4.92</v>
      </c>
      <c r="X691" s="722">
        <v>7.28</v>
      </c>
      <c r="Y691" s="722">
        <v>26.81</v>
      </c>
      <c r="Z691" s="382">
        <v>0.10926386874630567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587.5</v>
      </c>
      <c r="AF691" s="372">
        <v>675.5</v>
      </c>
      <c r="AG691" s="372">
        <v>773.5</v>
      </c>
      <c r="AH691" s="372">
        <v>0</v>
      </c>
    </row>
    <row r="692" spans="1:34">
      <c r="A692" s="372" t="s">
        <v>5100</v>
      </c>
      <c r="B692" s="373" t="s">
        <v>5101</v>
      </c>
      <c r="C692" s="372" t="s">
        <v>5102</v>
      </c>
      <c r="D692" s="374">
        <v>1101111258220</v>
      </c>
      <c r="E692" s="372" t="s">
        <v>5103</v>
      </c>
      <c r="F692" s="375" t="s">
        <v>3882</v>
      </c>
      <c r="G692" s="375" t="s">
        <v>3882</v>
      </c>
      <c r="H692" s="375" t="s">
        <v>852</v>
      </c>
      <c r="I692" s="375" t="s">
        <v>751</v>
      </c>
      <c r="J692" s="375">
        <v>0</v>
      </c>
      <c r="K692" s="375">
        <v>0</v>
      </c>
      <c r="L692" s="375">
        <v>0</v>
      </c>
      <c r="M692" s="375">
        <v>0</v>
      </c>
      <c r="N692" s="372">
        <v>0.63500000000000001</v>
      </c>
      <c r="O692" s="704" t="s">
        <v>16298</v>
      </c>
      <c r="P692" s="375" t="s">
        <v>619</v>
      </c>
      <c r="Q692" s="375" t="s">
        <v>619</v>
      </c>
      <c r="R692" s="696">
        <v>20010518</v>
      </c>
      <c r="S692" s="375" t="s">
        <v>5104</v>
      </c>
      <c r="T692" s="697" t="s">
        <v>768</v>
      </c>
      <c r="U692" s="372" t="s">
        <v>5105</v>
      </c>
      <c r="V692" s="722">
        <v>0</v>
      </c>
      <c r="W692" s="722">
        <v>0</v>
      </c>
      <c r="X692" s="722">
        <v>0</v>
      </c>
      <c r="Y692" s="722">
        <v>0</v>
      </c>
      <c r="Z692" s="382" t="s">
        <v>924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1940</v>
      </c>
      <c r="AF692" s="372">
        <v>1830</v>
      </c>
      <c r="AG692" s="372">
        <v>0</v>
      </c>
      <c r="AH692" s="372">
        <v>0</v>
      </c>
    </row>
    <row r="693" spans="1:34">
      <c r="A693" s="372" t="s">
        <v>5106</v>
      </c>
      <c r="B693" s="373" t="s">
        <v>5107</v>
      </c>
      <c r="C693" s="372" t="s">
        <v>5108</v>
      </c>
      <c r="D693" s="374">
        <v>1101113224849</v>
      </c>
      <c r="E693" s="372" t="s">
        <v>5109</v>
      </c>
      <c r="F693" s="375" t="s">
        <v>972</v>
      </c>
      <c r="G693" s="375" t="s">
        <v>973</v>
      </c>
      <c r="H693" s="375" t="s">
        <v>1334</v>
      </c>
      <c r="I693" s="375" t="s">
        <v>859</v>
      </c>
      <c r="J693" s="375">
        <v>3715966.5838000001</v>
      </c>
      <c r="K693" s="375">
        <v>53971.174200000001</v>
      </c>
      <c r="L693" s="375">
        <v>24581.613509999999</v>
      </c>
      <c r="M693" s="375">
        <v>310475.19282</v>
      </c>
      <c r="N693" s="372">
        <v>0.60699999999999998</v>
      </c>
      <c r="O693" s="704">
        <v>147.1895289153197</v>
      </c>
      <c r="P693" s="375" t="s">
        <v>619</v>
      </c>
      <c r="Q693" s="375" t="s">
        <v>619</v>
      </c>
      <c r="R693" s="696">
        <v>20130701</v>
      </c>
      <c r="S693" s="375" t="s">
        <v>5110</v>
      </c>
      <c r="T693" s="697">
        <v>0.23100000000000001</v>
      </c>
      <c r="U693" s="375" t="s">
        <v>5111</v>
      </c>
      <c r="V693" s="722">
        <v>7.14</v>
      </c>
      <c r="W693" s="722">
        <v>1.86</v>
      </c>
      <c r="X693" s="722">
        <v>0.04</v>
      </c>
      <c r="Y693" s="722">
        <v>22.11</v>
      </c>
      <c r="Z693" s="382" t="s">
        <v>924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5112</v>
      </c>
      <c r="B694" s="373" t="s">
        <v>5113</v>
      </c>
      <c r="C694" s="372" t="s">
        <v>5114</v>
      </c>
      <c r="D694" s="374">
        <v>1615110001613</v>
      </c>
      <c r="E694" s="372" t="s">
        <v>5115</v>
      </c>
      <c r="F694" s="372" t="s">
        <v>5116</v>
      </c>
      <c r="G694" s="375" t="s">
        <v>5116</v>
      </c>
      <c r="H694" s="375" t="s">
        <v>1383</v>
      </c>
      <c r="I694" s="375" t="s">
        <v>751</v>
      </c>
      <c r="J694" s="375">
        <v>322142.08486</v>
      </c>
      <c r="K694" s="375">
        <v>44635.821100000001</v>
      </c>
      <c r="L694" s="375">
        <v>43033.034520000001</v>
      </c>
      <c r="M694" s="375">
        <v>513066.81711</v>
      </c>
      <c r="N694" s="372">
        <v>0.90400000000000003</v>
      </c>
      <c r="O694" s="704">
        <v>11.556208854794585</v>
      </c>
      <c r="P694" s="375" t="s">
        <v>619</v>
      </c>
      <c r="Q694" s="375" t="s">
        <v>619</v>
      </c>
      <c r="R694" s="696">
        <v>20220801</v>
      </c>
      <c r="S694" s="375" t="s">
        <v>5117</v>
      </c>
      <c r="T694" s="697">
        <v>0.23100000000000001</v>
      </c>
      <c r="U694" s="372" t="s">
        <v>5118</v>
      </c>
      <c r="V694" s="722">
        <v>5.35</v>
      </c>
      <c r="W694" s="722">
        <v>0.56999999999999995</v>
      </c>
      <c r="X694" s="722">
        <v>0.91</v>
      </c>
      <c r="Y694" s="722">
        <v>7</v>
      </c>
      <c r="Z694" s="382">
        <v>4.7514841751430836E-2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3273.75</v>
      </c>
      <c r="AF694" s="372">
        <v>3588.25</v>
      </c>
      <c r="AG694" s="372">
        <v>3910</v>
      </c>
      <c r="AH694" s="372">
        <v>0</v>
      </c>
    </row>
    <row r="695" spans="1:34">
      <c r="A695" s="372" t="s">
        <v>5119</v>
      </c>
      <c r="B695" s="373" t="s">
        <v>5120</v>
      </c>
      <c r="C695" s="372" t="s">
        <v>5121</v>
      </c>
      <c r="D695" s="374">
        <v>1101110065395</v>
      </c>
      <c r="E695" s="372" t="s">
        <v>5122</v>
      </c>
      <c r="F695" s="375" t="s">
        <v>2744</v>
      </c>
      <c r="G695" s="375" t="s">
        <v>2745</v>
      </c>
      <c r="H695" s="375" t="s">
        <v>809</v>
      </c>
      <c r="I695" s="375" t="s">
        <v>751</v>
      </c>
      <c r="J695" s="375">
        <v>830676.63083000004</v>
      </c>
      <c r="K695" s="375">
        <v>18033.761050000001</v>
      </c>
      <c r="L695" s="375">
        <v>18334.947219999998</v>
      </c>
      <c r="M695" s="375">
        <v>512614.91184000002</v>
      </c>
      <c r="N695" s="372">
        <v>0.97499999999999998</v>
      </c>
      <c r="O695" s="704">
        <v>64.152179769675627</v>
      </c>
      <c r="P695" s="375" t="s">
        <v>619</v>
      </c>
      <c r="Q695" s="372" t="s">
        <v>619</v>
      </c>
      <c r="R695" s="696">
        <v>19870324</v>
      </c>
      <c r="S695" s="372" t="s">
        <v>5123</v>
      </c>
      <c r="T695" s="697">
        <v>0.20900000000000002</v>
      </c>
      <c r="U695" s="372" t="s">
        <v>5124</v>
      </c>
      <c r="V695" s="722">
        <v>7.48</v>
      </c>
      <c r="W695" s="722">
        <v>0.43</v>
      </c>
      <c r="X695" s="722">
        <v>0.27</v>
      </c>
      <c r="Y695" s="722">
        <v>10.69</v>
      </c>
      <c r="Z695" s="382" t="s">
        <v>924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5125</v>
      </c>
      <c r="B696" s="373" t="s">
        <v>5126</v>
      </c>
      <c r="C696" s="372" t="s">
        <v>5127</v>
      </c>
      <c r="D696" s="374">
        <v>1101110707674</v>
      </c>
      <c r="E696" s="372" t="s">
        <v>5128</v>
      </c>
      <c r="F696" s="372" t="s">
        <v>5129</v>
      </c>
      <c r="G696" s="375" t="s">
        <v>5130</v>
      </c>
      <c r="H696" s="375" t="s">
        <v>3096</v>
      </c>
      <c r="I696" s="375" t="s">
        <v>859</v>
      </c>
      <c r="J696" s="375">
        <v>2772181.4481600001</v>
      </c>
      <c r="K696" s="375">
        <v>64014.789830000002</v>
      </c>
      <c r="L696" s="375">
        <v>50812.185599999997</v>
      </c>
      <c r="M696" s="375">
        <v>404941.09278000001</v>
      </c>
      <c r="N696" s="372">
        <v>0.76500000000000001</v>
      </c>
      <c r="O696" s="704">
        <v>54.99017540654301</v>
      </c>
      <c r="P696" s="375" t="s">
        <v>619</v>
      </c>
      <c r="Q696" s="372" t="s">
        <v>619</v>
      </c>
      <c r="R696" s="696">
        <v>20000519</v>
      </c>
      <c r="S696" s="372" t="s">
        <v>5131</v>
      </c>
      <c r="T696" s="697">
        <v>0.23100000000000001</v>
      </c>
      <c r="U696" s="375" t="s">
        <v>5132</v>
      </c>
      <c r="V696" s="722">
        <v>6.82</v>
      </c>
      <c r="W696" s="722">
        <v>0.76</v>
      </c>
      <c r="X696" s="722">
        <v>0.11</v>
      </c>
      <c r="Y696" s="722">
        <v>5.46</v>
      </c>
      <c r="Z696" s="382" t="s">
        <v>924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5133</v>
      </c>
      <c r="B697" s="373" t="s">
        <v>5134</v>
      </c>
      <c r="C697" s="372" t="s">
        <v>5135</v>
      </c>
      <c r="D697" s="374">
        <v>1101110339542</v>
      </c>
      <c r="E697" s="372" t="s">
        <v>5136</v>
      </c>
      <c r="F697" s="375" t="s">
        <v>1320</v>
      </c>
      <c r="G697" s="375" t="s">
        <v>16103</v>
      </c>
      <c r="H697" s="375" t="s">
        <v>781</v>
      </c>
      <c r="I697" s="375" t="s">
        <v>751</v>
      </c>
      <c r="J697" s="375">
        <v>251728.77770999999</v>
      </c>
      <c r="K697" s="375">
        <v>27033.16836</v>
      </c>
      <c r="L697" s="375">
        <v>31572.05359</v>
      </c>
      <c r="M697" s="375">
        <v>374156.27768</v>
      </c>
      <c r="N697" s="372">
        <v>0.59599999999999997</v>
      </c>
      <c r="O697" s="704">
        <v>0.24581597541006253</v>
      </c>
      <c r="P697" s="375" t="s">
        <v>619</v>
      </c>
      <c r="Q697" s="372" t="s">
        <v>619</v>
      </c>
      <c r="R697" s="696">
        <v>19960703</v>
      </c>
      <c r="S697" s="375" t="s">
        <v>5137</v>
      </c>
      <c r="T697" s="697">
        <v>0.23100000000000001</v>
      </c>
      <c r="U697" s="375" t="s">
        <v>5138</v>
      </c>
      <c r="V697" s="722">
        <v>7.12</v>
      </c>
      <c r="W697" s="722">
        <v>0.65</v>
      </c>
      <c r="X697" s="722">
        <v>0.99</v>
      </c>
      <c r="Y697" s="722">
        <v>9.08</v>
      </c>
      <c r="Z697" s="382">
        <v>6.4556334452051445E-2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2582.5</v>
      </c>
      <c r="AF697" s="372">
        <v>2757</v>
      </c>
      <c r="AG697" s="372">
        <v>2959</v>
      </c>
      <c r="AH697" s="372">
        <v>0</v>
      </c>
    </row>
    <row r="698" spans="1:34">
      <c r="A698" s="372" t="s">
        <v>5139</v>
      </c>
      <c r="B698" s="373" t="s">
        <v>5140</v>
      </c>
      <c r="C698" s="372" t="s">
        <v>5141</v>
      </c>
      <c r="D698" s="374">
        <v>1101116865103</v>
      </c>
      <c r="E698" s="372" t="s">
        <v>5142</v>
      </c>
      <c r="F698" s="375" t="s">
        <v>1747</v>
      </c>
      <c r="G698" s="375" t="s">
        <v>1747</v>
      </c>
      <c r="H698" s="375" t="s">
        <v>858</v>
      </c>
      <c r="I698" s="375" t="s">
        <v>859</v>
      </c>
      <c r="J698" s="375">
        <v>5966.6994299999997</v>
      </c>
      <c r="K698" s="375">
        <v>-12199.120639999999</v>
      </c>
      <c r="L698" s="375">
        <v>-12305.121789999999</v>
      </c>
      <c r="M698" s="375">
        <v>45657.183270000001</v>
      </c>
      <c r="N698" s="372" t="s">
        <v>1023</v>
      </c>
      <c r="O698" s="704">
        <v>2.016281852341578</v>
      </c>
      <c r="P698" s="375" t="s">
        <v>619</v>
      </c>
      <c r="Q698" s="375" t="s">
        <v>619</v>
      </c>
      <c r="R698" s="696">
        <v>20230810</v>
      </c>
      <c r="S698" s="375" t="s">
        <v>5143</v>
      </c>
      <c r="T698" s="697" t="s">
        <v>768</v>
      </c>
      <c r="U698" s="375" t="s">
        <v>5144</v>
      </c>
      <c r="V698" s="722" t="s">
        <v>770</v>
      </c>
      <c r="W698" s="722">
        <v>6.52</v>
      </c>
      <c r="X698" s="722">
        <v>49.76</v>
      </c>
      <c r="Y698" s="722" t="s">
        <v>770</v>
      </c>
      <c r="Z698" s="382" t="s">
        <v>924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5145</v>
      </c>
      <c r="B699" s="373" t="s">
        <v>5146</v>
      </c>
      <c r="C699" s="372" t="s">
        <v>5147</v>
      </c>
      <c r="D699" s="374">
        <v>1101115192036</v>
      </c>
      <c r="E699" s="372" t="s">
        <v>5148</v>
      </c>
      <c r="F699" s="375" t="s">
        <v>1072</v>
      </c>
      <c r="G699" s="375" t="s">
        <v>1527</v>
      </c>
      <c r="H699" s="375" t="s">
        <v>1528</v>
      </c>
      <c r="I699" s="375" t="s">
        <v>859</v>
      </c>
      <c r="J699" s="375">
        <v>197306.80460999999</v>
      </c>
      <c r="K699" s="375">
        <v>21313.570019999999</v>
      </c>
      <c r="L699" s="375">
        <v>24920.835060000001</v>
      </c>
      <c r="M699" s="375">
        <v>139890.62749000001</v>
      </c>
      <c r="N699" s="372">
        <v>0.59499999999999997</v>
      </c>
      <c r="O699" s="704">
        <v>17.962762449556667</v>
      </c>
      <c r="P699" s="375" t="s">
        <v>619</v>
      </c>
      <c r="Q699" s="375" t="s">
        <v>619</v>
      </c>
      <c r="R699" s="696">
        <v>20131121</v>
      </c>
      <c r="S699" s="372" t="s">
        <v>5149</v>
      </c>
      <c r="T699" s="697">
        <v>0.23100000000000001</v>
      </c>
      <c r="U699" s="372" t="s">
        <v>5150</v>
      </c>
      <c r="V699" s="722">
        <v>8.27</v>
      </c>
      <c r="W699" s="722">
        <v>1.37</v>
      </c>
      <c r="X699" s="722">
        <v>0.98</v>
      </c>
      <c r="Y699" s="722">
        <v>11.58</v>
      </c>
      <c r="Z699" s="382" t="s">
        <v>924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5151</v>
      </c>
      <c r="B700" s="373" t="s">
        <v>5152</v>
      </c>
      <c r="C700" s="372" t="s">
        <v>5153</v>
      </c>
      <c r="D700" s="374">
        <v>1348110045535</v>
      </c>
      <c r="E700" s="372" t="s">
        <v>5154</v>
      </c>
      <c r="F700" s="375" t="s">
        <v>1959</v>
      </c>
      <c r="G700" s="375" t="s">
        <v>1959</v>
      </c>
      <c r="H700" s="375" t="s">
        <v>858</v>
      </c>
      <c r="I700" s="375" t="s">
        <v>859</v>
      </c>
      <c r="J700" s="375">
        <v>350541.01923999999</v>
      </c>
      <c r="K700" s="375">
        <v>-31291.571540000001</v>
      </c>
      <c r="L700" s="375">
        <v>-42748.083749999998</v>
      </c>
      <c r="M700" s="375">
        <v>79250.831200000001</v>
      </c>
      <c r="N700" s="372">
        <v>0.99</v>
      </c>
      <c r="O700" s="704">
        <v>145.14938190899255</v>
      </c>
      <c r="P700" s="375" t="s">
        <v>619</v>
      </c>
      <c r="Q700" s="375" t="s">
        <v>619</v>
      </c>
      <c r="R700" s="696">
        <v>20151207</v>
      </c>
      <c r="S700" s="375" t="s">
        <v>5155</v>
      </c>
      <c r="T700" s="697" t="s">
        <v>768</v>
      </c>
      <c r="U700" s="372" t="s">
        <v>5156</v>
      </c>
      <c r="V700" s="722" t="s">
        <v>770</v>
      </c>
      <c r="W700" s="722">
        <v>1.45</v>
      </c>
      <c r="X700" s="722">
        <v>0.44</v>
      </c>
      <c r="Y700" s="722" t="s">
        <v>770</v>
      </c>
      <c r="Z700" s="382" t="s">
        <v>924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5157</v>
      </c>
      <c r="B701" s="373" t="s">
        <v>5158</v>
      </c>
      <c r="C701" s="372" t="s">
        <v>5159</v>
      </c>
      <c r="D701" s="374">
        <v>1101110019962</v>
      </c>
      <c r="E701" s="372" t="s">
        <v>5160</v>
      </c>
      <c r="F701" s="372" t="s">
        <v>1259</v>
      </c>
      <c r="G701" s="375" t="s">
        <v>1260</v>
      </c>
      <c r="H701" s="375" t="s">
        <v>1261</v>
      </c>
      <c r="I701" s="375" t="s">
        <v>751</v>
      </c>
      <c r="J701" s="375">
        <v>0</v>
      </c>
      <c r="K701" s="375">
        <v>0</v>
      </c>
      <c r="L701" s="375">
        <v>0</v>
      </c>
      <c r="M701" s="375">
        <v>0</v>
      </c>
      <c r="N701" s="372">
        <v>0.73499999999999999</v>
      </c>
      <c r="O701" s="704" t="s">
        <v>16298</v>
      </c>
      <c r="P701" s="375" t="s">
        <v>619</v>
      </c>
      <c r="Q701" s="375" t="s">
        <v>619</v>
      </c>
      <c r="R701" s="696">
        <v>19900609</v>
      </c>
      <c r="S701" s="372" t="s">
        <v>5161</v>
      </c>
      <c r="T701" s="697" t="s">
        <v>768</v>
      </c>
      <c r="U701" s="375" t="s">
        <v>5162</v>
      </c>
      <c r="V701" s="722">
        <v>0</v>
      </c>
      <c r="W701" s="722">
        <v>0</v>
      </c>
      <c r="X701" s="722">
        <v>0</v>
      </c>
      <c r="Y701" s="722">
        <v>0</v>
      </c>
      <c r="Z701" s="382" t="s">
        <v>924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5163</v>
      </c>
      <c r="B702" s="373" t="s">
        <v>5164</v>
      </c>
      <c r="C702" s="372" t="s">
        <v>5165</v>
      </c>
      <c r="D702" s="374">
        <v>1101115340065</v>
      </c>
      <c r="E702" s="372" t="s">
        <v>5166</v>
      </c>
      <c r="F702" s="375" t="s">
        <v>1367</v>
      </c>
      <c r="G702" s="375" t="s">
        <v>1367</v>
      </c>
      <c r="H702" s="375" t="s">
        <v>858</v>
      </c>
      <c r="I702" s="375" t="s">
        <v>859</v>
      </c>
      <c r="J702" s="375">
        <v>1632.6899699999999</v>
      </c>
      <c r="K702" s="375">
        <v>-11471.863439999999</v>
      </c>
      <c r="L702" s="375">
        <v>-12327.960080000001</v>
      </c>
      <c r="M702" s="375">
        <v>2938.3362999999999</v>
      </c>
      <c r="N702" s="372">
        <v>1.0269999999999999</v>
      </c>
      <c r="O702" s="704">
        <v>12.222536486157907</v>
      </c>
      <c r="P702" s="375" t="s">
        <v>619</v>
      </c>
      <c r="Q702" s="372" t="s">
        <v>619</v>
      </c>
      <c r="R702" s="696">
        <v>20191211</v>
      </c>
      <c r="S702" s="372" t="s">
        <v>5167</v>
      </c>
      <c r="T702" s="697" t="s">
        <v>768</v>
      </c>
      <c r="U702" s="372" t="s">
        <v>5168</v>
      </c>
      <c r="V702" s="722" t="s">
        <v>770</v>
      </c>
      <c r="W702" s="722">
        <v>84.27</v>
      </c>
      <c r="X702" s="722">
        <v>151.69</v>
      </c>
      <c r="Y702" s="722" t="s">
        <v>770</v>
      </c>
      <c r="Z702" s="382">
        <v>0.77127505221549764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24</v>
      </c>
      <c r="AF702" s="372">
        <v>135</v>
      </c>
      <c r="AG702" s="372">
        <v>245</v>
      </c>
      <c r="AH702" s="372">
        <v>0</v>
      </c>
    </row>
    <row r="703" spans="1:34">
      <c r="A703" s="372" t="s">
        <v>5169</v>
      </c>
      <c r="B703" s="373" t="s">
        <v>5170</v>
      </c>
      <c r="C703" s="372" t="s">
        <v>5171</v>
      </c>
      <c r="D703" s="374">
        <v>1101110161317</v>
      </c>
      <c r="E703" s="372" t="s">
        <v>5172</v>
      </c>
      <c r="F703" s="375" t="s">
        <v>2004</v>
      </c>
      <c r="G703" s="375" t="s">
        <v>2004</v>
      </c>
      <c r="H703" s="375" t="s">
        <v>789</v>
      </c>
      <c r="I703" s="375" t="s">
        <v>751</v>
      </c>
      <c r="J703" s="375">
        <v>277027.96243000001</v>
      </c>
      <c r="K703" s="375">
        <v>20014.83639</v>
      </c>
      <c r="L703" s="375">
        <v>36553.064619999997</v>
      </c>
      <c r="M703" s="375">
        <v>459046.92093000002</v>
      </c>
      <c r="N703" s="372">
        <v>0.6</v>
      </c>
      <c r="O703" s="704">
        <v>0.51336961177810658</v>
      </c>
      <c r="P703" s="375" t="s">
        <v>619</v>
      </c>
      <c r="Q703" s="375" t="s">
        <v>619</v>
      </c>
      <c r="R703" s="696">
        <v>19940114</v>
      </c>
      <c r="S703" s="375" t="s">
        <v>5173</v>
      </c>
      <c r="T703" s="697">
        <v>0.23100000000000001</v>
      </c>
      <c r="U703" s="372" t="s">
        <v>5174</v>
      </c>
      <c r="V703" s="722">
        <v>11.3</v>
      </c>
      <c r="W703" s="722">
        <v>0.6</v>
      </c>
      <c r="X703" s="722">
        <v>1.04</v>
      </c>
      <c r="Y703" s="722">
        <v>9.65</v>
      </c>
      <c r="Z703" s="382" t="s">
        <v>924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5175</v>
      </c>
      <c r="B704" s="373" t="s">
        <v>5176</v>
      </c>
      <c r="C704" s="372" t="s">
        <v>5177</v>
      </c>
      <c r="D704" s="374">
        <v>1101112149436</v>
      </c>
      <c r="E704" s="372" t="s">
        <v>5178</v>
      </c>
      <c r="F704" s="372" t="s">
        <v>4733</v>
      </c>
      <c r="G704" s="375" t="s">
        <v>5179</v>
      </c>
      <c r="H704" s="375" t="s">
        <v>814</v>
      </c>
      <c r="I704" s="375" t="s">
        <v>751</v>
      </c>
      <c r="J704" s="375">
        <v>1027510.56679</v>
      </c>
      <c r="K704" s="375">
        <v>-16472.969949999999</v>
      </c>
      <c r="L704" s="375">
        <v>-138303.42389999999</v>
      </c>
      <c r="M704" s="375">
        <v>731370.61676999996</v>
      </c>
      <c r="N704" s="372">
        <v>0.53700000000000003</v>
      </c>
      <c r="O704" s="704">
        <v>83.285539619479465</v>
      </c>
      <c r="P704" s="375" t="s">
        <v>619</v>
      </c>
      <c r="Q704" s="372" t="s">
        <v>619</v>
      </c>
      <c r="R704" s="696">
        <v>20110603</v>
      </c>
      <c r="S704" s="372" t="s">
        <v>5180</v>
      </c>
      <c r="T704" s="697" t="s">
        <v>768</v>
      </c>
      <c r="U704" s="375" t="s">
        <v>5181</v>
      </c>
      <c r="V704" s="722">
        <v>1.54</v>
      </c>
      <c r="W704" s="722">
        <v>0.34</v>
      </c>
      <c r="X704" s="722">
        <v>0.23</v>
      </c>
      <c r="Y704" s="722" t="s">
        <v>770</v>
      </c>
      <c r="Z704" s="382">
        <v>1.1360360273814818E-2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10297</v>
      </c>
      <c r="AF704" s="372">
        <v>10495.38</v>
      </c>
      <c r="AG704" s="372">
        <v>10730</v>
      </c>
      <c r="AH704" s="372">
        <v>0</v>
      </c>
    </row>
    <row r="705" spans="1:34">
      <c r="A705" s="372" t="s">
        <v>5182</v>
      </c>
      <c r="B705" s="373" t="s">
        <v>5183</v>
      </c>
      <c r="C705" s="372" t="s">
        <v>5184</v>
      </c>
      <c r="D705" s="374">
        <v>1101115554418</v>
      </c>
      <c r="E705" s="372" t="s">
        <v>5185</v>
      </c>
      <c r="F705" s="375" t="s">
        <v>2839</v>
      </c>
      <c r="G705" s="375" t="s">
        <v>4675</v>
      </c>
      <c r="H705" s="375" t="s">
        <v>823</v>
      </c>
      <c r="I705" s="375" t="s">
        <v>751</v>
      </c>
      <c r="J705" s="375">
        <v>440322.08980000002</v>
      </c>
      <c r="K705" s="375">
        <v>35343.605629999998</v>
      </c>
      <c r="L705" s="375">
        <v>32393.739140000001</v>
      </c>
      <c r="M705" s="375">
        <v>387386.26530000003</v>
      </c>
      <c r="N705" s="372">
        <v>0.316</v>
      </c>
      <c r="O705" s="704">
        <v>81.377189836647119</v>
      </c>
      <c r="P705" s="375" t="s">
        <v>619</v>
      </c>
      <c r="Q705" s="375" t="s">
        <v>619</v>
      </c>
      <c r="R705" s="696">
        <v>20171129</v>
      </c>
      <c r="S705" s="375" t="s">
        <v>5186</v>
      </c>
      <c r="T705" s="697">
        <v>0.23100000000000001</v>
      </c>
      <c r="U705" s="375" t="s">
        <v>5187</v>
      </c>
      <c r="V705" s="722">
        <v>6.8</v>
      </c>
      <c r="W705" s="722">
        <v>0.69</v>
      </c>
      <c r="X705" s="722">
        <v>0.62</v>
      </c>
      <c r="Y705" s="722">
        <v>10.130000000000001</v>
      </c>
      <c r="Z705" s="382">
        <v>5.3546037743741115E-2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4626.5</v>
      </c>
      <c r="AF705" s="372">
        <v>4855</v>
      </c>
      <c r="AG705" s="372">
        <v>5195</v>
      </c>
      <c r="AH705" s="372">
        <v>0</v>
      </c>
    </row>
    <row r="706" spans="1:34">
      <c r="A706" s="372" t="s">
        <v>5188</v>
      </c>
      <c r="B706" s="373" t="s">
        <v>5189</v>
      </c>
      <c r="C706" s="372" t="s">
        <v>5190</v>
      </c>
      <c r="D706" s="374">
        <v>1101110376148</v>
      </c>
      <c r="E706" s="372" t="s">
        <v>5191</v>
      </c>
      <c r="F706" s="375" t="s">
        <v>2702</v>
      </c>
      <c r="G706" s="375" t="s">
        <v>5192</v>
      </c>
      <c r="H706" s="375" t="s">
        <v>858</v>
      </c>
      <c r="I706" s="375" t="s">
        <v>859</v>
      </c>
      <c r="J706" s="375">
        <v>1427163.9496299999</v>
      </c>
      <c r="K706" s="375">
        <v>55937.342550000001</v>
      </c>
      <c r="L706" s="375">
        <v>50491.936809999999</v>
      </c>
      <c r="M706" s="375">
        <v>1257486.6982100001</v>
      </c>
      <c r="N706" s="372">
        <v>0.73899999999999999</v>
      </c>
      <c r="O706" s="704">
        <v>426.722374671936</v>
      </c>
      <c r="P706" s="375" t="s">
        <v>619</v>
      </c>
      <c r="Q706" s="375" t="s">
        <v>619</v>
      </c>
      <c r="R706" s="696">
        <v>19940930</v>
      </c>
      <c r="S706" s="375" t="s">
        <v>5193</v>
      </c>
      <c r="T706" s="697">
        <v>0.23100000000000001</v>
      </c>
      <c r="U706" s="372" t="s">
        <v>5194</v>
      </c>
      <c r="V706" s="722">
        <v>15.44</v>
      </c>
      <c r="W706" s="722">
        <v>0.25</v>
      </c>
      <c r="X706" s="722">
        <v>0.19</v>
      </c>
      <c r="Y706" s="722">
        <v>7.19</v>
      </c>
      <c r="Z706" s="382" t="s">
        <v>924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5195</v>
      </c>
      <c r="B707" s="373" t="s">
        <v>5196</v>
      </c>
      <c r="C707" s="372" t="s">
        <v>5197</v>
      </c>
      <c r="D707" s="374">
        <v>1942110066763</v>
      </c>
      <c r="E707" s="372" t="s">
        <v>5198</v>
      </c>
      <c r="F707" s="375" t="s">
        <v>1038</v>
      </c>
      <c r="G707" s="375" t="s">
        <v>3164</v>
      </c>
      <c r="H707" s="375" t="s">
        <v>1040</v>
      </c>
      <c r="I707" s="375" t="s">
        <v>751</v>
      </c>
      <c r="J707" s="375">
        <v>718259.77468999999</v>
      </c>
      <c r="K707" s="375">
        <v>46889.352740000002</v>
      </c>
      <c r="L707" s="375">
        <v>29294.816299999999</v>
      </c>
      <c r="M707" s="375">
        <v>273575.15898000001</v>
      </c>
      <c r="N707" s="372">
        <v>0.997</v>
      </c>
      <c r="O707" s="704">
        <v>75.580384810993294</v>
      </c>
      <c r="P707" s="375" t="s">
        <v>619</v>
      </c>
      <c r="Q707" s="372" t="s">
        <v>619</v>
      </c>
      <c r="R707" s="696">
        <v>20040510</v>
      </c>
      <c r="S707" s="372" t="s">
        <v>5199</v>
      </c>
      <c r="T707" s="697">
        <v>0.23100000000000001</v>
      </c>
      <c r="U707" s="372" t="s">
        <v>5200</v>
      </c>
      <c r="V707" s="722">
        <v>11.07</v>
      </c>
      <c r="W707" s="722">
        <v>1.83</v>
      </c>
      <c r="X707" s="722">
        <v>0.7</v>
      </c>
      <c r="Y707" s="722">
        <v>18.18</v>
      </c>
      <c r="Z707" s="382">
        <v>7.8415486516167698E-2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7055</v>
      </c>
      <c r="AF707" s="372">
        <v>7894</v>
      </c>
      <c r="AG707" s="372">
        <v>8526</v>
      </c>
      <c r="AH707" s="372">
        <v>0</v>
      </c>
    </row>
    <row r="708" spans="1:34">
      <c r="A708" s="372" t="s">
        <v>5201</v>
      </c>
      <c r="B708" s="373" t="s">
        <v>5202</v>
      </c>
      <c r="C708" s="372" t="s">
        <v>5203</v>
      </c>
      <c r="D708" s="374">
        <v>1311110396927</v>
      </c>
      <c r="E708" s="372" t="s">
        <v>5204</v>
      </c>
      <c r="F708" s="375" t="s">
        <v>1707</v>
      </c>
      <c r="G708" s="375" t="s">
        <v>1708</v>
      </c>
      <c r="H708" s="375" t="s">
        <v>858</v>
      </c>
      <c r="I708" s="375" t="s">
        <v>859</v>
      </c>
      <c r="J708" s="375">
        <v>0</v>
      </c>
      <c r="K708" s="375">
        <v>0</v>
      </c>
      <c r="L708" s="375">
        <v>0</v>
      </c>
      <c r="M708" s="375">
        <v>65749.293220000007</v>
      </c>
      <c r="N708" s="372">
        <v>1.0820000000000001</v>
      </c>
      <c r="O708" s="704">
        <v>19.227826732498677</v>
      </c>
      <c r="P708" s="375" t="s">
        <v>619</v>
      </c>
      <c r="Q708" s="375" t="s">
        <v>619</v>
      </c>
      <c r="R708" s="696">
        <v>20170724</v>
      </c>
      <c r="S708" s="375" t="s">
        <v>5205</v>
      </c>
      <c r="T708" s="697" t="s">
        <v>768</v>
      </c>
      <c r="U708" s="375" t="s">
        <v>5206</v>
      </c>
      <c r="V708" s="722">
        <v>0</v>
      </c>
      <c r="W708" s="722">
        <v>3.36</v>
      </c>
      <c r="X708" s="722">
        <v>0</v>
      </c>
      <c r="Y708" s="722">
        <v>0</v>
      </c>
      <c r="Z708" s="382" t="s">
        <v>924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5207</v>
      </c>
      <c r="B709" s="373" t="s">
        <v>5208</v>
      </c>
      <c r="C709" s="372" t="s">
        <v>5209</v>
      </c>
      <c r="D709" s="374">
        <v>1101111342289</v>
      </c>
      <c r="E709" s="372" t="s">
        <v>5209</v>
      </c>
      <c r="F709" s="375" t="s">
        <v>2515</v>
      </c>
      <c r="G709" s="375" t="s">
        <v>2515</v>
      </c>
      <c r="H709" s="375" t="s">
        <v>814</v>
      </c>
      <c r="I709" s="375" t="s">
        <v>751</v>
      </c>
      <c r="J709" s="375">
        <v>180484.02338</v>
      </c>
      <c r="K709" s="375">
        <v>-1479.19192</v>
      </c>
      <c r="L709" s="375">
        <v>-960.35828000000004</v>
      </c>
      <c r="M709" s="375">
        <v>167769.05132999999</v>
      </c>
      <c r="N709" s="372">
        <v>0.63100000000000001</v>
      </c>
      <c r="O709" s="704">
        <v>3.7662380501896888</v>
      </c>
      <c r="P709" s="375" t="s">
        <v>619</v>
      </c>
      <c r="Q709" s="372" t="s">
        <v>619</v>
      </c>
      <c r="R709" s="696">
        <v>20030801</v>
      </c>
      <c r="S709" s="372" t="s">
        <v>5210</v>
      </c>
      <c r="T709" s="697" t="s">
        <v>768</v>
      </c>
      <c r="U709" s="372" t="s">
        <v>5211</v>
      </c>
      <c r="V709" s="722">
        <v>78.89</v>
      </c>
      <c r="W709" s="722">
        <v>1.07</v>
      </c>
      <c r="X709" s="722">
        <v>0.97</v>
      </c>
      <c r="Y709" s="722" t="s">
        <v>770</v>
      </c>
      <c r="Z709" s="382">
        <v>0.1090203826144811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1905</v>
      </c>
      <c r="AF709" s="372">
        <v>2654</v>
      </c>
      <c r="AG709" s="372">
        <v>3383</v>
      </c>
      <c r="AH709" s="372">
        <v>3560</v>
      </c>
    </row>
    <row r="710" spans="1:34">
      <c r="A710" s="372" t="s">
        <v>5212</v>
      </c>
      <c r="B710" s="373" t="s">
        <v>5213</v>
      </c>
      <c r="C710" s="372" t="s">
        <v>5214</v>
      </c>
      <c r="D710" s="374">
        <v>1243110033235</v>
      </c>
      <c r="E710" s="372" t="s">
        <v>5215</v>
      </c>
      <c r="F710" s="375" t="s">
        <v>1300</v>
      </c>
      <c r="G710" s="375" t="s">
        <v>1300</v>
      </c>
      <c r="H710" s="375" t="s">
        <v>858</v>
      </c>
      <c r="I710" s="375" t="s">
        <v>859</v>
      </c>
      <c r="J710" s="375">
        <v>625490.10028000001</v>
      </c>
      <c r="K710" s="375">
        <v>29768.32978</v>
      </c>
      <c r="L710" s="375">
        <v>-40703.125590000003</v>
      </c>
      <c r="M710" s="375">
        <v>1259480.4825500001</v>
      </c>
      <c r="N710" s="372">
        <v>1.2929999999999999</v>
      </c>
      <c r="O710" s="704">
        <v>290.37294655662669</v>
      </c>
      <c r="P710" s="375" t="s">
        <v>619</v>
      </c>
      <c r="Q710" s="372" t="s">
        <v>619</v>
      </c>
      <c r="R710" s="696">
        <v>19960924</v>
      </c>
      <c r="S710" s="375" t="s">
        <v>5216</v>
      </c>
      <c r="T710" s="697" t="s">
        <v>768</v>
      </c>
      <c r="U710" s="375" t="s">
        <v>5217</v>
      </c>
      <c r="V710" s="722">
        <v>10.02</v>
      </c>
      <c r="W710" s="722">
        <v>0.2</v>
      </c>
      <c r="X710" s="722">
        <v>0.31</v>
      </c>
      <c r="Y710" s="722" t="s">
        <v>770</v>
      </c>
      <c r="Z710" s="382" t="s">
        <v>924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5218</v>
      </c>
      <c r="B711" s="373" t="s">
        <v>5219</v>
      </c>
      <c r="C711" s="372" t="s">
        <v>5220</v>
      </c>
      <c r="D711" s="374">
        <v>1101110700555</v>
      </c>
      <c r="E711" s="372" t="s">
        <v>5221</v>
      </c>
      <c r="F711" s="375" t="s">
        <v>1959</v>
      </c>
      <c r="G711" s="375" t="s">
        <v>1959</v>
      </c>
      <c r="H711" s="375" t="s">
        <v>858</v>
      </c>
      <c r="I711" s="375" t="s">
        <v>859</v>
      </c>
      <c r="J711" s="375">
        <v>94529.332980000007</v>
      </c>
      <c r="K711" s="375">
        <v>8144.3035</v>
      </c>
      <c r="L711" s="375">
        <v>8130.6161499999998</v>
      </c>
      <c r="M711" s="375">
        <v>74024.895420000001</v>
      </c>
      <c r="N711" s="372">
        <v>0.98299999999999998</v>
      </c>
      <c r="O711" s="704">
        <v>18.437919528080336</v>
      </c>
      <c r="P711" s="375" t="s">
        <v>619</v>
      </c>
      <c r="Q711" s="372" t="s">
        <v>619</v>
      </c>
      <c r="R711" s="696">
        <v>20170920</v>
      </c>
      <c r="S711" s="372" t="s">
        <v>5222</v>
      </c>
      <c r="T711" s="697">
        <v>0.20900000000000002</v>
      </c>
      <c r="U711" s="372" t="s">
        <v>5223</v>
      </c>
      <c r="V711" s="722">
        <v>38.75</v>
      </c>
      <c r="W711" s="722">
        <v>6.26</v>
      </c>
      <c r="X711" s="722">
        <v>5.21</v>
      </c>
      <c r="Y711" s="722">
        <v>65.89</v>
      </c>
      <c r="Z711" s="382">
        <v>0.64575966804716312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1311.5</v>
      </c>
      <c r="AF711" s="372">
        <v>3319.5</v>
      </c>
      <c r="AG711" s="372">
        <v>4578.67</v>
      </c>
      <c r="AH711" s="372">
        <v>0</v>
      </c>
    </row>
    <row r="712" spans="1:34">
      <c r="A712" s="372" t="s">
        <v>5224</v>
      </c>
      <c r="B712" s="373" t="s">
        <v>5225</v>
      </c>
      <c r="C712" s="372" t="s">
        <v>5226</v>
      </c>
      <c r="D712" s="374">
        <v>1801110181428</v>
      </c>
      <c r="E712" s="372" t="s">
        <v>5227</v>
      </c>
      <c r="F712" s="375" t="s">
        <v>5228</v>
      </c>
      <c r="G712" s="375" t="s">
        <v>5229</v>
      </c>
      <c r="H712" s="375" t="s">
        <v>4844</v>
      </c>
      <c r="I712" s="375" t="s">
        <v>859</v>
      </c>
      <c r="J712" s="375">
        <v>113573.28036999999</v>
      </c>
      <c r="K712" s="375">
        <v>12330.77082</v>
      </c>
      <c r="L712" s="375">
        <v>14443.22688</v>
      </c>
      <c r="M712" s="375">
        <v>163223.96515</v>
      </c>
      <c r="N712" s="372">
        <v>0.79300000000000004</v>
      </c>
      <c r="O712" s="704">
        <v>5.3953403142774123E-2</v>
      </c>
      <c r="P712" s="375" t="s">
        <v>619</v>
      </c>
      <c r="Q712" s="372" t="s">
        <v>619</v>
      </c>
      <c r="R712" s="696">
        <v>20020208</v>
      </c>
      <c r="S712" s="372" t="s">
        <v>5230</v>
      </c>
      <c r="T712" s="697">
        <v>0.20900000000000002</v>
      </c>
      <c r="U712" s="372" t="s">
        <v>5231</v>
      </c>
      <c r="V712" s="722">
        <v>0</v>
      </c>
      <c r="W712" s="722">
        <v>0</v>
      </c>
      <c r="X712" s="722">
        <v>0</v>
      </c>
      <c r="Y712" s="722">
        <v>0</v>
      </c>
      <c r="Z712" s="382" t="s">
        <v>924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5232</v>
      </c>
      <c r="B713" s="373" t="s">
        <v>5233</v>
      </c>
      <c r="C713" s="372" t="s">
        <v>5234</v>
      </c>
      <c r="D713" s="374">
        <v>1101116265410</v>
      </c>
      <c r="E713" s="372" t="s">
        <v>5235</v>
      </c>
      <c r="F713" s="375" t="s">
        <v>766</v>
      </c>
      <c r="G713" s="375" t="s">
        <v>766</v>
      </c>
      <c r="H713" s="375" t="s">
        <v>750</v>
      </c>
      <c r="I713" s="375" t="s">
        <v>751</v>
      </c>
      <c r="J713" s="375">
        <v>424318.95331000001</v>
      </c>
      <c r="K713" s="375">
        <v>-7788.0505400000002</v>
      </c>
      <c r="L713" s="375">
        <v>-35864.056020000004</v>
      </c>
      <c r="M713" s="375">
        <v>363656.03308000002</v>
      </c>
      <c r="N713" s="372">
        <v>1.395</v>
      </c>
      <c r="O713" s="704">
        <v>8.6584743854359925</v>
      </c>
      <c r="P713" s="375" t="s">
        <v>619</v>
      </c>
      <c r="Q713" s="375" t="s">
        <v>619</v>
      </c>
      <c r="R713" s="696">
        <v>20191119</v>
      </c>
      <c r="S713" s="375" t="s">
        <v>5236</v>
      </c>
      <c r="T713" s="697" t="s">
        <v>768</v>
      </c>
      <c r="U713" s="372" t="s">
        <v>15867</v>
      </c>
      <c r="V713" s="722">
        <v>70.3</v>
      </c>
      <c r="W713" s="722">
        <v>0.78</v>
      </c>
      <c r="X713" s="722">
        <v>0.67</v>
      </c>
      <c r="Y713" s="722" t="s">
        <v>770</v>
      </c>
      <c r="Z713" s="382">
        <v>8.4437766750999899E-3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4142</v>
      </c>
      <c r="AF713" s="372">
        <v>4611</v>
      </c>
      <c r="AG713" s="372">
        <v>5648</v>
      </c>
      <c r="AH713" s="372">
        <v>6350</v>
      </c>
    </row>
    <row r="714" spans="1:34">
      <c r="A714" s="372" t="s">
        <v>5237</v>
      </c>
      <c r="B714" s="373" t="s">
        <v>5238</v>
      </c>
      <c r="C714" s="372" t="s">
        <v>5239</v>
      </c>
      <c r="D714" s="374">
        <v>1101111105364</v>
      </c>
      <c r="E714" s="372" t="s">
        <v>5240</v>
      </c>
      <c r="F714" s="375" t="s">
        <v>1793</v>
      </c>
      <c r="G714" s="375" t="s">
        <v>2794</v>
      </c>
      <c r="H714" s="375" t="s">
        <v>858</v>
      </c>
      <c r="I714" s="375" t="s">
        <v>859</v>
      </c>
      <c r="J714" s="375">
        <v>179618.49590000001</v>
      </c>
      <c r="K714" s="375">
        <v>1808.6216199999999</v>
      </c>
      <c r="L714" s="375">
        <v>343.78224999999998</v>
      </c>
      <c r="M714" s="375">
        <v>107940.93944</v>
      </c>
      <c r="N714" s="372">
        <v>1.0569999999999999</v>
      </c>
      <c r="O714" s="704">
        <v>9.8550079934679999</v>
      </c>
      <c r="P714" s="375" t="s">
        <v>619</v>
      </c>
      <c r="Q714" s="372" t="s">
        <v>619</v>
      </c>
      <c r="R714" s="696">
        <v>19970502</v>
      </c>
      <c r="S714" s="372" t="s">
        <v>5241</v>
      </c>
      <c r="T714" s="697">
        <v>0.20900000000000002</v>
      </c>
      <c r="U714" s="372" t="s">
        <v>5242</v>
      </c>
      <c r="V714" s="722">
        <v>24.35</v>
      </c>
      <c r="W714" s="722">
        <v>1.95</v>
      </c>
      <c r="X714" s="722">
        <v>1.1599999999999999</v>
      </c>
      <c r="Y714" s="722" t="s">
        <v>770</v>
      </c>
      <c r="Z714" s="382" t="s">
        <v>924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5243</v>
      </c>
      <c r="B715" s="373" t="s">
        <v>5244</v>
      </c>
      <c r="C715" s="372" t="s">
        <v>5245</v>
      </c>
      <c r="D715" s="374">
        <v>1101113394048</v>
      </c>
      <c r="E715" s="372" t="s">
        <v>5246</v>
      </c>
      <c r="F715" s="375" t="s">
        <v>1093</v>
      </c>
      <c r="G715" s="375" t="s">
        <v>1094</v>
      </c>
      <c r="H715" s="375" t="s">
        <v>823</v>
      </c>
      <c r="I715" s="375" t="s">
        <v>751</v>
      </c>
      <c r="J715" s="375">
        <v>136570.35667000001</v>
      </c>
      <c r="K715" s="375">
        <v>14103.451279999999</v>
      </c>
      <c r="L715" s="375">
        <v>26814.747240000001</v>
      </c>
      <c r="M715" s="375">
        <v>480924.59866000002</v>
      </c>
      <c r="N715" s="372">
        <v>0.71199999999999997</v>
      </c>
      <c r="O715" s="704">
        <v>1.6808640259486103</v>
      </c>
      <c r="P715" s="375" t="s">
        <v>619</v>
      </c>
      <c r="Q715" s="372" t="s">
        <v>619</v>
      </c>
      <c r="R715" s="696">
        <v>20151228</v>
      </c>
      <c r="S715" s="375" t="s">
        <v>5247</v>
      </c>
      <c r="T715" s="697">
        <v>0.23100000000000001</v>
      </c>
      <c r="U715" s="375" t="s">
        <v>5248</v>
      </c>
      <c r="V715" s="722">
        <v>19.71</v>
      </c>
      <c r="W715" s="722">
        <v>0.71</v>
      </c>
      <c r="X715" s="722">
        <v>1.96</v>
      </c>
      <c r="Y715" s="722">
        <v>23.09</v>
      </c>
      <c r="Z715" s="382" t="s">
        <v>924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5249</v>
      </c>
      <c r="B716" s="373" t="s">
        <v>5250</v>
      </c>
      <c r="C716" s="372" t="s">
        <v>5251</v>
      </c>
      <c r="D716" s="374">
        <v>1101115739804</v>
      </c>
      <c r="E716" s="372" t="s">
        <v>5252</v>
      </c>
      <c r="F716" s="372" t="s">
        <v>1246</v>
      </c>
      <c r="G716" s="375" t="s">
        <v>1246</v>
      </c>
      <c r="H716" s="375" t="s">
        <v>858</v>
      </c>
      <c r="I716" s="375" t="s">
        <v>859</v>
      </c>
      <c r="J716" s="375">
        <v>3980.80782</v>
      </c>
      <c r="K716" s="375">
        <v>-41293.680840000001</v>
      </c>
      <c r="L716" s="375">
        <v>-33040.885750000001</v>
      </c>
      <c r="M716" s="375">
        <v>76721.133119999999</v>
      </c>
      <c r="N716" s="372">
        <v>0.85099999999999998</v>
      </c>
      <c r="O716" s="704">
        <v>32.142666768711813</v>
      </c>
      <c r="P716" s="375" t="s">
        <v>619</v>
      </c>
      <c r="Q716" s="372" t="s">
        <v>619</v>
      </c>
      <c r="R716" s="696">
        <v>20210311</v>
      </c>
      <c r="S716" s="372" t="s">
        <v>5253</v>
      </c>
      <c r="T716" s="697" t="s">
        <v>768</v>
      </c>
      <c r="U716" s="372" t="s">
        <v>5254</v>
      </c>
      <c r="V716" s="722">
        <v>0</v>
      </c>
      <c r="W716" s="722">
        <v>0</v>
      </c>
      <c r="X716" s="722">
        <v>0</v>
      </c>
      <c r="Y716" s="722">
        <v>0</v>
      </c>
      <c r="Z716" s="382" t="s">
        <v>924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5255</v>
      </c>
      <c r="B717" s="373" t="s">
        <v>5256</v>
      </c>
      <c r="C717" s="372" t="s">
        <v>5257</v>
      </c>
      <c r="D717" s="374">
        <v>1101112860173</v>
      </c>
      <c r="E717" s="372" t="s">
        <v>5258</v>
      </c>
      <c r="F717" s="372" t="s">
        <v>2411</v>
      </c>
      <c r="G717" s="375" t="s">
        <v>2411</v>
      </c>
      <c r="H717" s="375" t="s">
        <v>858</v>
      </c>
      <c r="I717" s="375" t="s">
        <v>859</v>
      </c>
      <c r="J717" s="375">
        <v>66829.052119999993</v>
      </c>
      <c r="K717" s="375">
        <v>-93.558729999999997</v>
      </c>
      <c r="L717" s="375">
        <v>471.07603999999998</v>
      </c>
      <c r="M717" s="375">
        <v>69069.216480000003</v>
      </c>
      <c r="N717" s="372" t="s">
        <v>1023</v>
      </c>
      <c r="O717" s="704">
        <v>11.61009680425143</v>
      </c>
      <c r="P717" s="375" t="s">
        <v>619</v>
      </c>
      <c r="Q717" s="372" t="s">
        <v>619</v>
      </c>
      <c r="R717" s="696">
        <v>20240129</v>
      </c>
      <c r="S717" s="375" t="s">
        <v>5259</v>
      </c>
      <c r="T717" s="697">
        <v>0.20900000000000002</v>
      </c>
      <c r="U717" s="375" t="s">
        <v>5260</v>
      </c>
      <c r="V717" s="722">
        <v>37.58</v>
      </c>
      <c r="W717" s="722">
        <v>1.01</v>
      </c>
      <c r="X717" s="722">
        <v>0.98</v>
      </c>
      <c r="Y717" s="722">
        <v>66.56</v>
      </c>
      <c r="Z717" s="382" t="s">
        <v>924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1131</v>
      </c>
      <c r="AF717" s="372">
        <v>0</v>
      </c>
      <c r="AG717" s="372">
        <v>0</v>
      </c>
      <c r="AH717" s="372">
        <v>0</v>
      </c>
    </row>
    <row r="718" spans="1:34">
      <c r="A718" s="372" t="s">
        <v>5261</v>
      </c>
      <c r="B718" s="373" t="s">
        <v>5262</v>
      </c>
      <c r="C718" s="372" t="s">
        <v>5263</v>
      </c>
      <c r="D718" s="374">
        <v>1101118570891</v>
      </c>
      <c r="E718" s="372" t="s">
        <v>5264</v>
      </c>
      <c r="F718" s="375" t="s">
        <v>1645</v>
      </c>
      <c r="G718" s="375" t="s">
        <v>1646</v>
      </c>
      <c r="H718" s="375" t="s">
        <v>843</v>
      </c>
      <c r="I718" s="375" t="s">
        <v>751</v>
      </c>
      <c r="J718" s="375">
        <v>508520.86631999997</v>
      </c>
      <c r="K718" s="375">
        <v>3153.76433</v>
      </c>
      <c r="L718" s="375">
        <v>-40199.065159999998</v>
      </c>
      <c r="M718" s="375">
        <v>824942.65055999998</v>
      </c>
      <c r="N718" s="372" t="s">
        <v>1023</v>
      </c>
      <c r="O718" s="704">
        <v>195.19265921905915</v>
      </c>
      <c r="P718" s="375" t="s">
        <v>619</v>
      </c>
      <c r="Q718" s="375" t="s">
        <v>619</v>
      </c>
      <c r="R718" s="696">
        <v>20230331</v>
      </c>
      <c r="S718" s="375" t="s">
        <v>1646</v>
      </c>
      <c r="T718" s="697" t="s">
        <v>768</v>
      </c>
      <c r="U718" s="375" t="s">
        <v>5265</v>
      </c>
      <c r="V718" s="722">
        <v>8.86</v>
      </c>
      <c r="W718" s="722">
        <v>0.33</v>
      </c>
      <c r="X718" s="722">
        <v>0.54</v>
      </c>
      <c r="Y718" s="722" t="s">
        <v>770</v>
      </c>
      <c r="Z718" s="382" t="s">
        <v>924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5266</v>
      </c>
      <c r="B719" s="373" t="s">
        <v>5267</v>
      </c>
      <c r="C719" s="372" t="s">
        <v>5268</v>
      </c>
      <c r="D719" s="374">
        <v>1101110003345</v>
      </c>
      <c r="E719" s="372" t="s">
        <v>5269</v>
      </c>
      <c r="F719" s="375" t="s">
        <v>842</v>
      </c>
      <c r="G719" s="375" t="s">
        <v>842</v>
      </c>
      <c r="H719" s="375" t="s">
        <v>843</v>
      </c>
      <c r="I719" s="375" t="s">
        <v>751</v>
      </c>
      <c r="J719" s="375">
        <v>1489158.88723</v>
      </c>
      <c r="K719" s="375">
        <v>117018.4734</v>
      </c>
      <c r="L719" s="375">
        <v>86284.985050000003</v>
      </c>
      <c r="M719" s="375">
        <v>450614.05144000001</v>
      </c>
      <c r="N719" s="372">
        <v>0.71099999999999997</v>
      </c>
      <c r="O719" s="704">
        <v>171.00521359767006</v>
      </c>
      <c r="P719" s="375" t="s">
        <v>619</v>
      </c>
      <c r="Q719" s="375" t="s">
        <v>619</v>
      </c>
      <c r="R719" s="696">
        <v>19751222</v>
      </c>
      <c r="S719" s="375" t="s">
        <v>5270</v>
      </c>
      <c r="T719" s="697">
        <v>0.23100000000000001</v>
      </c>
      <c r="U719" s="375" t="s">
        <v>5271</v>
      </c>
      <c r="V719" s="722">
        <v>2.57</v>
      </c>
      <c r="W719" s="722">
        <v>0.59</v>
      </c>
      <c r="X719" s="722">
        <v>0.18</v>
      </c>
      <c r="Y719" s="722">
        <v>4.3899999999999997</v>
      </c>
      <c r="Z719" s="382" t="s">
        <v>924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5272</v>
      </c>
      <c r="B720" s="373" t="s">
        <v>5273</v>
      </c>
      <c r="C720" s="372" t="s">
        <v>5274</v>
      </c>
      <c r="D720" s="374">
        <v>1101110005995</v>
      </c>
      <c r="E720" s="372" t="s">
        <v>5274</v>
      </c>
      <c r="F720" s="375" t="s">
        <v>5275</v>
      </c>
      <c r="G720" s="375" t="s">
        <v>5275</v>
      </c>
      <c r="H720" s="375" t="s">
        <v>1536</v>
      </c>
      <c r="I720" s="375" t="s">
        <v>751</v>
      </c>
      <c r="J720" s="375">
        <v>167701.86421</v>
      </c>
      <c r="K720" s="375">
        <v>24476.704280000002</v>
      </c>
      <c r="L720" s="375">
        <v>25668.039509999999</v>
      </c>
      <c r="M720" s="375">
        <v>542612.89491000003</v>
      </c>
      <c r="N720" s="372">
        <v>0.82499999999999996</v>
      </c>
      <c r="O720" s="704">
        <v>13.30560618510809</v>
      </c>
      <c r="P720" s="375" t="s">
        <v>619</v>
      </c>
      <c r="Q720" s="375" t="s">
        <v>619</v>
      </c>
      <c r="R720" s="696">
        <v>19750602</v>
      </c>
      <c r="S720" s="375" t="s">
        <v>5276</v>
      </c>
      <c r="T720" s="697">
        <v>0.23100000000000001</v>
      </c>
      <c r="U720" s="375" t="s">
        <v>5277</v>
      </c>
      <c r="V720" s="722">
        <v>6.21</v>
      </c>
      <c r="W720" s="722">
        <v>0.51</v>
      </c>
      <c r="X720" s="722">
        <v>1.64</v>
      </c>
      <c r="Y720" s="722">
        <v>13.98</v>
      </c>
      <c r="Z720" s="382" t="s">
        <v>924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5278</v>
      </c>
      <c r="B721" s="373" t="s">
        <v>5279</v>
      </c>
      <c r="C721" s="372" t="s">
        <v>5280</v>
      </c>
      <c r="D721" s="374">
        <v>1311110051935</v>
      </c>
      <c r="E721" s="372" t="s">
        <v>5281</v>
      </c>
      <c r="F721" s="375" t="s">
        <v>4843</v>
      </c>
      <c r="G721" s="375" t="s">
        <v>4843</v>
      </c>
      <c r="H721" s="375" t="s">
        <v>4844</v>
      </c>
      <c r="I721" s="375" t="s">
        <v>859</v>
      </c>
      <c r="J721" s="375">
        <v>59295.417350000003</v>
      </c>
      <c r="K721" s="375">
        <v>9501.8103100000008</v>
      </c>
      <c r="L721" s="375">
        <v>8560.5356499999998</v>
      </c>
      <c r="M721" s="375">
        <v>128211.29108</v>
      </c>
      <c r="N721" s="372">
        <v>1.3480000000000001</v>
      </c>
      <c r="O721" s="704">
        <v>86.135357736468009</v>
      </c>
      <c r="P721" s="375" t="s">
        <v>619</v>
      </c>
      <c r="Q721" s="375" t="s">
        <v>619</v>
      </c>
      <c r="R721" s="696">
        <v>20220516</v>
      </c>
      <c r="S721" s="375" t="s">
        <v>5282</v>
      </c>
      <c r="T721" s="697">
        <v>0.20900000000000002</v>
      </c>
      <c r="U721" s="375" t="s">
        <v>5283</v>
      </c>
      <c r="V721" s="722">
        <v>17.28</v>
      </c>
      <c r="W721" s="722">
        <v>1.94</v>
      </c>
      <c r="X721" s="722">
        <v>4.2</v>
      </c>
      <c r="Y721" s="722">
        <v>25.61</v>
      </c>
      <c r="Z721" s="382">
        <v>0.12575091153030926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679</v>
      </c>
      <c r="AF721" s="372">
        <v>999.5</v>
      </c>
      <c r="AG721" s="372">
        <v>990</v>
      </c>
      <c r="AH721" s="372">
        <v>0</v>
      </c>
    </row>
    <row r="722" spans="1:34">
      <c r="A722" s="372" t="s">
        <v>5284</v>
      </c>
      <c r="B722" s="373" t="s">
        <v>5285</v>
      </c>
      <c r="C722" s="372" t="s">
        <v>5286</v>
      </c>
      <c r="D722" s="374">
        <v>1101114398859</v>
      </c>
      <c r="E722" s="372" t="s">
        <v>5287</v>
      </c>
      <c r="F722" s="375" t="s">
        <v>1793</v>
      </c>
      <c r="G722" s="375" t="s">
        <v>1794</v>
      </c>
      <c r="H722" s="375" t="s">
        <v>858</v>
      </c>
      <c r="I722" s="375" t="s">
        <v>859</v>
      </c>
      <c r="J722" s="375">
        <v>49460.884120000002</v>
      </c>
      <c r="K722" s="375">
        <v>6110.1714199999997</v>
      </c>
      <c r="L722" s="375">
        <v>6518.8409199999996</v>
      </c>
      <c r="M722" s="375">
        <v>95967.580440000005</v>
      </c>
      <c r="N722" s="372">
        <v>0.38</v>
      </c>
      <c r="O722" s="704">
        <v>8.8352284771256375</v>
      </c>
      <c r="P722" s="375" t="s">
        <v>619</v>
      </c>
      <c r="Q722" s="375" t="s">
        <v>619</v>
      </c>
      <c r="R722" s="696">
        <v>20110105</v>
      </c>
      <c r="S722" s="375" t="s">
        <v>5288</v>
      </c>
      <c r="T722" s="697">
        <v>0.20900000000000002</v>
      </c>
      <c r="U722" s="372" t="s">
        <v>5289</v>
      </c>
      <c r="V722" s="722">
        <v>20.8</v>
      </c>
      <c r="W722" s="722">
        <v>1.68</v>
      </c>
      <c r="X722" s="722">
        <v>3.34</v>
      </c>
      <c r="Y722" s="722">
        <v>31.43</v>
      </c>
      <c r="Z722" s="382" t="s">
        <v>924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5290</v>
      </c>
      <c r="B723" s="373" t="s">
        <v>5291</v>
      </c>
      <c r="C723" s="372" t="s">
        <v>5292</v>
      </c>
      <c r="D723" s="374">
        <v>1348110166589</v>
      </c>
      <c r="E723" s="372" t="s">
        <v>5293</v>
      </c>
      <c r="F723" s="375" t="s">
        <v>1959</v>
      </c>
      <c r="G723" s="375" t="s">
        <v>1959</v>
      </c>
      <c r="H723" s="375" t="s">
        <v>858</v>
      </c>
      <c r="I723" s="375" t="s">
        <v>859</v>
      </c>
      <c r="J723" s="375">
        <v>169816.75768000001</v>
      </c>
      <c r="K723" s="375">
        <v>26784.926070000001</v>
      </c>
      <c r="L723" s="375">
        <v>27438.965649999998</v>
      </c>
      <c r="M723" s="375">
        <v>126933.86883000001</v>
      </c>
      <c r="N723" s="372">
        <v>1.325</v>
      </c>
      <c r="O723" s="704">
        <v>6.7788071933491718</v>
      </c>
      <c r="P723" s="375" t="s">
        <v>619</v>
      </c>
      <c r="Q723" s="372" t="s">
        <v>619</v>
      </c>
      <c r="R723" s="696">
        <v>20211007</v>
      </c>
      <c r="S723" s="375" t="s">
        <v>5294</v>
      </c>
      <c r="T723" s="697">
        <v>0.23100000000000001</v>
      </c>
      <c r="U723" s="372" t="s">
        <v>5295</v>
      </c>
      <c r="V723" s="722">
        <v>7.16</v>
      </c>
      <c r="W723" s="722">
        <v>1.66</v>
      </c>
      <c r="X723" s="722">
        <v>1.26</v>
      </c>
      <c r="Y723" s="722">
        <v>9.33</v>
      </c>
      <c r="Z723" s="382" t="s">
        <v>924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5296</v>
      </c>
      <c r="B724" s="373" t="s">
        <v>5297</v>
      </c>
      <c r="C724" s="372" t="s">
        <v>16072</v>
      </c>
      <c r="D724" s="374">
        <v>1615110001572</v>
      </c>
      <c r="E724" s="372" t="s">
        <v>16073</v>
      </c>
      <c r="F724" s="375" t="s">
        <v>5298</v>
      </c>
      <c r="G724" s="375" t="s">
        <v>5298</v>
      </c>
      <c r="H724" s="375" t="s">
        <v>858</v>
      </c>
      <c r="I724" s="375" t="s">
        <v>859</v>
      </c>
      <c r="J724" s="375">
        <v>136227.17541</v>
      </c>
      <c r="K724" s="375">
        <v>-2075.3545300000001</v>
      </c>
      <c r="L724" s="375">
        <v>-152047.79191</v>
      </c>
      <c r="M724" s="375">
        <v>75965.494839999999</v>
      </c>
      <c r="N724" s="372">
        <v>1.1140000000000001</v>
      </c>
      <c r="O724" s="704">
        <v>8.7545168995596061</v>
      </c>
      <c r="P724" s="375" t="s">
        <v>16112</v>
      </c>
      <c r="Q724" s="375" t="s">
        <v>16113</v>
      </c>
      <c r="R724" s="696">
        <v>20180601</v>
      </c>
      <c r="S724" s="375" t="s">
        <v>5299</v>
      </c>
      <c r="T724" s="697" t="s">
        <v>768</v>
      </c>
      <c r="U724" s="375" t="s">
        <v>5300</v>
      </c>
      <c r="V724" s="722">
        <v>0</v>
      </c>
      <c r="W724" s="722">
        <v>0</v>
      </c>
      <c r="X724" s="722">
        <v>0</v>
      </c>
      <c r="Y724" s="722">
        <v>0</v>
      </c>
      <c r="Z724" s="382" t="s">
        <v>924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5301</v>
      </c>
      <c r="B725" s="373" t="s">
        <v>5302</v>
      </c>
      <c r="C725" s="372" t="s">
        <v>5303</v>
      </c>
      <c r="D725" s="374">
        <v>1314110255979</v>
      </c>
      <c r="E725" s="372" t="s">
        <v>5304</v>
      </c>
      <c r="F725" s="375" t="s">
        <v>995</v>
      </c>
      <c r="G725" s="375" t="s">
        <v>995</v>
      </c>
      <c r="H725" s="375" t="s">
        <v>858</v>
      </c>
      <c r="I725" s="375" t="s">
        <v>859</v>
      </c>
      <c r="J725" s="375">
        <v>178257.39</v>
      </c>
      <c r="K725" s="375">
        <v>3597.14446</v>
      </c>
      <c r="L725" s="375">
        <v>3597.1718900000001</v>
      </c>
      <c r="M725" s="375">
        <v>110554.94899</v>
      </c>
      <c r="N725" s="372">
        <v>1.077</v>
      </c>
      <c r="O725" s="704">
        <v>35.289603684435392</v>
      </c>
      <c r="P725" s="375" t="s">
        <v>619</v>
      </c>
      <c r="Q725" s="375" t="s">
        <v>619</v>
      </c>
      <c r="R725" s="696">
        <v>20201214</v>
      </c>
      <c r="S725" s="375" t="s">
        <v>5305</v>
      </c>
      <c r="T725" s="697">
        <v>0.20900000000000002</v>
      </c>
      <c r="U725" s="372" t="s">
        <v>5306</v>
      </c>
      <c r="V725" s="722">
        <v>15.37</v>
      </c>
      <c r="W725" s="722">
        <v>1.1399999999999999</v>
      </c>
      <c r="X725" s="722">
        <v>0.71</v>
      </c>
      <c r="Y725" s="722">
        <v>47.78</v>
      </c>
      <c r="Z725" s="382">
        <v>7.962808705742952E-2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1844.6</v>
      </c>
      <c r="AF725" s="372">
        <v>2108.6</v>
      </c>
      <c r="AG725" s="372">
        <v>2327.4</v>
      </c>
      <c r="AH725" s="372">
        <v>0</v>
      </c>
    </row>
    <row r="726" spans="1:34">
      <c r="A726" s="372" t="s">
        <v>5307</v>
      </c>
      <c r="B726" s="373" t="s">
        <v>5308</v>
      </c>
      <c r="C726" s="372" t="s">
        <v>5309</v>
      </c>
      <c r="D726" s="374">
        <v>1101110037740</v>
      </c>
      <c r="E726" s="372" t="s">
        <v>5310</v>
      </c>
      <c r="F726" s="372" t="s">
        <v>1078</v>
      </c>
      <c r="G726" s="375" t="s">
        <v>5311</v>
      </c>
      <c r="H726" s="375" t="s">
        <v>814</v>
      </c>
      <c r="I726" s="375" t="s">
        <v>751</v>
      </c>
      <c r="J726" s="375">
        <v>591568.32495000004</v>
      </c>
      <c r="K726" s="375">
        <v>15626.937379999999</v>
      </c>
      <c r="L726" s="375">
        <v>16555.13537</v>
      </c>
      <c r="M726" s="375">
        <v>268685.10642000003</v>
      </c>
      <c r="N726" s="372">
        <v>0.76</v>
      </c>
      <c r="O726" s="704">
        <v>31.544093256303974</v>
      </c>
      <c r="P726" s="375" t="s">
        <v>619</v>
      </c>
      <c r="Q726" s="375" t="s">
        <v>619</v>
      </c>
      <c r="R726" s="696">
        <v>20100812</v>
      </c>
      <c r="S726" s="375" t="s">
        <v>5312</v>
      </c>
      <c r="T726" s="697">
        <v>0.20900000000000002</v>
      </c>
      <c r="U726" s="375" t="s">
        <v>5313</v>
      </c>
      <c r="V726" s="722">
        <v>10.18</v>
      </c>
      <c r="W726" s="722">
        <v>0.84</v>
      </c>
      <c r="X726" s="722">
        <v>0.39</v>
      </c>
      <c r="Y726" s="722">
        <v>16.72</v>
      </c>
      <c r="Z726" s="382" t="s">
        <v>924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5314</v>
      </c>
      <c r="B727" s="373" t="s">
        <v>5315</v>
      </c>
      <c r="C727" s="372" t="s">
        <v>5316</v>
      </c>
      <c r="D727" s="374">
        <v>1350110079381</v>
      </c>
      <c r="E727" s="372" t="s">
        <v>5317</v>
      </c>
      <c r="F727" s="375" t="s">
        <v>2278</v>
      </c>
      <c r="G727" s="375" t="s">
        <v>5093</v>
      </c>
      <c r="H727" s="375" t="s">
        <v>858</v>
      </c>
      <c r="I727" s="375" t="s">
        <v>859</v>
      </c>
      <c r="J727" s="375">
        <v>352454.98508000001</v>
      </c>
      <c r="K727" s="375">
        <v>17639.311409999998</v>
      </c>
      <c r="L727" s="375">
        <v>16905.277740000001</v>
      </c>
      <c r="M727" s="375">
        <v>484194.14225999999</v>
      </c>
      <c r="N727" s="372">
        <v>0.95699999999999996</v>
      </c>
      <c r="O727" s="704">
        <v>34.490461845892362</v>
      </c>
      <c r="P727" s="375" t="s">
        <v>619</v>
      </c>
      <c r="Q727" s="375" t="s">
        <v>619</v>
      </c>
      <c r="R727" s="696">
        <v>20101112</v>
      </c>
      <c r="S727" s="375" t="s">
        <v>5318</v>
      </c>
      <c r="T727" s="697">
        <v>0.20900000000000002</v>
      </c>
      <c r="U727" s="372" t="s">
        <v>15868</v>
      </c>
      <c r="V727" s="722">
        <v>10.71</v>
      </c>
      <c r="W727" s="722">
        <v>0.57999999999999996</v>
      </c>
      <c r="X727" s="722">
        <v>0.57999999999999996</v>
      </c>
      <c r="Y727" s="722">
        <v>16.18</v>
      </c>
      <c r="Z727" s="382" t="s">
        <v>924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5319</v>
      </c>
      <c r="B728" s="373" t="s">
        <v>5320</v>
      </c>
      <c r="C728" s="372" t="s">
        <v>5321</v>
      </c>
      <c r="D728" s="374">
        <v>1358110168568</v>
      </c>
      <c r="E728" s="372" t="s">
        <v>5322</v>
      </c>
      <c r="F728" s="375" t="s">
        <v>1052</v>
      </c>
      <c r="G728" s="375" t="s">
        <v>16101</v>
      </c>
      <c r="H728" s="375" t="s">
        <v>858</v>
      </c>
      <c r="I728" s="375" t="s">
        <v>859</v>
      </c>
      <c r="J728" s="375">
        <v>64687.383950000003</v>
      </c>
      <c r="K728" s="375">
        <v>4216.3777</v>
      </c>
      <c r="L728" s="375">
        <v>6361.2819900000004</v>
      </c>
      <c r="M728" s="375">
        <v>67093.210349999994</v>
      </c>
      <c r="N728" s="372">
        <v>0.71399999999999997</v>
      </c>
      <c r="O728" s="704">
        <v>35.769917576855157</v>
      </c>
      <c r="P728" s="375" t="s">
        <v>619</v>
      </c>
      <c r="Q728" s="375" t="s">
        <v>619</v>
      </c>
      <c r="R728" s="696">
        <v>20191114</v>
      </c>
      <c r="S728" s="375" t="s">
        <v>5323</v>
      </c>
      <c r="T728" s="697">
        <v>0.20900000000000002</v>
      </c>
      <c r="U728" s="372" t="s">
        <v>5324</v>
      </c>
      <c r="V728" s="722">
        <v>29.46</v>
      </c>
      <c r="W728" s="722">
        <v>4.45</v>
      </c>
      <c r="X728" s="722">
        <v>4.59</v>
      </c>
      <c r="Y728" s="722">
        <v>14.45</v>
      </c>
      <c r="Z728" s="382">
        <v>0.169927404038823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648</v>
      </c>
      <c r="AF728" s="372">
        <v>868</v>
      </c>
      <c r="AG728" s="372">
        <v>1100</v>
      </c>
      <c r="AH728" s="372">
        <v>0</v>
      </c>
    </row>
    <row r="729" spans="1:34">
      <c r="A729" s="372" t="s">
        <v>5325</v>
      </c>
      <c r="B729" s="373" t="s">
        <v>5326</v>
      </c>
      <c r="C729" s="372" t="s">
        <v>5327</v>
      </c>
      <c r="D729" s="374">
        <v>1101112476376</v>
      </c>
      <c r="E729" s="372" t="s">
        <v>5328</v>
      </c>
      <c r="F729" s="375" t="s">
        <v>2831</v>
      </c>
      <c r="G729" s="375" t="s">
        <v>5329</v>
      </c>
      <c r="H729" s="375" t="s">
        <v>858</v>
      </c>
      <c r="I729" s="375" t="s">
        <v>859</v>
      </c>
      <c r="J729" s="375">
        <v>10206.005660000001</v>
      </c>
      <c r="K729" s="375">
        <v>-8299.9737399999995</v>
      </c>
      <c r="L729" s="375">
        <v>10062.97696</v>
      </c>
      <c r="M729" s="375">
        <v>576080.66044000001</v>
      </c>
      <c r="N729" s="372">
        <v>0.77500000000000002</v>
      </c>
      <c r="O729" s="704">
        <v>17.222206657927909</v>
      </c>
      <c r="P729" s="375" t="s">
        <v>16112</v>
      </c>
      <c r="Q729" s="375" t="s">
        <v>16113</v>
      </c>
      <c r="R729" s="696">
        <v>20111201</v>
      </c>
      <c r="S729" s="375" t="s">
        <v>5330</v>
      </c>
      <c r="T729" s="697">
        <v>0.20900000000000002</v>
      </c>
      <c r="U729" s="372" t="s">
        <v>15869</v>
      </c>
      <c r="V729" s="722" t="s">
        <v>770</v>
      </c>
      <c r="W729" s="722">
        <v>0.45</v>
      </c>
      <c r="X729" s="722">
        <v>25.11</v>
      </c>
      <c r="Y729" s="722">
        <v>15.85</v>
      </c>
      <c r="Z729" s="382" t="s">
        <v>924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5331</v>
      </c>
      <c r="B730" s="373" t="s">
        <v>5332</v>
      </c>
      <c r="C730" s="372" t="s">
        <v>5333</v>
      </c>
      <c r="D730" s="374">
        <v>1845110014990</v>
      </c>
      <c r="E730" s="372" t="s">
        <v>5334</v>
      </c>
      <c r="F730" s="375" t="s">
        <v>2423</v>
      </c>
      <c r="G730" s="375" t="s">
        <v>2424</v>
      </c>
      <c r="H730" s="375" t="s">
        <v>858</v>
      </c>
      <c r="I730" s="375" t="s">
        <v>859</v>
      </c>
      <c r="J730" s="375">
        <v>791359.98994999996</v>
      </c>
      <c r="K730" s="375">
        <v>81217.209520000004</v>
      </c>
      <c r="L730" s="375">
        <v>87007.520080000002</v>
      </c>
      <c r="M730" s="375">
        <v>404576.70659999998</v>
      </c>
      <c r="N730" s="372">
        <v>1.0389999999999999</v>
      </c>
      <c r="O730" s="704">
        <v>40.427406635191701</v>
      </c>
      <c r="P730" s="375" t="s">
        <v>619</v>
      </c>
      <c r="Q730" s="372" t="s">
        <v>619</v>
      </c>
      <c r="R730" s="696">
        <v>20090915</v>
      </c>
      <c r="S730" s="372" t="s">
        <v>5335</v>
      </c>
      <c r="T730" s="697">
        <v>0.23100000000000001</v>
      </c>
      <c r="U730" s="372" t="s">
        <v>5336</v>
      </c>
      <c r="V730" s="722">
        <v>2.62</v>
      </c>
      <c r="W730" s="722">
        <v>0.51</v>
      </c>
      <c r="X730" s="722">
        <v>0.27</v>
      </c>
      <c r="Y730" s="722">
        <v>2.98</v>
      </c>
      <c r="Z730" s="382" t="s">
        <v>924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5337</v>
      </c>
      <c r="B731" s="373" t="s">
        <v>5338</v>
      </c>
      <c r="C731" s="372" t="s">
        <v>5339</v>
      </c>
      <c r="D731" s="374">
        <v>1345110097540</v>
      </c>
      <c r="E731" s="372" t="s">
        <v>5340</v>
      </c>
      <c r="F731" s="375" t="s">
        <v>1273</v>
      </c>
      <c r="G731" s="375" t="s">
        <v>1273</v>
      </c>
      <c r="H731" s="375" t="s">
        <v>858</v>
      </c>
      <c r="I731" s="375" t="s">
        <v>859</v>
      </c>
      <c r="J731" s="375">
        <v>331628.57259</v>
      </c>
      <c r="K731" s="375">
        <v>41430.133379999999</v>
      </c>
      <c r="L731" s="375">
        <v>60694.201580000001</v>
      </c>
      <c r="M731" s="375">
        <v>238247.75988</v>
      </c>
      <c r="N731" s="372">
        <v>1.24</v>
      </c>
      <c r="O731" s="704">
        <v>8.5465007749961188</v>
      </c>
      <c r="P731" s="375" t="s">
        <v>619</v>
      </c>
      <c r="Q731" s="375" t="s">
        <v>619</v>
      </c>
      <c r="R731" s="696">
        <v>20190730</v>
      </c>
      <c r="S731" s="375" t="s">
        <v>5341</v>
      </c>
      <c r="T731" s="697">
        <v>0.23100000000000001</v>
      </c>
      <c r="U731" s="375" t="s">
        <v>5342</v>
      </c>
      <c r="V731" s="722">
        <v>3.24</v>
      </c>
      <c r="W731" s="722">
        <v>1.22</v>
      </c>
      <c r="X731" s="722">
        <v>0.88</v>
      </c>
      <c r="Y731" s="722">
        <v>4.91</v>
      </c>
      <c r="Z731" s="382">
        <v>6.7422052400615273E-2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3268.5</v>
      </c>
      <c r="AF731" s="372">
        <v>3624.33</v>
      </c>
      <c r="AG731" s="372">
        <v>3952.75</v>
      </c>
      <c r="AH731" s="372">
        <v>0</v>
      </c>
    </row>
    <row r="732" spans="1:34">
      <c r="A732" s="372" t="s">
        <v>5343</v>
      </c>
      <c r="B732" s="373" t="s">
        <v>5344</v>
      </c>
      <c r="C732" s="372" t="s">
        <v>5345</v>
      </c>
      <c r="D732" s="374">
        <v>1101110031510</v>
      </c>
      <c r="E732" s="372" t="s">
        <v>5346</v>
      </c>
      <c r="F732" s="375" t="s">
        <v>1259</v>
      </c>
      <c r="G732" s="375" t="s">
        <v>1260</v>
      </c>
      <c r="H732" s="375" t="s">
        <v>1261</v>
      </c>
      <c r="I732" s="375" t="s">
        <v>751</v>
      </c>
      <c r="J732" s="375">
        <v>0</v>
      </c>
      <c r="K732" s="375">
        <v>0</v>
      </c>
      <c r="L732" s="375">
        <v>0</v>
      </c>
      <c r="M732" s="375">
        <v>0</v>
      </c>
      <c r="N732" s="372">
        <v>0.56999999999999995</v>
      </c>
      <c r="O732" s="704" t="s">
        <v>16298</v>
      </c>
      <c r="P732" s="375" t="s">
        <v>619</v>
      </c>
      <c r="Q732" s="375" t="s">
        <v>619</v>
      </c>
      <c r="R732" s="696">
        <v>19880719</v>
      </c>
      <c r="S732" s="375" t="s">
        <v>5347</v>
      </c>
      <c r="T732" s="697" t="s">
        <v>768</v>
      </c>
      <c r="U732" s="372" t="s">
        <v>5348</v>
      </c>
      <c r="V732" s="722">
        <v>0</v>
      </c>
      <c r="W732" s="722">
        <v>0</v>
      </c>
      <c r="X732" s="722">
        <v>0</v>
      </c>
      <c r="Y732" s="722">
        <v>0</v>
      </c>
      <c r="Z732" s="382" t="s">
        <v>924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5349</v>
      </c>
      <c r="B733" s="373" t="s">
        <v>5350</v>
      </c>
      <c r="C733" s="372" t="s">
        <v>5351</v>
      </c>
      <c r="D733" s="374">
        <v>1101110028145</v>
      </c>
      <c r="E733" s="372" t="s">
        <v>5352</v>
      </c>
      <c r="F733" s="375" t="s">
        <v>2100</v>
      </c>
      <c r="G733" s="375" t="s">
        <v>2100</v>
      </c>
      <c r="H733" s="375" t="s">
        <v>892</v>
      </c>
      <c r="I733" s="375" t="s">
        <v>859</v>
      </c>
      <c r="J733" s="375">
        <v>2251149.2247299999</v>
      </c>
      <c r="K733" s="375">
        <v>104199.21816</v>
      </c>
      <c r="L733" s="375">
        <v>43788.374300000003</v>
      </c>
      <c r="M733" s="375">
        <v>1397782.6034299999</v>
      </c>
      <c r="N733" s="372">
        <v>1.0349999999999999</v>
      </c>
      <c r="O733" s="704">
        <v>353.49989919848542</v>
      </c>
      <c r="P733" s="375" t="s">
        <v>619</v>
      </c>
      <c r="Q733" s="375" t="s">
        <v>619</v>
      </c>
      <c r="R733" s="696">
        <v>19990414</v>
      </c>
      <c r="S733" s="375" t="s">
        <v>5353</v>
      </c>
      <c r="T733" s="697">
        <v>0.23100000000000001</v>
      </c>
      <c r="U733" s="372" t="s">
        <v>5354</v>
      </c>
      <c r="V733" s="722">
        <v>7.11</v>
      </c>
      <c r="W733" s="722">
        <v>0.28000000000000003</v>
      </c>
      <c r="X733" s="722">
        <v>0.1</v>
      </c>
      <c r="Y733" s="722">
        <v>15.43</v>
      </c>
      <c r="Z733" s="382" t="s">
        <v>924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5355</v>
      </c>
      <c r="B734" s="373" t="s">
        <v>5356</v>
      </c>
      <c r="C734" s="372" t="s">
        <v>5357</v>
      </c>
      <c r="D734" s="374">
        <v>1101115604700</v>
      </c>
      <c r="E734" s="372" t="s">
        <v>5358</v>
      </c>
      <c r="F734" s="375" t="s">
        <v>7209</v>
      </c>
      <c r="G734" s="375" t="s">
        <v>5359</v>
      </c>
      <c r="H734" s="375" t="s">
        <v>3954</v>
      </c>
      <c r="I734" s="375" t="s">
        <v>751</v>
      </c>
      <c r="J734" s="375">
        <v>2234765.7729400001</v>
      </c>
      <c r="K734" s="375">
        <v>44565.11174</v>
      </c>
      <c r="L734" s="375">
        <v>546.32732999999996</v>
      </c>
      <c r="M734" s="375">
        <v>714947.53654999996</v>
      </c>
      <c r="N734" s="372">
        <v>0.6</v>
      </c>
      <c r="O734" s="704">
        <v>396.1616431139708</v>
      </c>
      <c r="P734" s="375" t="s">
        <v>619</v>
      </c>
      <c r="Q734" s="375" t="s">
        <v>619</v>
      </c>
      <c r="R734" s="696">
        <v>20150126</v>
      </c>
      <c r="S734" s="375" t="s">
        <v>5360</v>
      </c>
      <c r="T734" s="697">
        <v>0.20900000000000002</v>
      </c>
      <c r="U734" s="375" t="s">
        <v>5361</v>
      </c>
      <c r="V734" s="722">
        <v>8.6</v>
      </c>
      <c r="W734" s="722">
        <v>0.31</v>
      </c>
      <c r="X734" s="722">
        <v>0.1</v>
      </c>
      <c r="Y734" s="722">
        <v>191.98</v>
      </c>
      <c r="Z734" s="382">
        <v>3.1631664888423838E-2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22599</v>
      </c>
      <c r="AF734" s="372">
        <v>23646.67</v>
      </c>
      <c r="AG734" s="372">
        <v>24851.67</v>
      </c>
      <c r="AH734" s="372">
        <v>0</v>
      </c>
    </row>
    <row r="735" spans="1:34">
      <c r="A735" s="372" t="s">
        <v>5362</v>
      </c>
      <c r="B735" s="373" t="s">
        <v>5363</v>
      </c>
      <c r="C735" s="372" t="s">
        <v>5364</v>
      </c>
      <c r="D735" s="374">
        <v>1701110021543</v>
      </c>
      <c r="E735" s="372" t="s">
        <v>5365</v>
      </c>
      <c r="F735" s="375" t="s">
        <v>2113</v>
      </c>
      <c r="G735" s="375" t="s">
        <v>2114</v>
      </c>
      <c r="H735" s="375" t="s">
        <v>809</v>
      </c>
      <c r="I735" s="375" t="s">
        <v>751</v>
      </c>
      <c r="J735" s="375">
        <v>493235.35768000002</v>
      </c>
      <c r="K735" s="375">
        <v>19158.85642</v>
      </c>
      <c r="L735" s="375">
        <v>9206.5753999999997</v>
      </c>
      <c r="M735" s="375">
        <v>197907.18427999999</v>
      </c>
      <c r="N735" s="372">
        <v>0.65800000000000003</v>
      </c>
      <c r="O735" s="704">
        <v>87.452281232108845</v>
      </c>
      <c r="P735" s="375" t="s">
        <v>619</v>
      </c>
      <c r="Q735" s="375" t="s">
        <v>619</v>
      </c>
      <c r="R735" s="696">
        <v>19881122</v>
      </c>
      <c r="S735" s="375" t="s">
        <v>5366</v>
      </c>
      <c r="T735" s="697">
        <v>0.20900000000000002</v>
      </c>
      <c r="U735" s="375" t="s">
        <v>5367</v>
      </c>
      <c r="V735" s="722">
        <v>0</v>
      </c>
      <c r="W735" s="722">
        <v>0</v>
      </c>
      <c r="X735" s="722">
        <v>0</v>
      </c>
      <c r="Y735" s="722">
        <v>0</v>
      </c>
      <c r="Z735" s="382" t="s">
        <v>924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5368</v>
      </c>
      <c r="B736" s="373" t="s">
        <v>5369</v>
      </c>
      <c r="C736" s="372" t="s">
        <v>5370</v>
      </c>
      <c r="D736" s="374">
        <v>1101112421157</v>
      </c>
      <c r="E736" s="372" t="s">
        <v>5371</v>
      </c>
      <c r="F736" s="372" t="s">
        <v>16098</v>
      </c>
      <c r="G736" s="375" t="s">
        <v>16098</v>
      </c>
      <c r="H736" s="375" t="s">
        <v>858</v>
      </c>
      <c r="I736" s="375" t="s">
        <v>859</v>
      </c>
      <c r="J736" s="375">
        <v>9854.6781900000005</v>
      </c>
      <c r="K736" s="375">
        <v>-25380.194240000001</v>
      </c>
      <c r="L736" s="375">
        <v>-498.45699000000002</v>
      </c>
      <c r="M736" s="375">
        <v>91119.499020000003</v>
      </c>
      <c r="N736" s="372">
        <v>0.443</v>
      </c>
      <c r="O736" s="704">
        <v>22.234048676313872</v>
      </c>
      <c r="P736" s="375" t="s">
        <v>16112</v>
      </c>
      <c r="Q736" s="372" t="s">
        <v>16113</v>
      </c>
      <c r="R736" s="696">
        <v>20151023</v>
      </c>
      <c r="S736" s="372" t="s">
        <v>5372</v>
      </c>
      <c r="T736" s="697" t="s">
        <v>768</v>
      </c>
      <c r="U736" s="372" t="s">
        <v>5373</v>
      </c>
      <c r="V736" s="722" t="s">
        <v>770</v>
      </c>
      <c r="W736" s="722">
        <v>1.9</v>
      </c>
      <c r="X736" s="722">
        <v>17.53</v>
      </c>
      <c r="Y736" s="722">
        <v>4.33</v>
      </c>
      <c r="Z736" s="382" t="s">
        <v>924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5374</v>
      </c>
      <c r="B737" s="373" t="s">
        <v>5375</v>
      </c>
      <c r="C737" s="372" t="s">
        <v>5376</v>
      </c>
      <c r="D737" s="374">
        <v>1201110002189</v>
      </c>
      <c r="E737" s="372" t="s">
        <v>5377</v>
      </c>
      <c r="F737" s="375" t="s">
        <v>808</v>
      </c>
      <c r="G737" s="375" t="s">
        <v>5378</v>
      </c>
      <c r="H737" s="375" t="s">
        <v>809</v>
      </c>
      <c r="I737" s="375" t="s">
        <v>751</v>
      </c>
      <c r="J737" s="375">
        <v>710213.98060000001</v>
      </c>
      <c r="K737" s="375">
        <v>13934.0095</v>
      </c>
      <c r="L737" s="375">
        <v>31134.250739999999</v>
      </c>
      <c r="M737" s="375">
        <v>609789.01008000004</v>
      </c>
      <c r="N737" s="372">
        <v>0.72899999999999998</v>
      </c>
      <c r="O737" s="704">
        <v>105.40718458598452</v>
      </c>
      <c r="P737" s="375" t="s">
        <v>619</v>
      </c>
      <c r="Q737" s="372" t="s">
        <v>619</v>
      </c>
      <c r="R737" s="696">
        <v>19890729</v>
      </c>
      <c r="S737" s="375" t="s">
        <v>5379</v>
      </c>
      <c r="T737" s="697">
        <v>0.23100000000000001</v>
      </c>
      <c r="U737" s="375" t="s">
        <v>5380</v>
      </c>
      <c r="V737" s="722">
        <v>11.69</v>
      </c>
      <c r="W737" s="722">
        <v>0.41</v>
      </c>
      <c r="X737" s="722">
        <v>0.38</v>
      </c>
      <c r="Y737" s="722">
        <v>14.77</v>
      </c>
      <c r="Z737" s="382" t="s">
        <v>924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5381</v>
      </c>
      <c r="B738" s="373" t="s">
        <v>5382</v>
      </c>
      <c r="C738" s="372" t="s">
        <v>5383</v>
      </c>
      <c r="D738" s="374">
        <v>1101111848914</v>
      </c>
      <c r="E738" s="372" t="s">
        <v>5384</v>
      </c>
      <c r="F738" s="375" t="s">
        <v>1367</v>
      </c>
      <c r="G738" s="375" t="s">
        <v>1367</v>
      </c>
      <c r="H738" s="375" t="s">
        <v>858</v>
      </c>
      <c r="I738" s="375" t="s">
        <v>859</v>
      </c>
      <c r="J738" s="375">
        <v>161125.75388999999</v>
      </c>
      <c r="K738" s="375">
        <v>-9272.3510999999999</v>
      </c>
      <c r="L738" s="375">
        <v>-29227.266390000001</v>
      </c>
      <c r="M738" s="375">
        <v>252729.01686</v>
      </c>
      <c r="N738" s="372">
        <v>1.077</v>
      </c>
      <c r="O738" s="704">
        <v>118.49810837526049</v>
      </c>
      <c r="P738" s="375" t="s">
        <v>619</v>
      </c>
      <c r="Q738" s="375" t="s">
        <v>619</v>
      </c>
      <c r="R738" s="696">
        <v>20090730</v>
      </c>
      <c r="S738" s="375" t="s">
        <v>2502</v>
      </c>
      <c r="T738" s="697" t="s">
        <v>768</v>
      </c>
      <c r="U738" s="375" t="s">
        <v>15870</v>
      </c>
      <c r="V738" s="722" t="s">
        <v>770</v>
      </c>
      <c r="W738" s="722">
        <v>0.54</v>
      </c>
      <c r="X738" s="722">
        <v>0.91</v>
      </c>
      <c r="Y738" s="722" t="s">
        <v>770</v>
      </c>
      <c r="Z738" s="382" t="s">
        <v>924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5385</v>
      </c>
      <c r="B739" s="373" t="s">
        <v>5386</v>
      </c>
      <c r="C739" s="372" t="s">
        <v>5387</v>
      </c>
      <c r="D739" s="374">
        <v>1101110032899</v>
      </c>
      <c r="E739" s="372" t="s">
        <v>5388</v>
      </c>
      <c r="F739" s="375" t="s">
        <v>4053</v>
      </c>
      <c r="G739" s="375" t="s">
        <v>4053</v>
      </c>
      <c r="H739" s="375" t="s">
        <v>1040</v>
      </c>
      <c r="I739" s="375" t="s">
        <v>751</v>
      </c>
      <c r="J739" s="375">
        <v>806928.47858999996</v>
      </c>
      <c r="K739" s="375">
        <v>27316.993849999999</v>
      </c>
      <c r="L739" s="375">
        <v>17437.071940000002</v>
      </c>
      <c r="M739" s="375">
        <v>389300.91733999999</v>
      </c>
      <c r="N739" s="372">
        <v>0.91300000000000003</v>
      </c>
      <c r="O739" s="704">
        <v>190.88749636783623</v>
      </c>
      <c r="P739" s="375" t="s">
        <v>619</v>
      </c>
      <c r="Q739" s="375" t="s">
        <v>619</v>
      </c>
      <c r="R739" s="696">
        <v>19730626</v>
      </c>
      <c r="S739" s="375" t="s">
        <v>5389</v>
      </c>
      <c r="T739" s="697">
        <v>0.20900000000000002</v>
      </c>
      <c r="U739" s="372" t="s">
        <v>5390</v>
      </c>
      <c r="V739" s="722">
        <v>7.74</v>
      </c>
      <c r="W739" s="722">
        <v>0.35</v>
      </c>
      <c r="X739" s="722">
        <v>0.17</v>
      </c>
      <c r="Y739" s="722">
        <v>8.5299999999999994</v>
      </c>
      <c r="Z739" s="382" t="s">
        <v>924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5391</v>
      </c>
      <c r="B740" s="373" t="s">
        <v>5392</v>
      </c>
      <c r="C740" s="372" t="s">
        <v>5393</v>
      </c>
      <c r="D740" s="374">
        <v>1701110387416</v>
      </c>
      <c r="E740" s="372" t="s">
        <v>5394</v>
      </c>
      <c r="F740" s="375" t="s">
        <v>1588</v>
      </c>
      <c r="G740" s="375" t="s">
        <v>1588</v>
      </c>
      <c r="H740" s="375" t="s">
        <v>943</v>
      </c>
      <c r="I740" s="375" t="s">
        <v>751</v>
      </c>
      <c r="J740" s="375">
        <v>997017.91770999995</v>
      </c>
      <c r="K740" s="375">
        <v>23551.885060000001</v>
      </c>
      <c r="L740" s="375">
        <v>23110.036410000001</v>
      </c>
      <c r="M740" s="375">
        <v>322470.55348</v>
      </c>
      <c r="N740" s="372">
        <v>0.64700000000000002</v>
      </c>
      <c r="O740" s="704">
        <v>50.71305731068523</v>
      </c>
      <c r="P740" s="375" t="s">
        <v>619</v>
      </c>
      <c r="Q740" s="375" t="s">
        <v>619</v>
      </c>
      <c r="R740" s="696">
        <v>20101224</v>
      </c>
      <c r="S740" s="375" t="s">
        <v>5395</v>
      </c>
      <c r="T740" s="697">
        <v>0.23100000000000001</v>
      </c>
      <c r="U740" s="375" t="s">
        <v>5396</v>
      </c>
      <c r="V740" s="722">
        <v>6.59</v>
      </c>
      <c r="W740" s="722">
        <v>0.82</v>
      </c>
      <c r="X740" s="722">
        <v>0.27</v>
      </c>
      <c r="Y740" s="722">
        <v>14.11</v>
      </c>
      <c r="Z740" s="382" t="s">
        <v>924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5397</v>
      </c>
      <c r="B741" s="373" t="s">
        <v>5398</v>
      </c>
      <c r="C741" s="372" t="s">
        <v>5399</v>
      </c>
      <c r="D741" s="374">
        <v>1101116202305</v>
      </c>
      <c r="E741" s="372" t="s">
        <v>5400</v>
      </c>
      <c r="F741" s="375" t="s">
        <v>16098</v>
      </c>
      <c r="G741" s="375" t="s">
        <v>16098</v>
      </c>
      <c r="H741" s="375" t="s">
        <v>858</v>
      </c>
      <c r="I741" s="375" t="s">
        <v>859</v>
      </c>
      <c r="J741" s="375">
        <v>86903.322450000007</v>
      </c>
      <c r="K741" s="375">
        <v>10088.7147</v>
      </c>
      <c r="L741" s="375">
        <v>7543.8461399999997</v>
      </c>
      <c r="M741" s="375">
        <v>219501.19792999999</v>
      </c>
      <c r="N741" s="372">
        <v>1.589</v>
      </c>
      <c r="O741" s="704">
        <v>3.7007270124514102</v>
      </c>
      <c r="P741" s="375" t="s">
        <v>619</v>
      </c>
      <c r="Q741" s="375" t="s">
        <v>619</v>
      </c>
      <c r="R741" s="696">
        <v>20151218</v>
      </c>
      <c r="S741" s="375" t="s">
        <v>5401</v>
      </c>
      <c r="T741" s="697">
        <v>0.20900000000000002</v>
      </c>
      <c r="U741" s="375" t="s">
        <v>5402</v>
      </c>
      <c r="V741" s="722">
        <v>20.91</v>
      </c>
      <c r="W741" s="722">
        <v>1.8</v>
      </c>
      <c r="X741" s="722">
        <v>4.49</v>
      </c>
      <c r="Y741" s="722">
        <v>26.02</v>
      </c>
      <c r="Z741" s="382" t="s">
        <v>924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5403</v>
      </c>
      <c r="B742" s="373" t="s">
        <v>5404</v>
      </c>
      <c r="C742" s="372" t="s">
        <v>5405</v>
      </c>
      <c r="D742" s="374">
        <v>1801110611863</v>
      </c>
      <c r="E742" s="372" t="s">
        <v>5406</v>
      </c>
      <c r="F742" s="375" t="s">
        <v>5407</v>
      </c>
      <c r="G742" s="375" t="s">
        <v>5408</v>
      </c>
      <c r="H742" s="375" t="s">
        <v>858</v>
      </c>
      <c r="I742" s="375" t="s">
        <v>859</v>
      </c>
      <c r="J742" s="375">
        <v>77104.042010000005</v>
      </c>
      <c r="K742" s="375">
        <v>-1096.8923299999999</v>
      </c>
      <c r="L742" s="375">
        <v>448.02715000000001</v>
      </c>
      <c r="M742" s="375">
        <v>88179.433000000005</v>
      </c>
      <c r="N742" s="372">
        <v>0.97599999999999998</v>
      </c>
      <c r="O742" s="704">
        <v>13.529563290267321</v>
      </c>
      <c r="P742" s="375" t="s">
        <v>619</v>
      </c>
      <c r="Q742" s="375" t="s">
        <v>619</v>
      </c>
      <c r="R742" s="696">
        <v>20191121</v>
      </c>
      <c r="S742" s="375" t="s">
        <v>5409</v>
      </c>
      <c r="T742" s="697">
        <v>0.20900000000000002</v>
      </c>
      <c r="U742" s="372" t="s">
        <v>5410</v>
      </c>
      <c r="V742" s="722">
        <v>76.58</v>
      </c>
      <c r="W742" s="722">
        <v>1.95</v>
      </c>
      <c r="X742" s="722">
        <v>2.23</v>
      </c>
      <c r="Y742" s="722">
        <v>150.9</v>
      </c>
      <c r="Z742" s="382">
        <v>0.21116667405718048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1008.9</v>
      </c>
      <c r="AF742" s="372">
        <v>1370.98</v>
      </c>
      <c r="AG742" s="372">
        <v>1648.5</v>
      </c>
      <c r="AH742" s="372">
        <v>0</v>
      </c>
    </row>
    <row r="743" spans="1:34">
      <c r="A743" s="372" t="s">
        <v>5411</v>
      </c>
      <c r="B743" s="373" t="s">
        <v>5412</v>
      </c>
      <c r="C743" s="372" t="s">
        <v>5413</v>
      </c>
      <c r="D743" s="374">
        <v>1348110024878</v>
      </c>
      <c r="E743" s="372" t="s">
        <v>5414</v>
      </c>
      <c r="F743" s="375" t="s">
        <v>1182</v>
      </c>
      <c r="G743" s="375" t="s">
        <v>1183</v>
      </c>
      <c r="H743" s="375" t="s">
        <v>858</v>
      </c>
      <c r="I743" s="375" t="s">
        <v>859</v>
      </c>
      <c r="J743" s="375">
        <v>217994.19078999999</v>
      </c>
      <c r="K743" s="375">
        <v>8742.9419099999996</v>
      </c>
      <c r="L743" s="375">
        <v>11671.10823</v>
      </c>
      <c r="M743" s="375">
        <v>221526.55614999999</v>
      </c>
      <c r="N743" s="372">
        <v>1.2010000000000001</v>
      </c>
      <c r="O743" s="704">
        <v>3.6764989304072966</v>
      </c>
      <c r="P743" s="375" t="s">
        <v>619</v>
      </c>
      <c r="Q743" s="372" t="s">
        <v>619</v>
      </c>
      <c r="R743" s="696">
        <v>19991208</v>
      </c>
      <c r="S743" s="372" t="s">
        <v>5415</v>
      </c>
      <c r="T743" s="697">
        <v>0.20900000000000002</v>
      </c>
      <c r="U743" s="375" t="s">
        <v>5416</v>
      </c>
      <c r="V743" s="722">
        <v>21.2</v>
      </c>
      <c r="W743" s="722">
        <v>1.05</v>
      </c>
      <c r="X743" s="722">
        <v>1.0900000000000001</v>
      </c>
      <c r="Y743" s="722">
        <v>23.33</v>
      </c>
      <c r="Z743" s="382">
        <v>0.10134503628285207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2303</v>
      </c>
      <c r="AF743" s="372">
        <v>2943.5</v>
      </c>
      <c r="AG743" s="372">
        <v>3415</v>
      </c>
      <c r="AH743" s="372">
        <v>0</v>
      </c>
    </row>
    <row r="744" spans="1:34">
      <c r="A744" s="372" t="s">
        <v>5417</v>
      </c>
      <c r="B744" s="373" t="s">
        <v>5418</v>
      </c>
      <c r="C744" s="372" t="s">
        <v>5419</v>
      </c>
      <c r="D744" s="374">
        <v>1101111637383</v>
      </c>
      <c r="E744" s="372" t="s">
        <v>5420</v>
      </c>
      <c r="F744" s="375" t="s">
        <v>16116</v>
      </c>
      <c r="G744" s="375" t="s">
        <v>16116</v>
      </c>
      <c r="H744" s="375" t="s">
        <v>1528</v>
      </c>
      <c r="I744" s="375" t="s">
        <v>859</v>
      </c>
      <c r="J744" s="375">
        <v>258095.55468999999</v>
      </c>
      <c r="K744" s="375">
        <v>-6909.8010400000003</v>
      </c>
      <c r="L744" s="375">
        <v>-8416.1890999999996</v>
      </c>
      <c r="M744" s="375">
        <v>162887.77280999999</v>
      </c>
      <c r="N744" s="372">
        <v>1.1120000000000001</v>
      </c>
      <c r="O744" s="704">
        <v>2.1627117025181395</v>
      </c>
      <c r="P744" s="375" t="s">
        <v>619</v>
      </c>
      <c r="Q744" s="375" t="s">
        <v>619</v>
      </c>
      <c r="R744" s="696">
        <v>20031217</v>
      </c>
      <c r="S744" s="375" t="s">
        <v>5421</v>
      </c>
      <c r="T744" s="697" t="s">
        <v>768</v>
      </c>
      <c r="U744" s="372" t="s">
        <v>5422</v>
      </c>
      <c r="V744" s="722" t="s">
        <v>770</v>
      </c>
      <c r="W744" s="722">
        <v>0.89</v>
      </c>
      <c r="X744" s="722">
        <v>0.55000000000000004</v>
      </c>
      <c r="Y744" s="722" t="s">
        <v>770</v>
      </c>
      <c r="Z744" s="382" t="s">
        <v>924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5423</v>
      </c>
      <c r="B745" s="373" t="s">
        <v>5424</v>
      </c>
      <c r="C745" s="372" t="s">
        <v>5425</v>
      </c>
      <c r="D745" s="374">
        <v>1101111636004</v>
      </c>
      <c r="E745" s="372" t="s">
        <v>5426</v>
      </c>
      <c r="F745" s="375" t="s">
        <v>16098</v>
      </c>
      <c r="G745" s="375" t="s">
        <v>16098</v>
      </c>
      <c r="H745" s="375" t="s">
        <v>858</v>
      </c>
      <c r="I745" s="375" t="s">
        <v>859</v>
      </c>
      <c r="J745" s="375">
        <v>8614.7928900000006</v>
      </c>
      <c r="K745" s="375">
        <v>-4050.3276500000002</v>
      </c>
      <c r="L745" s="375">
        <v>-3967.3944099999999</v>
      </c>
      <c r="M745" s="375">
        <v>89369.454400000002</v>
      </c>
      <c r="N745" s="372">
        <v>0.63100000000000001</v>
      </c>
      <c r="O745" s="704">
        <v>0.22046890115999165</v>
      </c>
      <c r="P745" s="375" t="s">
        <v>619</v>
      </c>
      <c r="Q745" s="375" t="s">
        <v>619</v>
      </c>
      <c r="R745" s="696">
        <v>20110126</v>
      </c>
      <c r="S745" s="375" t="s">
        <v>5427</v>
      </c>
      <c r="T745" s="697" t="s">
        <v>768</v>
      </c>
      <c r="U745" s="375" t="s">
        <v>5428</v>
      </c>
      <c r="V745" s="722" t="s">
        <v>770</v>
      </c>
      <c r="W745" s="722">
        <v>1.92</v>
      </c>
      <c r="X745" s="722">
        <v>22.99</v>
      </c>
      <c r="Y745" s="722" t="s">
        <v>770</v>
      </c>
      <c r="Z745" s="382" t="s">
        <v>924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5429</v>
      </c>
      <c r="B746" s="373" t="s">
        <v>5430</v>
      </c>
      <c r="C746" s="372" t="s">
        <v>5431</v>
      </c>
      <c r="D746" s="374">
        <v>1101111621956</v>
      </c>
      <c r="E746" s="372" t="s">
        <v>5432</v>
      </c>
      <c r="F746" s="375" t="s">
        <v>1653</v>
      </c>
      <c r="G746" s="375" t="s">
        <v>1653</v>
      </c>
      <c r="H746" s="375" t="s">
        <v>858</v>
      </c>
      <c r="I746" s="375" t="s">
        <v>859</v>
      </c>
      <c r="J746" s="375">
        <v>11731.7518</v>
      </c>
      <c r="K746" s="375">
        <v>-11022.0947</v>
      </c>
      <c r="L746" s="375">
        <v>-20122.569100000001</v>
      </c>
      <c r="M746" s="375">
        <v>105733.40173</v>
      </c>
      <c r="N746" s="372">
        <v>0.66300000000000003</v>
      </c>
      <c r="O746" s="704">
        <v>73.528072997014277</v>
      </c>
      <c r="P746" s="375" t="s">
        <v>619</v>
      </c>
      <c r="Q746" s="372" t="s">
        <v>619</v>
      </c>
      <c r="R746" s="696">
        <v>20071019</v>
      </c>
      <c r="S746" s="372" t="s">
        <v>5433</v>
      </c>
      <c r="T746" s="697" t="s">
        <v>768</v>
      </c>
      <c r="U746" s="375" t="s">
        <v>5434</v>
      </c>
      <c r="V746" s="722" t="s">
        <v>770</v>
      </c>
      <c r="W746" s="722">
        <v>1.64</v>
      </c>
      <c r="X746" s="722">
        <v>14.77</v>
      </c>
      <c r="Y746" s="722" t="s">
        <v>770</v>
      </c>
      <c r="Z746" s="382" t="s">
        <v>924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5435</v>
      </c>
      <c r="B747" s="373" t="s">
        <v>5436</v>
      </c>
      <c r="C747" s="372" t="s">
        <v>5437</v>
      </c>
      <c r="D747" s="374">
        <v>1648110035647</v>
      </c>
      <c r="E747" s="372" t="s">
        <v>5438</v>
      </c>
      <c r="F747" s="372" t="s">
        <v>3718</v>
      </c>
      <c r="G747" s="375" t="s">
        <v>5439</v>
      </c>
      <c r="H747" s="375" t="s">
        <v>823</v>
      </c>
      <c r="I747" s="375" t="s">
        <v>751</v>
      </c>
      <c r="J747" s="375">
        <v>472945.0062</v>
      </c>
      <c r="K747" s="375">
        <v>-5538.2822900000001</v>
      </c>
      <c r="L747" s="375">
        <v>14767.52571</v>
      </c>
      <c r="M747" s="375">
        <v>528116.42387000006</v>
      </c>
      <c r="N747" s="372">
        <v>0.20100000000000001</v>
      </c>
      <c r="O747" s="704">
        <v>7.9686087216070209</v>
      </c>
      <c r="P747" s="375" t="s">
        <v>619</v>
      </c>
      <c r="Q747" s="372" t="s">
        <v>619</v>
      </c>
      <c r="R747" s="696">
        <v>20100128</v>
      </c>
      <c r="S747" s="372" t="s">
        <v>5440</v>
      </c>
      <c r="T747" s="697">
        <v>0.20900000000000002</v>
      </c>
      <c r="U747" s="372" t="s">
        <v>5441</v>
      </c>
      <c r="V747" s="722">
        <v>18.41</v>
      </c>
      <c r="W747" s="722">
        <v>0.71</v>
      </c>
      <c r="X747" s="722">
        <v>0.91</v>
      </c>
      <c r="Y747" s="722">
        <v>50.33</v>
      </c>
      <c r="Z747" s="382" t="s">
        <v>924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5442</v>
      </c>
      <c r="B748" s="373" t="s">
        <v>5443</v>
      </c>
      <c r="C748" s="372" t="s">
        <v>5444</v>
      </c>
      <c r="D748" s="374">
        <v>1101116420361</v>
      </c>
      <c r="E748" s="372" t="s">
        <v>5445</v>
      </c>
      <c r="F748" s="375" t="s">
        <v>1320</v>
      </c>
      <c r="G748" s="375" t="s">
        <v>16103</v>
      </c>
      <c r="H748" s="375" t="s">
        <v>781</v>
      </c>
      <c r="I748" s="375" t="s">
        <v>751</v>
      </c>
      <c r="J748" s="375">
        <v>697643.27884000004</v>
      </c>
      <c r="K748" s="375">
        <v>-22885.64992</v>
      </c>
      <c r="L748" s="375">
        <v>-38023.996010000003</v>
      </c>
      <c r="M748" s="375">
        <v>183750.70762</v>
      </c>
      <c r="N748" s="372">
        <v>0.76800000000000002</v>
      </c>
      <c r="O748" s="704">
        <v>37.288484619994193</v>
      </c>
      <c r="P748" s="375" t="s">
        <v>619</v>
      </c>
      <c r="Q748" s="375" t="s">
        <v>619</v>
      </c>
      <c r="R748" s="696">
        <v>20170717</v>
      </c>
      <c r="S748" s="375" t="s">
        <v>1341</v>
      </c>
      <c r="T748" s="697" t="s">
        <v>768</v>
      </c>
      <c r="U748" s="375" t="s">
        <v>5446</v>
      </c>
      <c r="V748" s="722" t="s">
        <v>770</v>
      </c>
      <c r="W748" s="722">
        <v>1.26</v>
      </c>
      <c r="X748" s="722">
        <v>0.31</v>
      </c>
      <c r="Y748" s="722" t="s">
        <v>770</v>
      </c>
      <c r="Z748" s="382" t="s">
        <v>924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5447</v>
      </c>
      <c r="B749" s="373" t="s">
        <v>5448</v>
      </c>
      <c r="C749" s="372" t="s">
        <v>5449</v>
      </c>
      <c r="D749" s="374">
        <v>1449110000072</v>
      </c>
      <c r="E749" s="372" t="s">
        <v>5450</v>
      </c>
      <c r="F749" s="372" t="s">
        <v>3858</v>
      </c>
      <c r="G749" s="375" t="s">
        <v>3858</v>
      </c>
      <c r="H749" s="375" t="s">
        <v>843</v>
      </c>
      <c r="I749" s="375" t="s">
        <v>751</v>
      </c>
      <c r="J749" s="375">
        <v>96108.495699999999</v>
      </c>
      <c r="K749" s="375">
        <v>-3407.0490399999999</v>
      </c>
      <c r="L749" s="375">
        <v>-11693.8253</v>
      </c>
      <c r="M749" s="375">
        <v>93669.399149999997</v>
      </c>
      <c r="N749" s="372">
        <v>1.206</v>
      </c>
      <c r="O749" s="704">
        <v>16.413002368805348</v>
      </c>
      <c r="P749" s="375" t="s">
        <v>619</v>
      </c>
      <c r="Q749" s="372" t="s">
        <v>619</v>
      </c>
      <c r="R749" s="696">
        <v>19900323</v>
      </c>
      <c r="S749" s="372" t="s">
        <v>5451</v>
      </c>
      <c r="T749" s="697" t="s">
        <v>768</v>
      </c>
      <c r="U749" s="372" t="s">
        <v>15871</v>
      </c>
      <c r="V749" s="722">
        <v>127.95</v>
      </c>
      <c r="W749" s="722">
        <v>2.66</v>
      </c>
      <c r="X749" s="722">
        <v>2.42</v>
      </c>
      <c r="Y749" s="722" t="s">
        <v>770</v>
      </c>
      <c r="Z749" s="382" t="s">
        <v>924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5452</v>
      </c>
      <c r="B750" s="373" t="s">
        <v>5453</v>
      </c>
      <c r="C750" s="372" t="s">
        <v>5454</v>
      </c>
      <c r="D750" s="374">
        <v>1601110109896</v>
      </c>
      <c r="E750" s="372" t="s">
        <v>5455</v>
      </c>
      <c r="F750" s="375" t="s">
        <v>1761</v>
      </c>
      <c r="G750" s="375" t="s">
        <v>2235</v>
      </c>
      <c r="H750" s="375" t="s">
        <v>858</v>
      </c>
      <c r="I750" s="375" t="s">
        <v>859</v>
      </c>
      <c r="J750" s="375">
        <v>75693.475630000001</v>
      </c>
      <c r="K750" s="375">
        <v>-3574.9246600000001</v>
      </c>
      <c r="L750" s="375">
        <v>8600.9502599999996</v>
      </c>
      <c r="M750" s="375">
        <v>153332.85655999999</v>
      </c>
      <c r="N750" s="372">
        <v>1.232</v>
      </c>
      <c r="O750" s="704">
        <v>0.2101801588596249</v>
      </c>
      <c r="P750" s="375" t="s">
        <v>619</v>
      </c>
      <c r="Q750" s="372" t="s">
        <v>619</v>
      </c>
      <c r="R750" s="696">
        <v>20071116</v>
      </c>
      <c r="S750" s="372" t="s">
        <v>5456</v>
      </c>
      <c r="T750" s="697">
        <v>0.20900000000000002</v>
      </c>
      <c r="U750" s="372" t="s">
        <v>5457</v>
      </c>
      <c r="V750" s="722">
        <v>0</v>
      </c>
      <c r="W750" s="722">
        <v>0</v>
      </c>
      <c r="X750" s="722">
        <v>0</v>
      </c>
      <c r="Y750" s="722">
        <v>0</v>
      </c>
      <c r="Z750" s="382" t="s">
        <v>924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5458</v>
      </c>
      <c r="B751" s="373" t="s">
        <v>5459</v>
      </c>
      <c r="C751" s="372" t="s">
        <v>5460</v>
      </c>
      <c r="D751" s="374">
        <v>1101113579947</v>
      </c>
      <c r="E751" s="372" t="s">
        <v>5461</v>
      </c>
      <c r="F751" s="372" t="s">
        <v>1367</v>
      </c>
      <c r="G751" s="375" t="s">
        <v>1367</v>
      </c>
      <c r="H751" s="375" t="s">
        <v>858</v>
      </c>
      <c r="I751" s="375" t="s">
        <v>859</v>
      </c>
      <c r="J751" s="375">
        <v>73020.488570000001</v>
      </c>
      <c r="K751" s="375">
        <v>15326.07523</v>
      </c>
      <c r="L751" s="375">
        <v>6419.36834</v>
      </c>
      <c r="M751" s="375">
        <v>134920.19714999999</v>
      </c>
      <c r="N751" s="372">
        <v>0.68100000000000005</v>
      </c>
      <c r="O751" s="704">
        <v>5.1169508965346244</v>
      </c>
      <c r="P751" s="375" t="s">
        <v>619</v>
      </c>
      <c r="Q751" s="372" t="s">
        <v>619</v>
      </c>
      <c r="R751" s="696">
        <v>20210428</v>
      </c>
      <c r="S751" s="372" t="s">
        <v>5462</v>
      </c>
      <c r="T751" s="697">
        <v>0.20900000000000002</v>
      </c>
      <c r="U751" s="372" t="s">
        <v>5463</v>
      </c>
      <c r="V751" s="722">
        <v>7.81</v>
      </c>
      <c r="W751" s="722">
        <v>1.18</v>
      </c>
      <c r="X751" s="722">
        <v>2.2000000000000002</v>
      </c>
      <c r="Y751" s="722">
        <v>28.51</v>
      </c>
      <c r="Z751" s="382">
        <v>7.7053678075378329E-2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747</v>
      </c>
      <c r="AF751" s="372">
        <v>833</v>
      </c>
      <c r="AG751" s="372">
        <v>920</v>
      </c>
      <c r="AH751" s="372">
        <v>0</v>
      </c>
    </row>
    <row r="752" spans="1:34">
      <c r="A752" s="372" t="s">
        <v>5464</v>
      </c>
      <c r="B752" s="373" t="s">
        <v>5465</v>
      </c>
      <c r="C752" s="372" t="s">
        <v>5466</v>
      </c>
      <c r="D752" s="374">
        <v>1101115480233</v>
      </c>
      <c r="E752" s="372" t="s">
        <v>5467</v>
      </c>
      <c r="F752" s="375" t="s">
        <v>1140</v>
      </c>
      <c r="G752" s="375" t="s">
        <v>1141</v>
      </c>
      <c r="H752" s="375" t="s">
        <v>892</v>
      </c>
      <c r="I752" s="375" t="s">
        <v>859</v>
      </c>
      <c r="J752" s="375">
        <v>132970.84766</v>
      </c>
      <c r="K752" s="375">
        <v>21616.980159999999</v>
      </c>
      <c r="L752" s="375">
        <v>3338.3319299999998</v>
      </c>
      <c r="M752" s="375">
        <v>127877.50423999999</v>
      </c>
      <c r="N752" s="372">
        <v>0.316</v>
      </c>
      <c r="O752" s="704">
        <v>2.551618700147817</v>
      </c>
      <c r="P752" s="375" t="s">
        <v>619</v>
      </c>
      <c r="Q752" s="375" t="s">
        <v>619</v>
      </c>
      <c r="R752" s="696">
        <v>20141119</v>
      </c>
      <c r="S752" s="375" t="s">
        <v>5469</v>
      </c>
      <c r="T752" s="697">
        <v>0.20900000000000002</v>
      </c>
      <c r="U752" s="372" t="s">
        <v>5470</v>
      </c>
      <c r="V752" s="722">
        <v>10.46</v>
      </c>
      <c r="W752" s="722">
        <v>2.04</v>
      </c>
      <c r="X752" s="722">
        <v>1.65</v>
      </c>
      <c r="Y752" s="722" t="s">
        <v>770</v>
      </c>
      <c r="Z752" s="382" t="s">
        <v>924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1334</v>
      </c>
      <c r="AF752" s="372">
        <v>1424</v>
      </c>
      <c r="AG752" s="372">
        <v>0</v>
      </c>
      <c r="AH752" s="372">
        <v>0</v>
      </c>
    </row>
    <row r="753" spans="1:34">
      <c r="A753" s="372" t="s">
        <v>5471</v>
      </c>
      <c r="B753" s="373" t="s">
        <v>5472</v>
      </c>
      <c r="C753" s="372" t="s">
        <v>5473</v>
      </c>
      <c r="D753" s="374">
        <v>1101110554992</v>
      </c>
      <c r="E753" s="372" t="s">
        <v>5474</v>
      </c>
      <c r="F753" s="375" t="s">
        <v>5475</v>
      </c>
      <c r="G753" s="375" t="s">
        <v>5476</v>
      </c>
      <c r="H753" s="375" t="s">
        <v>965</v>
      </c>
      <c r="I753" s="375" t="s">
        <v>751</v>
      </c>
      <c r="J753" s="375">
        <v>1017074.54528</v>
      </c>
      <c r="K753" s="375">
        <v>111722.99789</v>
      </c>
      <c r="L753" s="375">
        <v>195975.07427000001</v>
      </c>
      <c r="M753" s="375">
        <v>483661.49109000002</v>
      </c>
      <c r="N753" s="372">
        <v>0.57499999999999996</v>
      </c>
      <c r="O753" s="704">
        <v>373.63789428878783</v>
      </c>
      <c r="P753" s="375" t="s">
        <v>619</v>
      </c>
      <c r="Q753" s="372" t="s">
        <v>619</v>
      </c>
      <c r="R753" s="696">
        <v>20160204</v>
      </c>
      <c r="S753" s="372" t="s">
        <v>5477</v>
      </c>
      <c r="T753" s="697">
        <v>0.23100000000000001</v>
      </c>
      <c r="U753" s="372" t="s">
        <v>5478</v>
      </c>
      <c r="V753" s="722">
        <v>7.83</v>
      </c>
      <c r="W753" s="722">
        <v>0.42</v>
      </c>
      <c r="X753" s="722">
        <v>0.19</v>
      </c>
      <c r="Y753" s="722">
        <v>1.21</v>
      </c>
      <c r="Z753" s="382">
        <v>0.11460312699855879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10840.5</v>
      </c>
      <c r="AF753" s="372">
        <v>12403.5</v>
      </c>
      <c r="AG753" s="372">
        <v>13316</v>
      </c>
      <c r="AH753" s="372">
        <v>0</v>
      </c>
    </row>
    <row r="754" spans="1:34">
      <c r="A754" s="372" t="s">
        <v>5479</v>
      </c>
      <c r="B754" s="373" t="s">
        <v>5480</v>
      </c>
      <c r="C754" s="372" t="s">
        <v>5481</v>
      </c>
      <c r="D754" s="374">
        <v>1348110094160</v>
      </c>
      <c r="E754" s="372" t="s">
        <v>5482</v>
      </c>
      <c r="F754" s="375" t="s">
        <v>1653</v>
      </c>
      <c r="G754" s="375" t="s">
        <v>1653</v>
      </c>
      <c r="H754" s="375" t="s">
        <v>858</v>
      </c>
      <c r="I754" s="375" t="s">
        <v>859</v>
      </c>
      <c r="J754" s="375">
        <v>580628.48271000001</v>
      </c>
      <c r="K754" s="375">
        <v>32731.349740000001</v>
      </c>
      <c r="L754" s="375">
        <v>29887.61867</v>
      </c>
      <c r="M754" s="375">
        <v>149205.24048000001</v>
      </c>
      <c r="N754" s="372">
        <v>1.1890000000000001</v>
      </c>
      <c r="O754" s="704">
        <v>6.1362284180085931</v>
      </c>
      <c r="P754" s="375" t="s">
        <v>619</v>
      </c>
      <c r="Q754" s="375" t="s">
        <v>619</v>
      </c>
      <c r="R754" s="696">
        <v>20040512</v>
      </c>
      <c r="S754" s="375" t="s">
        <v>5483</v>
      </c>
      <c r="T754" s="697">
        <v>0.23100000000000001</v>
      </c>
      <c r="U754" s="375" t="s">
        <v>5484</v>
      </c>
      <c r="V754" s="722">
        <v>4.2</v>
      </c>
      <c r="W754" s="722">
        <v>1.37</v>
      </c>
      <c r="X754" s="722">
        <v>0.36</v>
      </c>
      <c r="Y754" s="722">
        <v>8.75</v>
      </c>
      <c r="Z754" s="382" t="s">
        <v>924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5485</v>
      </c>
      <c r="B755" s="373" t="s">
        <v>5486</v>
      </c>
      <c r="C755" s="372" t="s">
        <v>5487</v>
      </c>
      <c r="D755" s="374">
        <v>1101111803976</v>
      </c>
      <c r="E755" s="372" t="s">
        <v>5488</v>
      </c>
      <c r="F755" s="375" t="s">
        <v>842</v>
      </c>
      <c r="G755" s="375" t="s">
        <v>842</v>
      </c>
      <c r="H755" s="375" t="s">
        <v>3096</v>
      </c>
      <c r="I755" s="375" t="s">
        <v>859</v>
      </c>
      <c r="J755" s="375">
        <v>37594.552609999999</v>
      </c>
      <c r="K755" s="375">
        <v>-4304.2207699999999</v>
      </c>
      <c r="L755" s="375">
        <v>-23407.80586</v>
      </c>
      <c r="M755" s="375">
        <v>94750.711240000004</v>
      </c>
      <c r="N755" s="372">
        <v>0.56999999999999995</v>
      </c>
      <c r="O755" s="704">
        <v>4.3280631939959315</v>
      </c>
      <c r="P755" s="375" t="s">
        <v>16112</v>
      </c>
      <c r="Q755" s="372" t="s">
        <v>16113</v>
      </c>
      <c r="R755" s="696">
        <v>20080125</v>
      </c>
      <c r="S755" s="375" t="s">
        <v>5489</v>
      </c>
      <c r="T755" s="697" t="s">
        <v>768</v>
      </c>
      <c r="U755" s="375" t="s">
        <v>5490</v>
      </c>
      <c r="V755" s="722" t="s">
        <v>770</v>
      </c>
      <c r="W755" s="722">
        <v>2.74</v>
      </c>
      <c r="X755" s="722">
        <v>6.53</v>
      </c>
      <c r="Y755" s="722" t="s">
        <v>770</v>
      </c>
      <c r="Z755" s="382" t="s">
        <v>924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5491</v>
      </c>
      <c r="B756" s="373" t="s">
        <v>5492</v>
      </c>
      <c r="C756" s="372" t="s">
        <v>5493</v>
      </c>
      <c r="D756" s="374">
        <v>1801110902791</v>
      </c>
      <c r="E756" s="372" t="s">
        <v>5494</v>
      </c>
      <c r="F756" s="375" t="s">
        <v>1113</v>
      </c>
      <c r="G756" s="375" t="s">
        <v>1333</v>
      </c>
      <c r="H756" s="375" t="s">
        <v>1334</v>
      </c>
      <c r="I756" s="375" t="s">
        <v>859</v>
      </c>
      <c r="J756" s="375">
        <v>8831.4408600000006</v>
      </c>
      <c r="K756" s="375">
        <v>-7273.7826999999997</v>
      </c>
      <c r="L756" s="375">
        <v>-6556.7988100000002</v>
      </c>
      <c r="M756" s="375">
        <v>-22398.99697</v>
      </c>
      <c r="N756" s="372">
        <v>0.33500000000000002</v>
      </c>
      <c r="O756" s="704">
        <v>14.23714789833523</v>
      </c>
      <c r="P756" s="375" t="s">
        <v>16112</v>
      </c>
      <c r="Q756" s="372" t="s">
        <v>16113</v>
      </c>
      <c r="R756" s="696">
        <v>20181109</v>
      </c>
      <c r="S756" s="372" t="s">
        <v>5495</v>
      </c>
      <c r="T756" s="697" t="s">
        <v>768</v>
      </c>
      <c r="U756" s="372" t="s">
        <v>5496</v>
      </c>
      <c r="V756" s="722" t="s">
        <v>770</v>
      </c>
      <c r="W756" s="722" t="s">
        <v>770</v>
      </c>
      <c r="X756" s="722">
        <v>28.13</v>
      </c>
      <c r="Y756" s="722" t="s">
        <v>770</v>
      </c>
      <c r="Z756" s="382" t="s">
        <v>924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5497</v>
      </c>
      <c r="B757" s="373" t="s">
        <v>5498</v>
      </c>
      <c r="C757" s="372" t="s">
        <v>15993</v>
      </c>
      <c r="D757" s="374">
        <v>1101111828362</v>
      </c>
      <c r="E757" s="372" t="s">
        <v>16074</v>
      </c>
      <c r="F757" s="375" t="s">
        <v>1259</v>
      </c>
      <c r="G757" s="375" t="s">
        <v>1260</v>
      </c>
      <c r="H757" s="375" t="s">
        <v>892</v>
      </c>
      <c r="I757" s="375" t="s">
        <v>859</v>
      </c>
      <c r="J757" s="375">
        <v>174637.81594</v>
      </c>
      <c r="K757" s="375">
        <v>37596.777679999999</v>
      </c>
      <c r="L757" s="375">
        <v>38585.159209999998</v>
      </c>
      <c r="M757" s="375">
        <v>881518.64963999996</v>
      </c>
      <c r="N757" s="372">
        <v>0.60799999999999998</v>
      </c>
      <c r="O757" s="704">
        <v>2171.500071088567</v>
      </c>
      <c r="P757" s="375" t="s">
        <v>619</v>
      </c>
      <c r="Q757" s="375" t="s">
        <v>619</v>
      </c>
      <c r="R757" s="696">
        <v>20070221</v>
      </c>
      <c r="S757" s="375" t="s">
        <v>5499</v>
      </c>
      <c r="T757" s="697">
        <v>0.23100000000000001</v>
      </c>
      <c r="U757" s="372" t="s">
        <v>5500</v>
      </c>
      <c r="V757" s="722">
        <v>0</v>
      </c>
      <c r="W757" s="722">
        <v>0.33</v>
      </c>
      <c r="X757" s="722">
        <v>0.21</v>
      </c>
      <c r="Y757" s="722">
        <v>9.67</v>
      </c>
      <c r="Z757" s="382" t="s">
        <v>924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5501</v>
      </c>
      <c r="B758" s="373" t="s">
        <v>5502</v>
      </c>
      <c r="C758" s="372" t="s">
        <v>5503</v>
      </c>
      <c r="D758" s="374">
        <v>1101111061954</v>
      </c>
      <c r="E758" s="372" t="s">
        <v>5504</v>
      </c>
      <c r="F758" s="375" t="s">
        <v>842</v>
      </c>
      <c r="G758" s="375" t="s">
        <v>842</v>
      </c>
      <c r="H758" s="375" t="s">
        <v>3096</v>
      </c>
      <c r="I758" s="375" t="s">
        <v>859</v>
      </c>
      <c r="J758" s="375">
        <v>201443.58650999999</v>
      </c>
      <c r="K758" s="375">
        <v>34558.862009999997</v>
      </c>
      <c r="L758" s="375">
        <v>36963.134039999997</v>
      </c>
      <c r="M758" s="375">
        <v>92971.940900000001</v>
      </c>
      <c r="N758" s="372">
        <v>0.39200000000000002</v>
      </c>
      <c r="O758" s="704">
        <v>2.7406561077117018</v>
      </c>
      <c r="P758" s="375" t="s">
        <v>619</v>
      </c>
      <c r="Q758" s="375" t="s">
        <v>619</v>
      </c>
      <c r="R758" s="696">
        <v>20000107</v>
      </c>
      <c r="S758" s="375" t="s">
        <v>5505</v>
      </c>
      <c r="T758" s="697">
        <v>0.23100000000000001</v>
      </c>
      <c r="U758" s="375" t="s">
        <v>5506</v>
      </c>
      <c r="V758" s="722">
        <v>0</v>
      </c>
      <c r="W758" s="722">
        <v>0</v>
      </c>
      <c r="X758" s="722">
        <v>0</v>
      </c>
      <c r="Y758" s="722">
        <v>0</v>
      </c>
      <c r="Z758" s="382" t="s">
        <v>924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5507</v>
      </c>
      <c r="B759" s="373" t="s">
        <v>5508</v>
      </c>
      <c r="C759" s="372" t="s">
        <v>5509</v>
      </c>
      <c r="D759" s="374">
        <v>1351110083661</v>
      </c>
      <c r="E759" s="372" t="s">
        <v>5510</v>
      </c>
      <c r="F759" s="375" t="s">
        <v>5511</v>
      </c>
      <c r="G759" s="375" t="s">
        <v>5511</v>
      </c>
      <c r="H759" s="375" t="s">
        <v>858</v>
      </c>
      <c r="I759" s="375" t="s">
        <v>859</v>
      </c>
      <c r="J759" s="375">
        <v>66733.14301</v>
      </c>
      <c r="K759" s="375">
        <v>13002.541789999999</v>
      </c>
      <c r="L759" s="375">
        <v>18344.241180000001</v>
      </c>
      <c r="M759" s="375">
        <v>165014.74726</v>
      </c>
      <c r="N759" s="372">
        <v>0.98399999999999999</v>
      </c>
      <c r="O759" s="704">
        <v>0.2874535729455362</v>
      </c>
      <c r="P759" s="375" t="s">
        <v>619</v>
      </c>
      <c r="Q759" s="375" t="s">
        <v>619</v>
      </c>
      <c r="R759" s="696">
        <v>20181102</v>
      </c>
      <c r="S759" s="375" t="s">
        <v>5512</v>
      </c>
      <c r="T759" s="697">
        <v>0.20900000000000002</v>
      </c>
      <c r="U759" s="372" t="s">
        <v>5513</v>
      </c>
      <c r="V759" s="722">
        <v>8.5299999999999994</v>
      </c>
      <c r="W759" s="722">
        <v>0.77</v>
      </c>
      <c r="X759" s="722">
        <v>2.0299999999999998</v>
      </c>
      <c r="Y759" s="722">
        <v>7.79</v>
      </c>
      <c r="Z759" s="382" t="s">
        <v>924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5514</v>
      </c>
      <c r="B760" s="373" t="s">
        <v>5515</v>
      </c>
      <c r="C760" s="372" t="s">
        <v>5516</v>
      </c>
      <c r="D760" s="374">
        <v>2001110054795</v>
      </c>
      <c r="E760" s="372" t="s">
        <v>5517</v>
      </c>
      <c r="F760" s="375" t="s">
        <v>1645</v>
      </c>
      <c r="G760" s="375" t="s">
        <v>1646</v>
      </c>
      <c r="H760" s="375" t="s">
        <v>843</v>
      </c>
      <c r="I760" s="375" t="s">
        <v>751</v>
      </c>
      <c r="J760" s="375">
        <v>179926.42744999999</v>
      </c>
      <c r="K760" s="375">
        <v>52453.761639999997</v>
      </c>
      <c r="L760" s="375">
        <v>56632.569969999997</v>
      </c>
      <c r="M760" s="375">
        <v>825830.11315999995</v>
      </c>
      <c r="N760" s="372">
        <v>0.52100000000000002</v>
      </c>
      <c r="O760" s="704">
        <v>123.48895008406421</v>
      </c>
      <c r="P760" s="375" t="s">
        <v>619</v>
      </c>
      <c r="Q760" s="372" t="s">
        <v>619</v>
      </c>
      <c r="R760" s="696">
        <v>20020207</v>
      </c>
      <c r="S760" s="375" t="s">
        <v>1646</v>
      </c>
      <c r="T760" s="697">
        <v>0.23100000000000001</v>
      </c>
      <c r="U760" s="375" t="s">
        <v>5518</v>
      </c>
      <c r="V760" s="722">
        <v>0</v>
      </c>
      <c r="W760" s="722">
        <v>0</v>
      </c>
      <c r="X760" s="722">
        <v>0</v>
      </c>
      <c r="Y760" s="722">
        <v>0</v>
      </c>
      <c r="Z760" s="382" t="s">
        <v>924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5519</v>
      </c>
      <c r="B761" s="373" t="s">
        <v>5520</v>
      </c>
      <c r="C761" s="372" t="s">
        <v>5521</v>
      </c>
      <c r="D761" s="374">
        <v>1812110003728</v>
      </c>
      <c r="E761" s="372" t="s">
        <v>5522</v>
      </c>
      <c r="F761" s="375" t="s">
        <v>1354</v>
      </c>
      <c r="G761" s="375" t="s">
        <v>1354</v>
      </c>
      <c r="H761" s="375" t="s">
        <v>858</v>
      </c>
      <c r="I761" s="375" t="s">
        <v>859</v>
      </c>
      <c r="J761" s="375">
        <v>422616.02197</v>
      </c>
      <c r="K761" s="375">
        <v>26094.646199999999</v>
      </c>
      <c r="L761" s="375">
        <v>29624.329099999999</v>
      </c>
      <c r="M761" s="375">
        <v>548374.69117999997</v>
      </c>
      <c r="N761" s="372">
        <v>0.93400000000000005</v>
      </c>
      <c r="O761" s="704">
        <v>16.954869408605798</v>
      </c>
      <c r="P761" s="375" t="s">
        <v>619</v>
      </c>
      <c r="Q761" s="375" t="s">
        <v>619</v>
      </c>
      <c r="R761" s="696">
        <v>19920728</v>
      </c>
      <c r="S761" s="375" t="s">
        <v>5523</v>
      </c>
      <c r="T761" s="697">
        <v>0.23100000000000001</v>
      </c>
      <c r="U761" s="375" t="s">
        <v>5524</v>
      </c>
      <c r="V761" s="722">
        <v>6.39</v>
      </c>
      <c r="W761" s="722">
        <v>0.41</v>
      </c>
      <c r="X761" s="722">
        <v>0.49</v>
      </c>
      <c r="Y761" s="722">
        <v>11.87</v>
      </c>
      <c r="Z761" s="382" t="s">
        <v>924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5525</v>
      </c>
      <c r="B762" s="373" t="s">
        <v>5526</v>
      </c>
      <c r="C762" s="372" t="s">
        <v>5527</v>
      </c>
      <c r="D762" s="374">
        <v>1101112023185</v>
      </c>
      <c r="E762" s="372" t="s">
        <v>5528</v>
      </c>
      <c r="F762" s="375" t="s">
        <v>890</v>
      </c>
      <c r="G762" s="375" t="s">
        <v>891</v>
      </c>
      <c r="H762" s="375" t="s">
        <v>892</v>
      </c>
      <c r="I762" s="375" t="s">
        <v>859</v>
      </c>
      <c r="J762" s="375">
        <v>123884.81290999999</v>
      </c>
      <c r="K762" s="375">
        <v>14397.104590000001</v>
      </c>
      <c r="L762" s="375">
        <v>25928.46428</v>
      </c>
      <c r="M762" s="375">
        <v>350560.62092000002</v>
      </c>
      <c r="N762" s="372">
        <v>0.47599999999999998</v>
      </c>
      <c r="O762" s="704">
        <v>1.0122827427125831</v>
      </c>
      <c r="P762" s="375" t="s">
        <v>619</v>
      </c>
      <c r="Q762" s="375" t="s">
        <v>619</v>
      </c>
      <c r="R762" s="696">
        <v>20090123</v>
      </c>
      <c r="S762" s="375" t="s">
        <v>5529</v>
      </c>
      <c r="T762" s="697">
        <v>0.23100000000000001</v>
      </c>
      <c r="U762" s="372" t="s">
        <v>5530</v>
      </c>
      <c r="V762" s="722">
        <v>15.93</v>
      </c>
      <c r="W762" s="722">
        <v>0.7</v>
      </c>
      <c r="X762" s="722">
        <v>1.48</v>
      </c>
      <c r="Y762" s="722">
        <v>21.84</v>
      </c>
      <c r="Z762" s="382" t="s">
        <v>924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5531</v>
      </c>
      <c r="B763" s="373" t="s">
        <v>5532</v>
      </c>
      <c r="C763" s="372" t="s">
        <v>5533</v>
      </c>
      <c r="D763" s="374">
        <v>0</v>
      </c>
      <c r="E763" s="372" t="s">
        <v>5534</v>
      </c>
      <c r="F763" s="372" t="s">
        <v>890</v>
      </c>
      <c r="G763" s="375" t="s">
        <v>891</v>
      </c>
      <c r="H763" s="375">
        <v>0</v>
      </c>
      <c r="I763" s="375" t="s">
        <v>859</v>
      </c>
      <c r="J763" s="375">
        <v>816733.20299999998</v>
      </c>
      <c r="K763" s="375">
        <v>125618.15</v>
      </c>
      <c r="L763" s="375">
        <v>113420.111</v>
      </c>
      <c r="M763" s="375">
        <v>873321.897</v>
      </c>
      <c r="N763" s="372">
        <v>0.75</v>
      </c>
      <c r="O763" s="704">
        <v>194.18785640074213</v>
      </c>
      <c r="P763" s="375" t="s">
        <v>619</v>
      </c>
      <c r="Q763" s="372" t="s">
        <v>619</v>
      </c>
      <c r="R763" s="696">
        <v>20161025</v>
      </c>
      <c r="S763" s="372" t="s">
        <v>5535</v>
      </c>
      <c r="T763" s="697">
        <v>0.23100000000000001</v>
      </c>
      <c r="U763" s="372" t="s">
        <v>5536</v>
      </c>
      <c r="V763" s="722">
        <v>4.17</v>
      </c>
      <c r="W763" s="722">
        <v>0.28000000000000003</v>
      </c>
      <c r="X763" s="722">
        <v>0.27</v>
      </c>
      <c r="Y763" s="722">
        <v>2.77</v>
      </c>
      <c r="Z763" s="382" t="s">
        <v>924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5537</v>
      </c>
      <c r="B764" s="373" t="s">
        <v>5538</v>
      </c>
      <c r="C764" s="372" t="s">
        <v>5539</v>
      </c>
      <c r="D764" s="374">
        <v>1101111725386</v>
      </c>
      <c r="E764" s="372" t="s">
        <v>5540</v>
      </c>
      <c r="F764" s="372" t="s">
        <v>1900</v>
      </c>
      <c r="G764" s="375" t="s">
        <v>5541</v>
      </c>
      <c r="H764" s="375" t="s">
        <v>858</v>
      </c>
      <c r="I764" s="375" t="s">
        <v>859</v>
      </c>
      <c r="J764" s="375">
        <v>202847.00235</v>
      </c>
      <c r="K764" s="375">
        <v>19670.093130000001</v>
      </c>
      <c r="L764" s="375">
        <v>17988.724610000001</v>
      </c>
      <c r="M764" s="375">
        <v>120183.58018999999</v>
      </c>
      <c r="N764" s="372">
        <v>0.66600000000000004</v>
      </c>
      <c r="O764" s="704">
        <v>56.302644336442562</v>
      </c>
      <c r="P764" s="375" t="s">
        <v>619</v>
      </c>
      <c r="Q764" s="372" t="s">
        <v>619</v>
      </c>
      <c r="R764" s="696">
        <v>20091222</v>
      </c>
      <c r="S764" s="372" t="s">
        <v>5542</v>
      </c>
      <c r="T764" s="697">
        <v>0.20900000000000002</v>
      </c>
      <c r="U764" s="372" t="s">
        <v>5543</v>
      </c>
      <c r="V764" s="722">
        <v>6.53</v>
      </c>
      <c r="W764" s="722">
        <v>1.17</v>
      </c>
      <c r="X764" s="722">
        <v>0.73</v>
      </c>
      <c r="Y764" s="722">
        <v>9.73</v>
      </c>
      <c r="Z764" s="382">
        <v>0.18305989717979076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2403</v>
      </c>
      <c r="AF764" s="372">
        <v>2650</v>
      </c>
      <c r="AG764" s="372">
        <v>2822</v>
      </c>
      <c r="AH764" s="372">
        <v>0</v>
      </c>
    </row>
    <row r="765" spans="1:34">
      <c r="A765" s="372" t="s">
        <v>5544</v>
      </c>
      <c r="B765" s="373" t="s">
        <v>5545</v>
      </c>
      <c r="C765" s="372" t="s">
        <v>5546</v>
      </c>
      <c r="D765" s="374">
        <v>1101110911192</v>
      </c>
      <c r="E765" s="372" t="s">
        <v>5547</v>
      </c>
      <c r="F765" s="375" t="s">
        <v>1182</v>
      </c>
      <c r="G765" s="375" t="s">
        <v>1183</v>
      </c>
      <c r="H765" s="375" t="s">
        <v>858</v>
      </c>
      <c r="I765" s="375" t="s">
        <v>859</v>
      </c>
      <c r="J765" s="375">
        <v>61253.800770000002</v>
      </c>
      <c r="K765" s="375">
        <v>-20097.61246</v>
      </c>
      <c r="L765" s="375">
        <v>-18064.701369999999</v>
      </c>
      <c r="M765" s="375">
        <v>122738.56690000001</v>
      </c>
      <c r="N765" s="372">
        <v>1.2769999999999999</v>
      </c>
      <c r="O765" s="704">
        <v>0.59541656516711705</v>
      </c>
      <c r="P765" s="375" t="s">
        <v>619</v>
      </c>
      <c r="Q765" s="375" t="s">
        <v>619</v>
      </c>
      <c r="R765" s="696">
        <v>20041230</v>
      </c>
      <c r="S765" s="375" t="s">
        <v>5548</v>
      </c>
      <c r="T765" s="697" t="s">
        <v>768</v>
      </c>
      <c r="U765" s="375" t="s">
        <v>5549</v>
      </c>
      <c r="V765" s="722" t="s">
        <v>770</v>
      </c>
      <c r="W765" s="722">
        <v>1.4</v>
      </c>
      <c r="X765" s="722">
        <v>3</v>
      </c>
      <c r="Y765" s="722" t="s">
        <v>770</v>
      </c>
      <c r="Z765" s="382" t="s">
        <v>924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5550</v>
      </c>
      <c r="B766" s="373" t="s">
        <v>5551</v>
      </c>
      <c r="C766" s="372" t="s">
        <v>5552</v>
      </c>
      <c r="D766" s="374">
        <v>1101112007709</v>
      </c>
      <c r="E766" s="372" t="s">
        <v>5553</v>
      </c>
      <c r="F766" s="375" t="s">
        <v>16098</v>
      </c>
      <c r="G766" s="375" t="s">
        <v>16098</v>
      </c>
      <c r="H766" s="375" t="s">
        <v>858</v>
      </c>
      <c r="I766" s="375" t="s">
        <v>859</v>
      </c>
      <c r="J766" s="375">
        <v>69863.919529999999</v>
      </c>
      <c r="K766" s="375">
        <v>-39487.831469999997</v>
      </c>
      <c r="L766" s="375">
        <v>-11064.70161</v>
      </c>
      <c r="M766" s="375">
        <v>290266.89883000002</v>
      </c>
      <c r="N766" s="372">
        <v>0.66600000000000004</v>
      </c>
      <c r="O766" s="704">
        <v>20.371679946723763</v>
      </c>
      <c r="P766" s="375" t="s">
        <v>619</v>
      </c>
      <c r="Q766" s="372" t="s">
        <v>619</v>
      </c>
      <c r="R766" s="696">
        <v>20050729</v>
      </c>
      <c r="S766" s="372" t="s">
        <v>5554</v>
      </c>
      <c r="T766" s="697" t="s">
        <v>768</v>
      </c>
      <c r="U766" s="372" t="s">
        <v>5555</v>
      </c>
      <c r="V766" s="722" t="s">
        <v>770</v>
      </c>
      <c r="W766" s="722">
        <v>0.74</v>
      </c>
      <c r="X766" s="722">
        <v>2.99</v>
      </c>
      <c r="Y766" s="722" t="s">
        <v>770</v>
      </c>
      <c r="Z766" s="382">
        <v>4.8309662150370247E-2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707</v>
      </c>
      <c r="AF766" s="372">
        <v>765</v>
      </c>
      <c r="AG766" s="372">
        <v>829</v>
      </c>
      <c r="AH766" s="372">
        <v>0</v>
      </c>
    </row>
    <row r="767" spans="1:34">
      <c r="A767" s="372" t="s">
        <v>5556</v>
      </c>
      <c r="B767" s="373" t="s">
        <v>5557</v>
      </c>
      <c r="C767" s="372" t="s">
        <v>5558</v>
      </c>
      <c r="D767" s="374">
        <v>1101110692875</v>
      </c>
      <c r="E767" s="372" t="s">
        <v>5559</v>
      </c>
      <c r="F767" s="375" t="s">
        <v>1078</v>
      </c>
      <c r="G767" s="375" t="s">
        <v>1079</v>
      </c>
      <c r="H767" s="375" t="s">
        <v>814</v>
      </c>
      <c r="I767" s="375" t="s">
        <v>751</v>
      </c>
      <c r="J767" s="375">
        <v>365464.86829000001</v>
      </c>
      <c r="K767" s="375">
        <v>22704.1479</v>
      </c>
      <c r="L767" s="375">
        <v>17651.370129999999</v>
      </c>
      <c r="M767" s="375">
        <v>112303.25106</v>
      </c>
      <c r="N767" s="372">
        <v>0.63100000000000001</v>
      </c>
      <c r="O767" s="704">
        <v>8.1860056691750369</v>
      </c>
      <c r="P767" s="375" t="s">
        <v>619</v>
      </c>
      <c r="Q767" s="375" t="s">
        <v>619</v>
      </c>
      <c r="R767" s="696">
        <v>20101216</v>
      </c>
      <c r="S767" s="375" t="s">
        <v>5560</v>
      </c>
      <c r="T767" s="697">
        <v>0.20900000000000002</v>
      </c>
      <c r="U767" s="375" t="s">
        <v>5561</v>
      </c>
      <c r="V767" s="722">
        <v>15.39</v>
      </c>
      <c r="W767" s="722">
        <v>3.83</v>
      </c>
      <c r="X767" s="722">
        <v>1.18</v>
      </c>
      <c r="Y767" s="722">
        <v>31.78</v>
      </c>
      <c r="Z767" s="382" t="s">
        <v>924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5562</v>
      </c>
      <c r="B768" s="373" t="s">
        <v>5563</v>
      </c>
      <c r="C768" s="372" t="s">
        <v>5564</v>
      </c>
      <c r="D768" s="374">
        <v>1801110059112</v>
      </c>
      <c r="E768" s="372" t="s">
        <v>5565</v>
      </c>
      <c r="F768" s="375" t="s">
        <v>1320</v>
      </c>
      <c r="G768" s="375" t="s">
        <v>16103</v>
      </c>
      <c r="H768" s="375" t="s">
        <v>858</v>
      </c>
      <c r="I768" s="375" t="s">
        <v>859</v>
      </c>
      <c r="J768" s="375">
        <v>79798.732640000002</v>
      </c>
      <c r="K768" s="375">
        <v>4896.2946700000002</v>
      </c>
      <c r="L768" s="375">
        <v>2119.9849399999998</v>
      </c>
      <c r="M768" s="375">
        <v>71772.277440000005</v>
      </c>
      <c r="N768" s="372">
        <v>0.996</v>
      </c>
      <c r="O768" s="704">
        <v>9.9546605415079288</v>
      </c>
      <c r="P768" s="375" t="s">
        <v>619</v>
      </c>
      <c r="Q768" s="372" t="s">
        <v>619</v>
      </c>
      <c r="R768" s="696">
        <v>20200810</v>
      </c>
      <c r="S768" s="372" t="s">
        <v>5566</v>
      </c>
      <c r="T768" s="697">
        <v>0.20900000000000002</v>
      </c>
      <c r="U768" s="372" t="s">
        <v>5567</v>
      </c>
      <c r="V768" s="722">
        <v>0</v>
      </c>
      <c r="W768" s="722">
        <v>0</v>
      </c>
      <c r="X768" s="722">
        <v>0</v>
      </c>
      <c r="Y768" s="722">
        <v>0</v>
      </c>
      <c r="Z768" s="382" t="s">
        <v>924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5568</v>
      </c>
      <c r="B769" s="373" t="s">
        <v>5569</v>
      </c>
      <c r="C769" s="372" t="s">
        <v>5570</v>
      </c>
      <c r="D769" s="374">
        <v>1351110088083</v>
      </c>
      <c r="E769" s="372" t="s">
        <v>5571</v>
      </c>
      <c r="F769" s="375" t="s">
        <v>1182</v>
      </c>
      <c r="G769" s="375" t="s">
        <v>1182</v>
      </c>
      <c r="H769" s="375" t="s">
        <v>858</v>
      </c>
      <c r="I769" s="375" t="s">
        <v>859</v>
      </c>
      <c r="J769" s="375">
        <v>335377.13695999997</v>
      </c>
      <c r="K769" s="375">
        <v>8003.6041400000004</v>
      </c>
      <c r="L769" s="375">
        <v>8030.4233899999999</v>
      </c>
      <c r="M769" s="375">
        <v>227886.00057999999</v>
      </c>
      <c r="N769" s="372">
        <v>0.92600000000000005</v>
      </c>
      <c r="O769" s="704">
        <v>14.602047591820222</v>
      </c>
      <c r="P769" s="375" t="s">
        <v>619</v>
      </c>
      <c r="Q769" s="372" t="s">
        <v>619</v>
      </c>
      <c r="R769" s="696">
        <v>20170601</v>
      </c>
      <c r="S769" s="375" t="s">
        <v>5572</v>
      </c>
      <c r="T769" s="697">
        <v>0.20900000000000002</v>
      </c>
      <c r="U769" s="372" t="s">
        <v>5573</v>
      </c>
      <c r="V769" s="722">
        <v>39.71</v>
      </c>
      <c r="W769" s="722">
        <v>3.13</v>
      </c>
      <c r="X769" s="722">
        <v>1.39</v>
      </c>
      <c r="Y769" s="722">
        <v>69.13</v>
      </c>
      <c r="Z769" s="382" t="s">
        <v>924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5574</v>
      </c>
      <c r="B770" s="373" t="s">
        <v>5575</v>
      </c>
      <c r="C770" s="372" t="s">
        <v>5576</v>
      </c>
      <c r="D770" s="374">
        <v>1345110002375</v>
      </c>
      <c r="E770" s="372" t="s">
        <v>5577</v>
      </c>
      <c r="F770" s="375" t="s">
        <v>1272</v>
      </c>
      <c r="G770" s="375" t="s">
        <v>1272</v>
      </c>
      <c r="H770" s="375" t="s">
        <v>858</v>
      </c>
      <c r="I770" s="375" t="s">
        <v>859</v>
      </c>
      <c r="J770" s="375">
        <v>592113.72479000001</v>
      </c>
      <c r="K770" s="375">
        <v>9188.6852199999994</v>
      </c>
      <c r="L770" s="375">
        <v>-20886.90108</v>
      </c>
      <c r="M770" s="375">
        <v>250125.25051000001</v>
      </c>
      <c r="N770" s="372">
        <v>1.0229999999999999</v>
      </c>
      <c r="O770" s="704">
        <v>147.1408773916809</v>
      </c>
      <c r="P770" s="375" t="s">
        <v>619</v>
      </c>
      <c r="Q770" s="372" t="s">
        <v>619</v>
      </c>
      <c r="R770" s="696">
        <v>20020507</v>
      </c>
      <c r="S770" s="375" t="s">
        <v>5578</v>
      </c>
      <c r="T770" s="697" t="s">
        <v>768</v>
      </c>
      <c r="U770" s="375" t="s">
        <v>5579</v>
      </c>
      <c r="V770" s="722">
        <v>8.98</v>
      </c>
      <c r="W770" s="722">
        <v>0.72</v>
      </c>
      <c r="X770" s="722">
        <v>0.3</v>
      </c>
      <c r="Y770" s="722" t="s">
        <v>770</v>
      </c>
      <c r="Z770" s="382" t="s">
        <v>924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5580</v>
      </c>
      <c r="B771" s="373" t="s">
        <v>5581</v>
      </c>
      <c r="C771" s="372" t="s">
        <v>5582</v>
      </c>
      <c r="D771" s="374">
        <v>1943110006262</v>
      </c>
      <c r="E771" s="372" t="s">
        <v>5583</v>
      </c>
      <c r="F771" s="375" t="s">
        <v>1428</v>
      </c>
      <c r="G771" s="375" t="s">
        <v>12343</v>
      </c>
      <c r="H771" s="375" t="s">
        <v>858</v>
      </c>
      <c r="I771" s="375" t="s">
        <v>859</v>
      </c>
      <c r="J771" s="375">
        <v>338707.09899000003</v>
      </c>
      <c r="K771" s="375">
        <v>25521.655149999999</v>
      </c>
      <c r="L771" s="375">
        <v>9255.9432400000005</v>
      </c>
      <c r="M771" s="375">
        <v>105745.73514999999</v>
      </c>
      <c r="N771" s="372">
        <v>1.6140000000000001</v>
      </c>
      <c r="O771" s="704">
        <v>49.080661149179178</v>
      </c>
      <c r="P771" s="375" t="s">
        <v>619</v>
      </c>
      <c r="Q771" s="375" t="s">
        <v>619</v>
      </c>
      <c r="R771" s="696">
        <v>20051202</v>
      </c>
      <c r="S771" s="375" t="s">
        <v>5585</v>
      </c>
      <c r="T771" s="697">
        <v>0.20900000000000002</v>
      </c>
      <c r="U771" s="375" t="s">
        <v>5586</v>
      </c>
      <c r="V771" s="722">
        <v>11.05</v>
      </c>
      <c r="W771" s="722">
        <v>2.23</v>
      </c>
      <c r="X771" s="722">
        <v>0.7</v>
      </c>
      <c r="Y771" s="722">
        <v>13.33</v>
      </c>
      <c r="Z771" s="382">
        <v>0.10606298837449657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3712.5</v>
      </c>
      <c r="AF771" s="372">
        <v>4706.75</v>
      </c>
      <c r="AG771" s="372">
        <v>5498.67</v>
      </c>
      <c r="AH771" s="372">
        <v>0</v>
      </c>
    </row>
    <row r="772" spans="1:34">
      <c r="A772" s="372" t="s">
        <v>5587</v>
      </c>
      <c r="B772" s="373" t="s">
        <v>5588</v>
      </c>
      <c r="C772" s="372" t="s">
        <v>5589</v>
      </c>
      <c r="D772" s="374">
        <v>1101110205850</v>
      </c>
      <c r="E772" s="372" t="s">
        <v>5590</v>
      </c>
      <c r="F772" s="375" t="s">
        <v>1740</v>
      </c>
      <c r="G772" s="375" t="s">
        <v>1740</v>
      </c>
      <c r="H772" s="375" t="s">
        <v>843</v>
      </c>
      <c r="I772" s="375" t="s">
        <v>751</v>
      </c>
      <c r="J772" s="375">
        <v>6723987.7411799999</v>
      </c>
      <c r="K772" s="375">
        <v>121566.33108</v>
      </c>
      <c r="L772" s="375">
        <v>140643.66406000001</v>
      </c>
      <c r="M772" s="375">
        <v>695209.39468999999</v>
      </c>
      <c r="N772" s="372">
        <v>0.91600000000000004</v>
      </c>
      <c r="O772" s="704">
        <v>262.80370052748833</v>
      </c>
      <c r="P772" s="375" t="s">
        <v>619</v>
      </c>
      <c r="Q772" s="372" t="s">
        <v>619</v>
      </c>
      <c r="R772" s="696">
        <v>19771201</v>
      </c>
      <c r="S772" s="372" t="s">
        <v>5591</v>
      </c>
      <c r="T772" s="697">
        <v>0.23100000000000001</v>
      </c>
      <c r="U772" s="372" t="s">
        <v>5592</v>
      </c>
      <c r="V772" s="722">
        <v>4.53</v>
      </c>
      <c r="W772" s="722">
        <v>0.35</v>
      </c>
      <c r="X772" s="722">
        <v>0.04</v>
      </c>
      <c r="Y772" s="722">
        <v>2.15</v>
      </c>
      <c r="Z772" s="382">
        <v>1.9884044719904015E-2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68282.25</v>
      </c>
      <c r="AF772" s="372">
        <v>69955</v>
      </c>
      <c r="AG772" s="372">
        <v>71196.5</v>
      </c>
      <c r="AH772" s="372">
        <v>0</v>
      </c>
    </row>
    <row r="773" spans="1:34">
      <c r="A773" s="372" t="s">
        <v>5593</v>
      </c>
      <c r="B773" s="373" t="s">
        <v>5594</v>
      </c>
      <c r="C773" s="372" t="s">
        <v>5595</v>
      </c>
      <c r="D773" s="374">
        <v>1101110545751</v>
      </c>
      <c r="E773" s="372" t="s">
        <v>5596</v>
      </c>
      <c r="F773" s="375" t="s">
        <v>5597</v>
      </c>
      <c r="G773" s="375" t="s">
        <v>5597</v>
      </c>
      <c r="H773" s="375" t="s">
        <v>814</v>
      </c>
      <c r="I773" s="375" t="s">
        <v>751</v>
      </c>
      <c r="J773" s="375">
        <v>933433.55874999997</v>
      </c>
      <c r="K773" s="375">
        <v>-81771.728780000005</v>
      </c>
      <c r="L773" s="375">
        <v>-177726.87125</v>
      </c>
      <c r="M773" s="375">
        <v>461976.52289999998</v>
      </c>
      <c r="N773" s="372">
        <v>1.1639999999999999</v>
      </c>
      <c r="O773" s="704">
        <v>838.67201910500739</v>
      </c>
      <c r="P773" s="375" t="s">
        <v>619</v>
      </c>
      <c r="Q773" s="375" t="s">
        <v>619</v>
      </c>
      <c r="R773" s="696">
        <v>20000321</v>
      </c>
      <c r="S773" s="375" t="s">
        <v>5598</v>
      </c>
      <c r="T773" s="697" t="s">
        <v>768</v>
      </c>
      <c r="U773" s="375" t="s">
        <v>5599</v>
      </c>
      <c r="V773" s="722">
        <v>15.37</v>
      </c>
      <c r="W773" s="722">
        <v>24.38</v>
      </c>
      <c r="X773" s="722">
        <v>0.21</v>
      </c>
      <c r="Y773" s="722" t="s">
        <v>770</v>
      </c>
      <c r="Z773" s="382">
        <v>3.4849099092021607E-2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9275</v>
      </c>
      <c r="AF773" s="372">
        <v>10669.31</v>
      </c>
      <c r="AG773" s="372">
        <v>11388.67</v>
      </c>
      <c r="AH773" s="372">
        <v>0</v>
      </c>
    </row>
    <row r="774" spans="1:34">
      <c r="A774" s="372" t="s">
        <v>5600</v>
      </c>
      <c r="B774" s="373" t="s">
        <v>5601</v>
      </c>
      <c r="C774" s="372" t="s">
        <v>5602</v>
      </c>
      <c r="D774" s="374">
        <v>1601110444581</v>
      </c>
      <c r="E774" s="372" t="s">
        <v>5603</v>
      </c>
      <c r="F774" s="375" t="s">
        <v>2411</v>
      </c>
      <c r="G774" s="375" t="s">
        <v>2411</v>
      </c>
      <c r="H774" s="375" t="s">
        <v>858</v>
      </c>
      <c r="I774" s="375" t="s">
        <v>859</v>
      </c>
      <c r="J774" s="375">
        <v>36869.816879999998</v>
      </c>
      <c r="K774" s="375">
        <v>-80.988669999999999</v>
      </c>
      <c r="L774" s="375">
        <v>-782.76682000000005</v>
      </c>
      <c r="M774" s="375">
        <v>47237.163050000003</v>
      </c>
      <c r="N774" s="372" t="s">
        <v>1023</v>
      </c>
      <c r="O774" s="704">
        <v>19.48066533288144</v>
      </c>
      <c r="P774" s="375" t="s">
        <v>619</v>
      </c>
      <c r="Q774" s="372" t="s">
        <v>619</v>
      </c>
      <c r="R774" s="696">
        <v>20230303</v>
      </c>
      <c r="S774" s="372" t="s">
        <v>5604</v>
      </c>
      <c r="T774" s="697" t="s">
        <v>768</v>
      </c>
      <c r="U774" s="372" t="s">
        <v>5605</v>
      </c>
      <c r="V774" s="722">
        <v>98.07</v>
      </c>
      <c r="W774" s="722">
        <v>4.5999999999999996</v>
      </c>
      <c r="X774" s="722">
        <v>5.82</v>
      </c>
      <c r="Y774" s="722" t="s">
        <v>770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440</v>
      </c>
      <c r="AF774" s="372">
        <v>610</v>
      </c>
      <c r="AG774" s="372">
        <v>1010</v>
      </c>
      <c r="AH774" s="372">
        <v>0</v>
      </c>
    </row>
    <row r="775" spans="1:34">
      <c r="A775" s="372" t="s">
        <v>5606</v>
      </c>
      <c r="B775" s="373" t="s">
        <v>5607</v>
      </c>
      <c r="C775" s="372" t="s">
        <v>5608</v>
      </c>
      <c r="D775" s="374">
        <v>1101116383543</v>
      </c>
      <c r="E775" s="372" t="s">
        <v>5609</v>
      </c>
      <c r="F775" s="372" t="s">
        <v>3008</v>
      </c>
      <c r="G775" s="375" t="s">
        <v>3008</v>
      </c>
      <c r="H775" s="375" t="s">
        <v>1334</v>
      </c>
      <c r="I775" s="375" t="s">
        <v>859</v>
      </c>
      <c r="J775" s="375">
        <v>19631.830549999999</v>
      </c>
      <c r="K775" s="375">
        <v>-6703.3027700000002</v>
      </c>
      <c r="L775" s="375">
        <v>-16511.24467</v>
      </c>
      <c r="M775" s="375">
        <v>89508.005009999993</v>
      </c>
      <c r="N775" s="372">
        <v>1.7709999999999999</v>
      </c>
      <c r="O775" s="704">
        <v>12.788211634259241</v>
      </c>
      <c r="P775" s="375" t="s">
        <v>619</v>
      </c>
      <c r="Q775" s="372" t="s">
        <v>619</v>
      </c>
      <c r="R775" s="696">
        <v>20170822</v>
      </c>
      <c r="S775" s="372" t="s">
        <v>5610</v>
      </c>
      <c r="T775" s="697" t="s">
        <v>768</v>
      </c>
      <c r="U775" s="372" t="s">
        <v>5611</v>
      </c>
      <c r="V775" s="722" t="s">
        <v>770</v>
      </c>
      <c r="W775" s="722">
        <v>2.04</v>
      </c>
      <c r="X775" s="722">
        <v>9.2899999999999991</v>
      </c>
      <c r="Y775" s="722" t="s">
        <v>770</v>
      </c>
      <c r="Z775" s="382" t="s">
        <v>924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5612</v>
      </c>
      <c r="B776" s="373" t="s">
        <v>5613</v>
      </c>
      <c r="C776" s="372" t="s">
        <v>5614</v>
      </c>
      <c r="D776" s="374">
        <v>1101110122731</v>
      </c>
      <c r="E776" s="372" t="s">
        <v>5615</v>
      </c>
      <c r="F776" s="375" t="s">
        <v>5616</v>
      </c>
      <c r="G776" s="375" t="s">
        <v>5616</v>
      </c>
      <c r="H776" s="375" t="s">
        <v>1040</v>
      </c>
      <c r="I776" s="375" t="s">
        <v>751</v>
      </c>
      <c r="J776" s="375">
        <v>147853.22500999999</v>
      </c>
      <c r="K776" s="375">
        <v>-82655.009409999999</v>
      </c>
      <c r="L776" s="375">
        <v>-84275.146470000007</v>
      </c>
      <c r="M776" s="375">
        <v>443266.22753999999</v>
      </c>
      <c r="N776" s="372">
        <v>1.0009999999999999</v>
      </c>
      <c r="O776" s="704">
        <v>39.701238168198408</v>
      </c>
      <c r="P776" s="375" t="s">
        <v>619</v>
      </c>
      <c r="Q776" s="375" t="s">
        <v>619</v>
      </c>
      <c r="R776" s="696">
        <v>19950708</v>
      </c>
      <c r="S776" s="375" t="s">
        <v>5617</v>
      </c>
      <c r="T776" s="697" t="s">
        <v>768</v>
      </c>
      <c r="U776" s="375" t="s">
        <v>15872</v>
      </c>
      <c r="V776" s="722" t="s">
        <v>770</v>
      </c>
      <c r="W776" s="722">
        <v>1.59</v>
      </c>
      <c r="X776" s="722">
        <v>2.37</v>
      </c>
      <c r="Y776" s="722" t="s">
        <v>770</v>
      </c>
      <c r="Z776" s="382">
        <v>0.16670400178058142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1860</v>
      </c>
      <c r="AF776" s="372">
        <v>2300</v>
      </c>
      <c r="AG776" s="372">
        <v>2790</v>
      </c>
      <c r="AH776" s="372">
        <v>3340</v>
      </c>
    </row>
    <row r="777" spans="1:34">
      <c r="A777" s="372" t="s">
        <v>5618</v>
      </c>
      <c r="B777" s="373" t="s">
        <v>5619</v>
      </c>
      <c r="C777" s="372" t="s">
        <v>5620</v>
      </c>
      <c r="D777" s="374">
        <v>1349110013457</v>
      </c>
      <c r="E777" s="372" t="s">
        <v>5621</v>
      </c>
      <c r="F777" s="375" t="s">
        <v>5622</v>
      </c>
      <c r="G777" s="375" t="s">
        <v>5622</v>
      </c>
      <c r="H777" s="375" t="s">
        <v>858</v>
      </c>
      <c r="I777" s="375" t="s">
        <v>859</v>
      </c>
      <c r="J777" s="375">
        <v>593375.44742999994</v>
      </c>
      <c r="K777" s="375">
        <v>49054.342519999998</v>
      </c>
      <c r="L777" s="375">
        <v>52483.079230000003</v>
      </c>
      <c r="M777" s="375">
        <v>249531.37500999999</v>
      </c>
      <c r="N777" s="372">
        <v>0.46200000000000002</v>
      </c>
      <c r="O777" s="704">
        <v>43.937701035966455</v>
      </c>
      <c r="P777" s="375" t="s">
        <v>619</v>
      </c>
      <c r="Q777" s="375" t="s">
        <v>619</v>
      </c>
      <c r="R777" s="696">
        <v>20041117</v>
      </c>
      <c r="S777" s="375" t="s">
        <v>5623</v>
      </c>
      <c r="T777" s="697">
        <v>0.23100000000000001</v>
      </c>
      <c r="U777" s="375" t="s">
        <v>5624</v>
      </c>
      <c r="V777" s="722">
        <v>6.04</v>
      </c>
      <c r="W777" s="722">
        <v>1.33</v>
      </c>
      <c r="X777" s="722">
        <v>0.53</v>
      </c>
      <c r="Y777" s="722">
        <v>7.5</v>
      </c>
      <c r="Z777" s="382">
        <v>0.18577514856255339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6466.8</v>
      </c>
      <c r="AF777" s="372">
        <v>7729</v>
      </c>
      <c r="AG777" s="372">
        <v>8845</v>
      </c>
      <c r="AH777" s="372">
        <v>0</v>
      </c>
    </row>
    <row r="778" spans="1:34">
      <c r="A778" s="372" t="s">
        <v>5625</v>
      </c>
      <c r="B778" s="373" t="s">
        <v>5626</v>
      </c>
      <c r="C778" s="372" t="s">
        <v>5627</v>
      </c>
      <c r="D778" s="374">
        <v>1101111521700</v>
      </c>
      <c r="E778" s="372" t="s">
        <v>5628</v>
      </c>
      <c r="F778" s="375" t="s">
        <v>1793</v>
      </c>
      <c r="G778" s="375" t="s">
        <v>2794</v>
      </c>
      <c r="H778" s="375" t="s">
        <v>858</v>
      </c>
      <c r="I778" s="375" t="s">
        <v>859</v>
      </c>
      <c r="J778" s="375">
        <v>241585.76996999999</v>
      </c>
      <c r="K778" s="375">
        <v>28147.180929999999</v>
      </c>
      <c r="L778" s="375">
        <v>31988.77289</v>
      </c>
      <c r="M778" s="375">
        <v>192082.16904000001</v>
      </c>
      <c r="N778" s="372">
        <v>0.60399999999999998</v>
      </c>
      <c r="O778" s="704">
        <v>20.742627983163995</v>
      </c>
      <c r="P778" s="375" t="s">
        <v>619</v>
      </c>
      <c r="Q778" s="375" t="s">
        <v>619</v>
      </c>
      <c r="R778" s="696">
        <v>20011016</v>
      </c>
      <c r="S778" s="375" t="s">
        <v>5629</v>
      </c>
      <c r="T778" s="697">
        <v>0.23100000000000001</v>
      </c>
      <c r="U778" s="375" t="s">
        <v>5630</v>
      </c>
      <c r="V778" s="722">
        <v>5.69</v>
      </c>
      <c r="W778" s="722">
        <v>1.1100000000000001</v>
      </c>
      <c r="X778" s="722">
        <v>0.91</v>
      </c>
      <c r="Y778" s="722">
        <v>8.0500000000000007</v>
      </c>
      <c r="Z778" s="382" t="s">
        <v>924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5631</v>
      </c>
      <c r="B779" s="373" t="s">
        <v>5632</v>
      </c>
      <c r="C779" s="372" t="s">
        <v>5633</v>
      </c>
      <c r="D779" s="374">
        <v>1101111686728</v>
      </c>
      <c r="E779" s="372" t="s">
        <v>5634</v>
      </c>
      <c r="F779" s="372" t="s">
        <v>618</v>
      </c>
      <c r="G779" s="375" t="s">
        <v>618</v>
      </c>
      <c r="H779" s="375" t="s">
        <v>858</v>
      </c>
      <c r="I779" s="375" t="s">
        <v>859</v>
      </c>
      <c r="J779" s="375">
        <v>26243.780500000001</v>
      </c>
      <c r="K779" s="375">
        <v>-4184.6530599999996</v>
      </c>
      <c r="L779" s="375">
        <v>-86868.865460000001</v>
      </c>
      <c r="M779" s="375">
        <v>93219.426609999995</v>
      </c>
      <c r="N779" s="372">
        <v>0.50900000000000001</v>
      </c>
      <c r="O779" s="704">
        <v>1.8178425019351785</v>
      </c>
      <c r="P779" s="375" t="s">
        <v>619</v>
      </c>
      <c r="Q779" s="372" t="s">
        <v>619</v>
      </c>
      <c r="R779" s="696">
        <v>20010727</v>
      </c>
      <c r="S779" s="372" t="s">
        <v>5635</v>
      </c>
      <c r="T779" s="697" t="s">
        <v>768</v>
      </c>
      <c r="U779" s="372" t="s">
        <v>15873</v>
      </c>
      <c r="V779" s="722" t="s">
        <v>770</v>
      </c>
      <c r="W779" s="722">
        <v>10.66</v>
      </c>
      <c r="X779" s="722">
        <v>38.24</v>
      </c>
      <c r="Y779" s="722" t="s">
        <v>770</v>
      </c>
      <c r="Z779" s="382" t="s">
        <v>924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5636</v>
      </c>
      <c r="B780" s="373" t="s">
        <v>5637</v>
      </c>
      <c r="C780" s="372" t="s">
        <v>5638</v>
      </c>
      <c r="D780" s="374">
        <v>1801110015932</v>
      </c>
      <c r="E780" s="372" t="s">
        <v>5639</v>
      </c>
      <c r="F780" s="375" t="s">
        <v>1456</v>
      </c>
      <c r="G780" s="375" t="s">
        <v>5640</v>
      </c>
      <c r="H780" s="375" t="s">
        <v>906</v>
      </c>
      <c r="I780" s="375" t="s">
        <v>751</v>
      </c>
      <c r="J780" s="375">
        <v>1324054.3850700001</v>
      </c>
      <c r="K780" s="375">
        <v>26332.84448</v>
      </c>
      <c r="L780" s="375">
        <v>107553.97099</v>
      </c>
      <c r="M780" s="375">
        <v>1136431.00758</v>
      </c>
      <c r="N780" s="372">
        <v>1.177</v>
      </c>
      <c r="O780" s="704">
        <v>52.861236165086147</v>
      </c>
      <c r="P780" s="375" t="s">
        <v>619</v>
      </c>
      <c r="Q780" s="372" t="s">
        <v>619</v>
      </c>
      <c r="R780" s="696">
        <v>19770519</v>
      </c>
      <c r="S780" s="372" t="s">
        <v>5641</v>
      </c>
      <c r="T780" s="697">
        <v>0.23100000000000001</v>
      </c>
      <c r="U780" s="372" t="s">
        <v>5642</v>
      </c>
      <c r="V780" s="722">
        <v>4.3499999999999996</v>
      </c>
      <c r="W780" s="722">
        <v>0.26</v>
      </c>
      <c r="X780" s="722">
        <v>0.23</v>
      </c>
      <c r="Y780" s="722">
        <v>3.18</v>
      </c>
      <c r="Z780" s="382" t="s">
        <v>924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5643</v>
      </c>
      <c r="B781" s="373" t="s">
        <v>5644</v>
      </c>
      <c r="C781" s="372" t="s">
        <v>5645</v>
      </c>
      <c r="D781" s="374">
        <v>1101110031338</v>
      </c>
      <c r="E781" s="372" t="s">
        <v>5646</v>
      </c>
      <c r="F781" s="375" t="s">
        <v>890</v>
      </c>
      <c r="G781" s="375" t="s">
        <v>891</v>
      </c>
      <c r="H781" s="375" t="s">
        <v>852</v>
      </c>
      <c r="I781" s="375" t="s">
        <v>751</v>
      </c>
      <c r="J781" s="375">
        <v>1934689.65283</v>
      </c>
      <c r="K781" s="375">
        <v>52331.38091</v>
      </c>
      <c r="L781" s="375">
        <v>722399.84895000001</v>
      </c>
      <c r="M781" s="375">
        <v>1800770.0423900001</v>
      </c>
      <c r="N781" s="372">
        <v>1.2250000000000001</v>
      </c>
      <c r="O781" s="704">
        <v>98.234514581509274</v>
      </c>
      <c r="P781" s="375" t="s">
        <v>619</v>
      </c>
      <c r="Q781" s="375" t="s">
        <v>619</v>
      </c>
      <c r="R781" s="696">
        <v>19880509</v>
      </c>
      <c r="S781" s="375" t="s">
        <v>5647</v>
      </c>
      <c r="T781" s="697">
        <v>0.26400000000000001</v>
      </c>
      <c r="U781" s="375" t="s">
        <v>5648</v>
      </c>
      <c r="V781" s="722">
        <v>5.4</v>
      </c>
      <c r="W781" s="722">
        <v>0.16</v>
      </c>
      <c r="X781" s="722">
        <v>0.13</v>
      </c>
      <c r="Y781" s="722">
        <v>0.45</v>
      </c>
      <c r="Z781" s="382" t="s">
        <v>924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5649</v>
      </c>
      <c r="B782" s="373" t="s">
        <v>5650</v>
      </c>
      <c r="C782" s="372" t="s">
        <v>5651</v>
      </c>
      <c r="D782" s="374">
        <v>1311110002409</v>
      </c>
      <c r="E782" s="372" t="s">
        <v>5652</v>
      </c>
      <c r="F782" s="375" t="s">
        <v>1246</v>
      </c>
      <c r="G782" s="375" t="s">
        <v>1246</v>
      </c>
      <c r="H782" s="375" t="s">
        <v>781</v>
      </c>
      <c r="I782" s="375" t="s">
        <v>751</v>
      </c>
      <c r="J782" s="375">
        <v>225192.7997</v>
      </c>
      <c r="K782" s="375">
        <v>22073.247899999998</v>
      </c>
      <c r="L782" s="375">
        <v>24453.540290000001</v>
      </c>
      <c r="M782" s="375">
        <v>280933.64072999998</v>
      </c>
      <c r="N782" s="372">
        <v>0.44400000000000001</v>
      </c>
      <c r="O782" s="704">
        <v>15.47846856140889</v>
      </c>
      <c r="P782" s="375" t="s">
        <v>619</v>
      </c>
      <c r="Q782" s="372" t="s">
        <v>619</v>
      </c>
      <c r="R782" s="696">
        <v>20181002</v>
      </c>
      <c r="S782" s="375" t="s">
        <v>5653</v>
      </c>
      <c r="T782" s="697">
        <v>0.23100000000000001</v>
      </c>
      <c r="U782" s="372" t="s">
        <v>5654</v>
      </c>
      <c r="V782" s="722">
        <v>0</v>
      </c>
      <c r="W782" s="722">
        <v>0</v>
      </c>
      <c r="X782" s="722">
        <v>0</v>
      </c>
      <c r="Y782" s="722">
        <v>0</v>
      </c>
      <c r="Z782" s="382" t="s">
        <v>924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5655</v>
      </c>
      <c r="B783" s="373" t="s">
        <v>5656</v>
      </c>
      <c r="C783" s="372" t="s">
        <v>5657</v>
      </c>
      <c r="D783" s="374">
        <v>1101110532633</v>
      </c>
      <c r="E783" s="372" t="s">
        <v>5658</v>
      </c>
      <c r="F783" s="375" t="s">
        <v>5659</v>
      </c>
      <c r="G783" s="375" t="s">
        <v>5659</v>
      </c>
      <c r="H783" s="375" t="s">
        <v>843</v>
      </c>
      <c r="I783" s="375" t="s">
        <v>751</v>
      </c>
      <c r="J783" s="375">
        <v>2378838.1159000001</v>
      </c>
      <c r="K783" s="375">
        <v>7940.0085900000004</v>
      </c>
      <c r="L783" s="375">
        <v>-30328.022140000001</v>
      </c>
      <c r="M783" s="375">
        <v>1247683.5715999999</v>
      </c>
      <c r="N783" s="372">
        <v>0.82099999999999995</v>
      </c>
      <c r="O783" s="704">
        <v>397.93991970616685</v>
      </c>
      <c r="P783" s="375" t="s">
        <v>619</v>
      </c>
      <c r="Q783" s="372" t="s">
        <v>619</v>
      </c>
      <c r="R783" s="696">
        <v>20110629</v>
      </c>
      <c r="S783" s="372" t="s">
        <v>5660</v>
      </c>
      <c r="T783" s="697" t="s">
        <v>768</v>
      </c>
      <c r="U783" s="372" t="s">
        <v>5661</v>
      </c>
      <c r="V783" s="722">
        <v>0</v>
      </c>
      <c r="W783" s="722">
        <v>0</v>
      </c>
      <c r="X783" s="722">
        <v>0</v>
      </c>
      <c r="Y783" s="722">
        <v>0</v>
      </c>
      <c r="Z783" s="382" t="s">
        <v>924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5662</v>
      </c>
      <c r="B784" s="373" t="s">
        <v>5663</v>
      </c>
      <c r="C784" s="372" t="s">
        <v>5664</v>
      </c>
      <c r="D784" s="374">
        <v>1101113581075</v>
      </c>
      <c r="E784" s="372" t="s">
        <v>5665</v>
      </c>
      <c r="F784" s="375" t="s">
        <v>5129</v>
      </c>
      <c r="G784" s="375" t="s">
        <v>5130</v>
      </c>
      <c r="H784" s="375" t="s">
        <v>3096</v>
      </c>
      <c r="I784" s="375" t="s">
        <v>859</v>
      </c>
      <c r="J784" s="375">
        <v>156520.92887999999</v>
      </c>
      <c r="K784" s="375">
        <v>20760.867600000001</v>
      </c>
      <c r="L784" s="375">
        <v>18773.26282</v>
      </c>
      <c r="M784" s="375">
        <v>108444.58132</v>
      </c>
      <c r="N784" s="372">
        <v>1.008</v>
      </c>
      <c r="O784" s="704">
        <v>30.568978321470908</v>
      </c>
      <c r="P784" s="375" t="s">
        <v>619</v>
      </c>
      <c r="Q784" s="375" t="s">
        <v>619</v>
      </c>
      <c r="R784" s="696">
        <v>20070212</v>
      </c>
      <c r="S784" s="375" t="s">
        <v>5666</v>
      </c>
      <c r="T784" s="697">
        <v>0.20900000000000002</v>
      </c>
      <c r="U784" s="375" t="s">
        <v>5667</v>
      </c>
      <c r="V784" s="722">
        <v>7.2</v>
      </c>
      <c r="W784" s="722">
        <v>1.08</v>
      </c>
      <c r="X784" s="722">
        <v>0.97</v>
      </c>
      <c r="Y784" s="722">
        <v>10.220000000000001</v>
      </c>
      <c r="Z784" s="382">
        <v>2.2443297546977714E-2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1653</v>
      </c>
      <c r="AF784" s="372">
        <v>1784</v>
      </c>
      <c r="AG784" s="372">
        <v>1917</v>
      </c>
      <c r="AH784" s="372">
        <v>0</v>
      </c>
    </row>
    <row r="785" spans="1:34">
      <c r="A785" s="372" t="s">
        <v>5668</v>
      </c>
      <c r="B785" s="373" t="s">
        <v>5669</v>
      </c>
      <c r="C785" s="372" t="s">
        <v>5670</v>
      </c>
      <c r="D785" s="374">
        <v>1101111817828</v>
      </c>
      <c r="E785" s="372" t="s">
        <v>5671</v>
      </c>
      <c r="F785" s="372" t="s">
        <v>1287</v>
      </c>
      <c r="G785" s="375" t="s">
        <v>1287</v>
      </c>
      <c r="H785" s="375" t="s">
        <v>858</v>
      </c>
      <c r="I785" s="375" t="s">
        <v>859</v>
      </c>
      <c r="J785" s="375">
        <v>95878.382639999996</v>
      </c>
      <c r="K785" s="375">
        <v>-2218.8045499999998</v>
      </c>
      <c r="L785" s="375">
        <v>-10118.040859999999</v>
      </c>
      <c r="M785" s="375">
        <v>178273.79878000001</v>
      </c>
      <c r="N785" s="372">
        <v>1.4730000000000001</v>
      </c>
      <c r="O785" s="704">
        <v>43.377211944122365</v>
      </c>
      <c r="P785" s="375" t="s">
        <v>619</v>
      </c>
      <c r="Q785" s="375" t="s">
        <v>619</v>
      </c>
      <c r="R785" s="696">
        <v>20061205</v>
      </c>
      <c r="S785" s="375" t="s">
        <v>5672</v>
      </c>
      <c r="T785" s="697" t="s">
        <v>768</v>
      </c>
      <c r="U785" s="375" t="s">
        <v>5673</v>
      </c>
      <c r="V785" s="722">
        <v>100.08</v>
      </c>
      <c r="W785" s="722">
        <v>1.27</v>
      </c>
      <c r="X785" s="722">
        <v>1.1200000000000001</v>
      </c>
      <c r="Y785" s="722" t="s">
        <v>770</v>
      </c>
      <c r="Z785" s="382" t="s">
        <v>924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5674</v>
      </c>
      <c r="B786" s="373" t="s">
        <v>5675</v>
      </c>
      <c r="C786" s="372" t="s">
        <v>5676</v>
      </c>
      <c r="D786" s="374">
        <v>1101110400377</v>
      </c>
      <c r="E786" s="372" t="s">
        <v>5677</v>
      </c>
      <c r="F786" s="375" t="s">
        <v>1573</v>
      </c>
      <c r="G786" s="375" t="s">
        <v>1574</v>
      </c>
      <c r="H786" s="375" t="s">
        <v>858</v>
      </c>
      <c r="I786" s="375" t="s">
        <v>859</v>
      </c>
      <c r="J786" s="375">
        <v>440418.84580000001</v>
      </c>
      <c r="K786" s="375">
        <v>109369.97259</v>
      </c>
      <c r="L786" s="375">
        <v>126209.33387</v>
      </c>
      <c r="M786" s="375">
        <v>626552.16784000001</v>
      </c>
      <c r="N786" s="372">
        <v>0.79400000000000004</v>
      </c>
      <c r="O786" s="704">
        <v>4.718303723914385</v>
      </c>
      <c r="P786" s="375" t="s">
        <v>619</v>
      </c>
      <c r="Q786" s="375" t="s">
        <v>619</v>
      </c>
      <c r="R786" s="696">
        <v>19960426</v>
      </c>
      <c r="S786" s="375" t="s">
        <v>5678</v>
      </c>
      <c r="T786" s="697">
        <v>0.23100000000000001</v>
      </c>
      <c r="U786" s="375" t="s">
        <v>5679</v>
      </c>
      <c r="V786" s="722">
        <v>1.98</v>
      </c>
      <c r="W786" s="722">
        <v>0.64</v>
      </c>
      <c r="X786" s="722">
        <v>0.92</v>
      </c>
      <c r="Y786" s="722">
        <v>3.88</v>
      </c>
      <c r="Z786" s="382" t="s">
        <v>924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5680</v>
      </c>
      <c r="B787" s="373" t="s">
        <v>5681</v>
      </c>
      <c r="C787" s="372" t="s">
        <v>5682</v>
      </c>
      <c r="D787" s="374">
        <v>1101111195109</v>
      </c>
      <c r="E787" s="372" t="s">
        <v>5683</v>
      </c>
      <c r="F787" s="375" t="s">
        <v>5684</v>
      </c>
      <c r="G787" s="375" t="s">
        <v>5684</v>
      </c>
      <c r="H787" s="375" t="s">
        <v>858</v>
      </c>
      <c r="I787" s="375" t="s">
        <v>859</v>
      </c>
      <c r="J787" s="375">
        <v>120350.02958</v>
      </c>
      <c r="K787" s="375">
        <v>5060.1956700000001</v>
      </c>
      <c r="L787" s="375">
        <v>11071.98005</v>
      </c>
      <c r="M787" s="375">
        <v>130575.65595</v>
      </c>
      <c r="N787" s="372">
        <v>0.82499999999999996</v>
      </c>
      <c r="O787" s="704">
        <v>37.451600326512953</v>
      </c>
      <c r="P787" s="375" t="s">
        <v>619</v>
      </c>
      <c r="Q787" s="375" t="s">
        <v>619</v>
      </c>
      <c r="R787" s="696">
        <v>20010515</v>
      </c>
      <c r="S787" s="375" t="s">
        <v>5685</v>
      </c>
      <c r="T787" s="697">
        <v>0.20900000000000002</v>
      </c>
      <c r="U787" s="375" t="s">
        <v>5686</v>
      </c>
      <c r="V787" s="722">
        <v>28.81</v>
      </c>
      <c r="W787" s="722">
        <v>1.41</v>
      </c>
      <c r="X787" s="722">
        <v>1.53</v>
      </c>
      <c r="Y787" s="722">
        <v>13</v>
      </c>
      <c r="Z787" s="382" t="s">
        <v>924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5687</v>
      </c>
      <c r="B788" s="373" t="s">
        <v>5688</v>
      </c>
      <c r="C788" s="372" t="s">
        <v>5689</v>
      </c>
      <c r="D788" s="374">
        <v>1101111125289</v>
      </c>
      <c r="E788" s="372" t="s">
        <v>5690</v>
      </c>
      <c r="F788" s="375" t="s">
        <v>1573</v>
      </c>
      <c r="G788" s="375" t="s">
        <v>1574</v>
      </c>
      <c r="H788" s="375" t="s">
        <v>858</v>
      </c>
      <c r="I788" s="375" t="s">
        <v>859</v>
      </c>
      <c r="J788" s="375">
        <v>10024.12671</v>
      </c>
      <c r="K788" s="375">
        <v>-18261.834330000002</v>
      </c>
      <c r="L788" s="375">
        <v>-16406.50549</v>
      </c>
      <c r="M788" s="375">
        <v>109978.94624</v>
      </c>
      <c r="N788" s="372">
        <v>1.306</v>
      </c>
      <c r="O788" s="704">
        <v>6.1296848958679178</v>
      </c>
      <c r="P788" s="375" t="s">
        <v>619</v>
      </c>
      <c r="Q788" s="372" t="s">
        <v>619</v>
      </c>
      <c r="R788" s="696">
        <v>20080715</v>
      </c>
      <c r="S788" s="372" t="s">
        <v>5691</v>
      </c>
      <c r="T788" s="697" t="s">
        <v>768</v>
      </c>
      <c r="U788" s="372" t="s">
        <v>5692</v>
      </c>
      <c r="V788" s="722">
        <v>0</v>
      </c>
      <c r="W788" s="722">
        <v>0</v>
      </c>
      <c r="X788" s="722">
        <v>0</v>
      </c>
      <c r="Y788" s="722">
        <v>0</v>
      </c>
      <c r="Z788" s="382" t="s">
        <v>924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5693</v>
      </c>
      <c r="B789" s="373" t="s">
        <v>5694</v>
      </c>
      <c r="C789" s="372" t="s">
        <v>5695</v>
      </c>
      <c r="D789" s="374">
        <v>1101110027569</v>
      </c>
      <c r="E789" s="372" t="s">
        <v>5696</v>
      </c>
      <c r="F789" s="372" t="s">
        <v>5697</v>
      </c>
      <c r="G789" s="375" t="s">
        <v>5698</v>
      </c>
      <c r="H789" s="375" t="s">
        <v>843</v>
      </c>
      <c r="I789" s="375" t="s">
        <v>751</v>
      </c>
      <c r="J789" s="375">
        <v>483810.08791</v>
      </c>
      <c r="K789" s="375">
        <v>19102.804110000001</v>
      </c>
      <c r="L789" s="375">
        <v>71512.83</v>
      </c>
      <c r="M789" s="375">
        <v>596451.27712999994</v>
      </c>
      <c r="N789" s="372">
        <v>0.58899999999999997</v>
      </c>
      <c r="O789" s="704">
        <v>9.3993905540221405</v>
      </c>
      <c r="P789" s="375" t="s">
        <v>619</v>
      </c>
      <c r="Q789" s="375" t="s">
        <v>619</v>
      </c>
      <c r="R789" s="696">
        <v>19880328</v>
      </c>
      <c r="S789" s="375" t="s">
        <v>5699</v>
      </c>
      <c r="T789" s="697">
        <v>0.23100000000000001</v>
      </c>
      <c r="U789" s="375" t="s">
        <v>5700</v>
      </c>
      <c r="V789" s="722">
        <v>10.35</v>
      </c>
      <c r="W789" s="722">
        <v>0.43</v>
      </c>
      <c r="X789" s="722">
        <v>0.49</v>
      </c>
      <c r="Y789" s="722">
        <v>4.0599999999999996</v>
      </c>
      <c r="Z789" s="382" t="s">
        <v>924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5701</v>
      </c>
      <c r="B790" s="373" t="s">
        <v>5702</v>
      </c>
      <c r="C790" s="372" t="s">
        <v>5703</v>
      </c>
      <c r="D790" s="374">
        <v>1358110177957</v>
      </c>
      <c r="E790" s="372" t="s">
        <v>5704</v>
      </c>
      <c r="F790" s="375" t="s">
        <v>1113</v>
      </c>
      <c r="G790" s="375" t="s">
        <v>1333</v>
      </c>
      <c r="H790" s="375" t="s">
        <v>1334</v>
      </c>
      <c r="I790" s="375" t="s">
        <v>859</v>
      </c>
      <c r="J790" s="375">
        <v>16137.925450000001</v>
      </c>
      <c r="K790" s="375">
        <v>-21040.641479999998</v>
      </c>
      <c r="L790" s="375">
        <v>-26251.39932</v>
      </c>
      <c r="M790" s="375">
        <v>16796.33942</v>
      </c>
      <c r="N790" s="372">
        <v>0.51</v>
      </c>
      <c r="O790" s="704">
        <v>11.707441026065544</v>
      </c>
      <c r="P790" s="375" t="s">
        <v>619</v>
      </c>
      <c r="Q790" s="375" t="s">
        <v>619</v>
      </c>
      <c r="R790" s="696">
        <v>20180718</v>
      </c>
      <c r="S790" s="375" t="s">
        <v>5705</v>
      </c>
      <c r="T790" s="697" t="s">
        <v>768</v>
      </c>
      <c r="U790" s="372" t="s">
        <v>5706</v>
      </c>
      <c r="V790" s="722" t="s">
        <v>770</v>
      </c>
      <c r="W790" s="722">
        <v>17.8</v>
      </c>
      <c r="X790" s="722">
        <v>17.64</v>
      </c>
      <c r="Y790" s="722" t="s">
        <v>770</v>
      </c>
      <c r="Z790" s="382" t="s">
        <v>924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5707</v>
      </c>
      <c r="B791" s="373" t="s">
        <v>5708</v>
      </c>
      <c r="C791" s="372" t="s">
        <v>5709</v>
      </c>
      <c r="D791" s="374">
        <v>1311110541069</v>
      </c>
      <c r="E791" s="372" t="s">
        <v>5710</v>
      </c>
      <c r="F791" s="375" t="s">
        <v>1653</v>
      </c>
      <c r="G791" s="375" t="s">
        <v>2364</v>
      </c>
      <c r="H791" s="375" t="s">
        <v>858</v>
      </c>
      <c r="I791" s="375" t="s">
        <v>859</v>
      </c>
      <c r="J791" s="375">
        <v>26678.844880000001</v>
      </c>
      <c r="K791" s="375">
        <v>-19292.464680000001</v>
      </c>
      <c r="L791" s="375">
        <v>-27243.154340000001</v>
      </c>
      <c r="M791" s="375">
        <v>15179.578100000001</v>
      </c>
      <c r="N791" s="372">
        <v>1.1359999999999999</v>
      </c>
      <c r="O791" s="704">
        <v>10.765416147549876</v>
      </c>
      <c r="P791" s="375" t="s">
        <v>619</v>
      </c>
      <c r="Q791" s="375" t="s">
        <v>619</v>
      </c>
      <c r="R791" s="696">
        <v>20220701</v>
      </c>
      <c r="S791" s="375" t="s">
        <v>5711</v>
      </c>
      <c r="T791" s="697" t="s">
        <v>768</v>
      </c>
      <c r="U791" s="375" t="s">
        <v>5712</v>
      </c>
      <c r="V791" s="722">
        <v>0</v>
      </c>
      <c r="W791" s="722">
        <v>0</v>
      </c>
      <c r="X791" s="722">
        <v>0</v>
      </c>
      <c r="Y791" s="722">
        <v>0</v>
      </c>
      <c r="Z791" s="382" t="s">
        <v>924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5713</v>
      </c>
      <c r="B792" s="373" t="s">
        <v>5714</v>
      </c>
      <c r="C792" s="372" t="s">
        <v>5715</v>
      </c>
      <c r="D792" s="374">
        <v>1101111423576</v>
      </c>
      <c r="E792" s="372" t="s">
        <v>5716</v>
      </c>
      <c r="F792" s="375" t="s">
        <v>2715</v>
      </c>
      <c r="G792" s="375" t="s">
        <v>3021</v>
      </c>
      <c r="H792" s="375" t="s">
        <v>1334</v>
      </c>
      <c r="I792" s="375" t="s">
        <v>859</v>
      </c>
      <c r="J792" s="375">
        <v>131728.9889</v>
      </c>
      <c r="K792" s="375">
        <v>-1907.12618</v>
      </c>
      <c r="L792" s="375">
        <v>-26023.140940000001</v>
      </c>
      <c r="M792" s="375">
        <v>149372.69847999999</v>
      </c>
      <c r="N792" s="372">
        <v>0.91500000000000004</v>
      </c>
      <c r="O792" s="704">
        <v>36.461940923078245</v>
      </c>
      <c r="P792" s="375" t="s">
        <v>619</v>
      </c>
      <c r="Q792" s="375" t="s">
        <v>619</v>
      </c>
      <c r="R792" s="696">
        <v>20000218</v>
      </c>
      <c r="S792" s="375" t="s">
        <v>5717</v>
      </c>
      <c r="T792" s="697" t="s">
        <v>768</v>
      </c>
      <c r="U792" s="375" t="s">
        <v>5718</v>
      </c>
      <c r="V792" s="722">
        <v>24.93</v>
      </c>
      <c r="W792" s="722">
        <v>1.1100000000000001</v>
      </c>
      <c r="X792" s="722">
        <v>1.45</v>
      </c>
      <c r="Y792" s="722" t="s">
        <v>770</v>
      </c>
      <c r="Z792" s="382">
        <v>9.5106263288066817E-2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1370</v>
      </c>
      <c r="AF792" s="372">
        <v>1589</v>
      </c>
      <c r="AG792" s="372">
        <v>1910</v>
      </c>
      <c r="AH792" s="372">
        <v>0</v>
      </c>
    </row>
    <row r="793" spans="1:34">
      <c r="A793" s="372" t="s">
        <v>5719</v>
      </c>
      <c r="B793" s="373" t="s">
        <v>5720</v>
      </c>
      <c r="C793" s="372" t="s">
        <v>5721</v>
      </c>
      <c r="D793" s="374">
        <v>1101110971873</v>
      </c>
      <c r="E793" s="372" t="s">
        <v>5721</v>
      </c>
      <c r="F793" s="375" t="s">
        <v>5597</v>
      </c>
      <c r="G793" s="375" t="s">
        <v>5597</v>
      </c>
      <c r="H793" s="375" t="s">
        <v>1528</v>
      </c>
      <c r="I793" s="375" t="s">
        <v>859</v>
      </c>
      <c r="J793" s="375">
        <v>129140.76728</v>
      </c>
      <c r="K793" s="375">
        <v>-28165.3851</v>
      </c>
      <c r="L793" s="375">
        <v>-23988.63681</v>
      </c>
      <c r="M793" s="375">
        <v>216931.01267</v>
      </c>
      <c r="N793" s="372">
        <v>1</v>
      </c>
      <c r="O793" s="704">
        <v>0.56134122491763994</v>
      </c>
      <c r="P793" s="375" t="s">
        <v>619</v>
      </c>
      <c r="Q793" s="375" t="s">
        <v>619</v>
      </c>
      <c r="R793" s="696">
        <v>20010831</v>
      </c>
      <c r="S793" s="375" t="s">
        <v>5722</v>
      </c>
      <c r="T793" s="697" t="s">
        <v>768</v>
      </c>
      <c r="U793" s="375" t="s">
        <v>5723</v>
      </c>
      <c r="V793" s="722">
        <v>0</v>
      </c>
      <c r="W793" s="722">
        <v>0</v>
      </c>
      <c r="X793" s="722">
        <v>0</v>
      </c>
      <c r="Y793" s="722">
        <v>0</v>
      </c>
      <c r="Z793" s="382" t="s">
        <v>924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5724</v>
      </c>
      <c r="B794" s="373" t="s">
        <v>5725</v>
      </c>
      <c r="C794" s="372" t="s">
        <v>5726</v>
      </c>
      <c r="D794" s="374">
        <v>1101111530959</v>
      </c>
      <c r="E794" s="372" t="s">
        <v>5727</v>
      </c>
      <c r="F794" s="375" t="s">
        <v>1747</v>
      </c>
      <c r="G794" s="375" t="s">
        <v>1747</v>
      </c>
      <c r="H794" s="375" t="s">
        <v>858</v>
      </c>
      <c r="I794" s="375" t="s">
        <v>859</v>
      </c>
      <c r="J794" s="375">
        <v>94576.536519999994</v>
      </c>
      <c r="K794" s="375">
        <v>17446.83582</v>
      </c>
      <c r="L794" s="375">
        <v>18834.31193</v>
      </c>
      <c r="M794" s="375">
        <v>229030.72203999999</v>
      </c>
      <c r="N794" s="372">
        <v>0.74299999999999999</v>
      </c>
      <c r="O794" s="704">
        <v>13.732668324925667</v>
      </c>
      <c r="P794" s="375" t="s">
        <v>619</v>
      </c>
      <c r="Q794" s="375" t="s">
        <v>619</v>
      </c>
      <c r="R794" s="696">
        <v>20040811</v>
      </c>
      <c r="S794" s="375" t="s">
        <v>5728</v>
      </c>
      <c r="T794" s="697">
        <v>0.20900000000000002</v>
      </c>
      <c r="U794" s="375" t="s">
        <v>5729</v>
      </c>
      <c r="V794" s="722">
        <v>13.24</v>
      </c>
      <c r="W794" s="722">
        <v>1.3</v>
      </c>
      <c r="X794" s="722">
        <v>2.5</v>
      </c>
      <c r="Y794" s="722">
        <v>37.74</v>
      </c>
      <c r="Z794" s="382" t="s">
        <v>924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5730</v>
      </c>
      <c r="B795" s="373" t="s">
        <v>5731</v>
      </c>
      <c r="C795" s="372" t="s">
        <v>5732</v>
      </c>
      <c r="D795" s="374">
        <v>1101111408867</v>
      </c>
      <c r="E795" s="372" t="s">
        <v>5733</v>
      </c>
      <c r="F795" s="372" t="s">
        <v>972</v>
      </c>
      <c r="G795" s="375" t="s">
        <v>973</v>
      </c>
      <c r="H795" s="375" t="s">
        <v>814</v>
      </c>
      <c r="I795" s="375" t="s">
        <v>751</v>
      </c>
      <c r="J795" s="375">
        <v>606538.72456999996</v>
      </c>
      <c r="K795" s="375">
        <v>35195.845450000001</v>
      </c>
      <c r="L795" s="375">
        <v>36568.26713</v>
      </c>
      <c r="M795" s="375">
        <v>399293.18015999999</v>
      </c>
      <c r="N795" s="372">
        <v>0.754</v>
      </c>
      <c r="O795" s="704">
        <v>4.8098230750581381</v>
      </c>
      <c r="P795" s="375" t="s">
        <v>619</v>
      </c>
      <c r="Q795" s="375" t="s">
        <v>619</v>
      </c>
      <c r="R795" s="696">
        <v>20001114</v>
      </c>
      <c r="S795" s="375" t="s">
        <v>5734</v>
      </c>
      <c r="T795" s="697">
        <v>0.23100000000000001</v>
      </c>
      <c r="U795" s="375" t="s">
        <v>5735</v>
      </c>
      <c r="V795" s="722">
        <v>2.7</v>
      </c>
      <c r="W795" s="722">
        <v>0.38</v>
      </c>
      <c r="X795" s="722">
        <v>0.28000000000000003</v>
      </c>
      <c r="Y795" s="722">
        <v>6.04</v>
      </c>
      <c r="Z795" s="382" t="s">
        <v>924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5736</v>
      </c>
      <c r="B796" s="373" t="s">
        <v>5737</v>
      </c>
      <c r="C796" s="372" t="s">
        <v>5738</v>
      </c>
      <c r="D796" s="374">
        <v>1301110008789</v>
      </c>
      <c r="E796" s="372" t="s">
        <v>5739</v>
      </c>
      <c r="F796" s="375" t="s">
        <v>3953</v>
      </c>
      <c r="G796" s="375" t="s">
        <v>3953</v>
      </c>
      <c r="H796" s="375" t="s">
        <v>3954</v>
      </c>
      <c r="I796" s="375" t="s">
        <v>751</v>
      </c>
      <c r="J796" s="375">
        <v>652936.95244000002</v>
      </c>
      <c r="K796" s="375">
        <v>32058.248629999998</v>
      </c>
      <c r="L796" s="375">
        <v>42529.653700000003</v>
      </c>
      <c r="M796" s="375">
        <v>689299.28301999997</v>
      </c>
      <c r="N796" s="372">
        <v>0.55200000000000005</v>
      </c>
      <c r="O796" s="704">
        <v>43.075488902309743</v>
      </c>
      <c r="P796" s="375" t="s">
        <v>619</v>
      </c>
      <c r="Q796" s="375" t="s">
        <v>619</v>
      </c>
      <c r="R796" s="696">
        <v>19951221</v>
      </c>
      <c r="S796" s="375" t="s">
        <v>5740</v>
      </c>
      <c r="T796" s="697">
        <v>0.23100000000000001</v>
      </c>
      <c r="U796" s="375" t="s">
        <v>5741</v>
      </c>
      <c r="V796" s="722">
        <v>5.29</v>
      </c>
      <c r="W796" s="722">
        <v>0.35</v>
      </c>
      <c r="X796" s="722">
        <v>0.35</v>
      </c>
      <c r="Y796" s="722">
        <v>8.31</v>
      </c>
      <c r="Z796" s="382" t="s">
        <v>924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5742</v>
      </c>
      <c r="B797" s="373" t="s">
        <v>5743</v>
      </c>
      <c r="C797" s="372" t="s">
        <v>5744</v>
      </c>
      <c r="D797" s="374">
        <v>1101115855973</v>
      </c>
      <c r="E797" s="372" t="s">
        <v>5745</v>
      </c>
      <c r="F797" s="375" t="s">
        <v>618</v>
      </c>
      <c r="G797" s="375" t="s">
        <v>618</v>
      </c>
      <c r="H797" s="375" t="s">
        <v>858</v>
      </c>
      <c r="I797" s="375" t="s">
        <v>859</v>
      </c>
      <c r="J797" s="375">
        <v>157675.93702000001</v>
      </c>
      <c r="K797" s="375">
        <v>-22746.50648</v>
      </c>
      <c r="L797" s="375">
        <v>-17782.523209999999</v>
      </c>
      <c r="M797" s="375">
        <v>155379.29261999999</v>
      </c>
      <c r="N797" s="372">
        <v>0.74399999999999999</v>
      </c>
      <c r="O797" s="704">
        <v>54.046310858953071</v>
      </c>
      <c r="P797" s="375" t="s">
        <v>619</v>
      </c>
      <c r="Q797" s="375" t="s">
        <v>619</v>
      </c>
      <c r="R797" s="696">
        <v>20151216</v>
      </c>
      <c r="S797" s="375" t="s">
        <v>5746</v>
      </c>
      <c r="T797" s="697" t="s">
        <v>768</v>
      </c>
      <c r="U797" s="372" t="s">
        <v>5747</v>
      </c>
      <c r="V797" s="722" t="s">
        <v>770</v>
      </c>
      <c r="W797" s="722">
        <v>0.77</v>
      </c>
      <c r="X797" s="722">
        <v>0.76</v>
      </c>
      <c r="Y797" s="722" t="s">
        <v>770</v>
      </c>
      <c r="Z797" s="382" t="s">
        <v>924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5748</v>
      </c>
      <c r="B798" s="373" t="s">
        <v>5749</v>
      </c>
      <c r="C798" s="372" t="s">
        <v>5750</v>
      </c>
      <c r="D798" s="374">
        <v>1211110051797</v>
      </c>
      <c r="E798" s="372" t="s">
        <v>5751</v>
      </c>
      <c r="F798" s="375" t="s">
        <v>5752</v>
      </c>
      <c r="G798" s="375" t="s">
        <v>5753</v>
      </c>
      <c r="H798" s="375" t="s">
        <v>858</v>
      </c>
      <c r="I798" s="375" t="s">
        <v>859</v>
      </c>
      <c r="J798" s="375">
        <v>57148.175410000003</v>
      </c>
      <c r="K798" s="375">
        <v>-3828.5558700000001</v>
      </c>
      <c r="L798" s="375">
        <v>-14820.53686</v>
      </c>
      <c r="M798" s="375">
        <v>93893.173079999993</v>
      </c>
      <c r="N798" s="372">
        <v>1.889</v>
      </c>
      <c r="O798" s="704">
        <v>10.714068869188626</v>
      </c>
      <c r="P798" s="375" t="s">
        <v>619</v>
      </c>
      <c r="Q798" s="375" t="s">
        <v>619</v>
      </c>
      <c r="R798" s="696">
        <v>20201106</v>
      </c>
      <c r="S798" s="375" t="s">
        <v>5754</v>
      </c>
      <c r="T798" s="697" t="s">
        <v>768</v>
      </c>
      <c r="U798" s="375" t="s">
        <v>5755</v>
      </c>
      <c r="V798" s="722">
        <v>0</v>
      </c>
      <c r="W798" s="722">
        <v>0</v>
      </c>
      <c r="X798" s="722">
        <v>0</v>
      </c>
      <c r="Y798" s="722">
        <v>0</v>
      </c>
      <c r="Z798" s="382" t="s">
        <v>924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5756</v>
      </c>
      <c r="B799" s="373" t="s">
        <v>5757</v>
      </c>
      <c r="C799" s="372" t="s">
        <v>5758</v>
      </c>
      <c r="D799" s="374">
        <v>1101111777585</v>
      </c>
      <c r="E799" s="372" t="s">
        <v>5759</v>
      </c>
      <c r="F799" s="375" t="s">
        <v>1793</v>
      </c>
      <c r="G799" s="375" t="s">
        <v>2794</v>
      </c>
      <c r="H799" s="375" t="s">
        <v>858</v>
      </c>
      <c r="I799" s="375" t="s">
        <v>859</v>
      </c>
      <c r="J799" s="375">
        <v>266694.04995999997</v>
      </c>
      <c r="K799" s="375">
        <v>34861.263129999999</v>
      </c>
      <c r="L799" s="375">
        <v>29955.994019999998</v>
      </c>
      <c r="M799" s="375">
        <v>336794.27860999998</v>
      </c>
      <c r="N799" s="372">
        <v>0.75600000000000001</v>
      </c>
      <c r="O799" s="704">
        <v>76.780864826583766</v>
      </c>
      <c r="P799" s="375" t="s">
        <v>619</v>
      </c>
      <c r="Q799" s="372" t="s">
        <v>619</v>
      </c>
      <c r="R799" s="696">
        <v>20051019</v>
      </c>
      <c r="S799" s="372" t="s">
        <v>5760</v>
      </c>
      <c r="T799" s="697">
        <v>0.23100000000000001</v>
      </c>
      <c r="U799" s="372" t="s">
        <v>5761</v>
      </c>
      <c r="V799" s="722">
        <v>6.15</v>
      </c>
      <c r="W799" s="722">
        <v>1.06</v>
      </c>
      <c r="X799" s="722">
        <v>0.69</v>
      </c>
      <c r="Y799" s="722">
        <v>13.94</v>
      </c>
      <c r="Z799" s="382" t="s">
        <v>924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5762</v>
      </c>
      <c r="B800" s="373" t="s">
        <v>5763</v>
      </c>
      <c r="C800" s="372" t="s">
        <v>5764</v>
      </c>
      <c r="D800" s="374">
        <v>1601110387525</v>
      </c>
      <c r="E800" s="372" t="s">
        <v>5765</v>
      </c>
      <c r="F800" s="375" t="s">
        <v>5766</v>
      </c>
      <c r="G800" s="375" t="s">
        <v>5766</v>
      </c>
      <c r="H800" s="375" t="s">
        <v>1334</v>
      </c>
      <c r="I800" s="375" t="s">
        <v>859</v>
      </c>
      <c r="J800" s="375">
        <v>40895.761890000002</v>
      </c>
      <c r="K800" s="375">
        <v>-11338.337450000001</v>
      </c>
      <c r="L800" s="375">
        <v>-15590.969590000001</v>
      </c>
      <c r="M800" s="375">
        <v>182776.16175999999</v>
      </c>
      <c r="N800" s="372" t="s">
        <v>1023</v>
      </c>
      <c r="O800" s="704">
        <v>17.215916758004688</v>
      </c>
      <c r="P800" s="375" t="s">
        <v>619</v>
      </c>
      <c r="Q800" s="375" t="s">
        <v>619</v>
      </c>
      <c r="R800" s="696">
        <v>20231109</v>
      </c>
      <c r="S800" s="375" t="s">
        <v>5767</v>
      </c>
      <c r="T800" s="697" t="s">
        <v>768</v>
      </c>
      <c r="U800" s="375" t="s">
        <v>5768</v>
      </c>
      <c r="V800" s="722" t="s">
        <v>770</v>
      </c>
      <c r="W800" s="722">
        <v>1.25</v>
      </c>
      <c r="X800" s="722">
        <v>3.24</v>
      </c>
      <c r="Y800" s="722" t="s">
        <v>770</v>
      </c>
      <c r="Z800" s="382">
        <v>0.45100895422551868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309</v>
      </c>
      <c r="AF800" s="372">
        <v>519</v>
      </c>
      <c r="AG800" s="372">
        <v>701</v>
      </c>
      <c r="AH800" s="372">
        <v>0</v>
      </c>
    </row>
    <row r="801" spans="1:34">
      <c r="A801" s="372" t="s">
        <v>5769</v>
      </c>
      <c r="B801" s="373" t="s">
        <v>5770</v>
      </c>
      <c r="C801" s="372" t="s">
        <v>5771</v>
      </c>
      <c r="D801" s="374">
        <v>1311110241362</v>
      </c>
      <c r="E801" s="372" t="s">
        <v>5772</v>
      </c>
      <c r="F801" s="375" t="s">
        <v>1272</v>
      </c>
      <c r="G801" s="375" t="s">
        <v>1272</v>
      </c>
      <c r="H801" s="375" t="s">
        <v>858</v>
      </c>
      <c r="I801" s="375" t="s">
        <v>859</v>
      </c>
      <c r="J801" s="375">
        <v>9843.2035799999994</v>
      </c>
      <c r="K801" s="375">
        <v>-4633.6012700000001</v>
      </c>
      <c r="L801" s="375">
        <v>-5652.8039200000003</v>
      </c>
      <c r="M801" s="375">
        <v>17587.404640000001</v>
      </c>
      <c r="N801" s="372" t="s">
        <v>1023</v>
      </c>
      <c r="O801" s="704">
        <v>7.6372852186228233</v>
      </c>
      <c r="P801" s="375" t="s">
        <v>619</v>
      </c>
      <c r="Q801" s="375" t="s">
        <v>619</v>
      </c>
      <c r="R801" s="696">
        <v>20230309</v>
      </c>
      <c r="S801" s="375" t="s">
        <v>5773</v>
      </c>
      <c r="T801" s="697" t="s">
        <v>768</v>
      </c>
      <c r="U801" s="372" t="s">
        <v>5774</v>
      </c>
      <c r="V801" s="722">
        <v>0</v>
      </c>
      <c r="W801" s="722">
        <v>0</v>
      </c>
      <c r="X801" s="722">
        <v>0</v>
      </c>
      <c r="Y801" s="722">
        <v>0</v>
      </c>
      <c r="Z801" s="382" t="s">
        <v>924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5775</v>
      </c>
      <c r="B802" s="373" t="s">
        <v>5776</v>
      </c>
      <c r="C802" s="372" t="s">
        <v>5777</v>
      </c>
      <c r="D802" s="374">
        <v>1101110234312</v>
      </c>
      <c r="E802" s="372" t="s">
        <v>5778</v>
      </c>
      <c r="F802" s="375" t="s">
        <v>1273</v>
      </c>
      <c r="G802" s="375" t="s">
        <v>1449</v>
      </c>
      <c r="H802" s="375" t="s">
        <v>858</v>
      </c>
      <c r="I802" s="375" t="s">
        <v>859</v>
      </c>
      <c r="J802" s="375">
        <v>25149.36449</v>
      </c>
      <c r="K802" s="375">
        <v>-1721.1963000000001</v>
      </c>
      <c r="L802" s="375">
        <v>-3892.6819300000002</v>
      </c>
      <c r="M802" s="375">
        <v>78179.782739999995</v>
      </c>
      <c r="N802" s="372">
        <v>0.83399999999999996</v>
      </c>
      <c r="O802" s="704">
        <v>1.9356708986966038</v>
      </c>
      <c r="P802" s="375" t="s">
        <v>619</v>
      </c>
      <c r="Q802" s="375" t="s">
        <v>619</v>
      </c>
      <c r="R802" s="696">
        <v>20010116</v>
      </c>
      <c r="S802" s="375" t="s">
        <v>5779</v>
      </c>
      <c r="T802" s="697" t="s">
        <v>768</v>
      </c>
      <c r="U802" s="375" t="s">
        <v>5780</v>
      </c>
      <c r="V802" s="722">
        <v>0</v>
      </c>
      <c r="W802" s="722">
        <v>0</v>
      </c>
      <c r="X802" s="722">
        <v>0</v>
      </c>
      <c r="Y802" s="722">
        <v>0</v>
      </c>
      <c r="Z802" s="382" t="s">
        <v>924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5781</v>
      </c>
      <c r="B803" s="373" t="s">
        <v>5782</v>
      </c>
      <c r="C803" s="372" t="s">
        <v>5783</v>
      </c>
      <c r="D803" s="374">
        <v>1101110013287</v>
      </c>
      <c r="E803" s="372" t="s">
        <v>5784</v>
      </c>
      <c r="F803" s="375" t="s">
        <v>1645</v>
      </c>
      <c r="G803" s="375" t="s">
        <v>1666</v>
      </c>
      <c r="H803" s="375" t="s">
        <v>843</v>
      </c>
      <c r="I803" s="375" t="s">
        <v>751</v>
      </c>
      <c r="J803" s="375">
        <v>395524.50176000001</v>
      </c>
      <c r="K803" s="375">
        <v>32684.11204</v>
      </c>
      <c r="L803" s="375">
        <v>17981.062020000001</v>
      </c>
      <c r="M803" s="375">
        <v>744950.91761</v>
      </c>
      <c r="N803" s="372">
        <v>0.77400000000000002</v>
      </c>
      <c r="O803" s="704">
        <v>136.38384429901126</v>
      </c>
      <c r="P803" s="375" t="s">
        <v>619</v>
      </c>
      <c r="Q803" s="375" t="s">
        <v>619</v>
      </c>
      <c r="R803" s="696">
        <v>19560303</v>
      </c>
      <c r="S803" s="375" t="s">
        <v>5785</v>
      </c>
      <c r="T803" s="697">
        <v>0.20900000000000002</v>
      </c>
      <c r="U803" s="375" t="s">
        <v>5786</v>
      </c>
      <c r="V803" s="722">
        <v>5.12</v>
      </c>
      <c r="W803" s="722">
        <v>0.22</v>
      </c>
      <c r="X803" s="722">
        <v>0.42</v>
      </c>
      <c r="Y803" s="722">
        <v>21.98</v>
      </c>
      <c r="Z803" s="382" t="s">
        <v>924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5787</v>
      </c>
      <c r="B804" s="373" t="s">
        <v>5788</v>
      </c>
      <c r="C804" s="372" t="s">
        <v>5789</v>
      </c>
      <c r="D804" s="374">
        <v>1101115503308</v>
      </c>
      <c r="E804" s="372" t="s">
        <v>5790</v>
      </c>
      <c r="F804" s="372" t="s">
        <v>1052</v>
      </c>
      <c r="G804" s="375" t="s">
        <v>16101</v>
      </c>
      <c r="H804" s="375" t="s">
        <v>858</v>
      </c>
      <c r="I804" s="375" t="s">
        <v>859</v>
      </c>
      <c r="J804" s="375">
        <v>16568.935679999999</v>
      </c>
      <c r="K804" s="375">
        <v>-34046.577669999999</v>
      </c>
      <c r="L804" s="375">
        <v>-49029.226869999999</v>
      </c>
      <c r="M804" s="375">
        <v>272761.62234</v>
      </c>
      <c r="N804" s="372">
        <v>0.55600000000000005</v>
      </c>
      <c r="O804" s="704">
        <v>6.8337580235262845</v>
      </c>
      <c r="P804" s="375" t="s">
        <v>619</v>
      </c>
      <c r="Q804" s="372" t="s">
        <v>619</v>
      </c>
      <c r="R804" s="696">
        <v>20141201</v>
      </c>
      <c r="S804" s="372" t="s">
        <v>5791</v>
      </c>
      <c r="T804" s="697" t="s">
        <v>768</v>
      </c>
      <c r="U804" s="372" t="s">
        <v>5792</v>
      </c>
      <c r="V804" s="722" t="s">
        <v>770</v>
      </c>
      <c r="W804" s="722">
        <v>0.66</v>
      </c>
      <c r="X804" s="722">
        <v>12.6</v>
      </c>
      <c r="Y804" s="722" t="s">
        <v>770</v>
      </c>
      <c r="Z804" s="382" t="s">
        <v>924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5793</v>
      </c>
      <c r="B805" s="373" t="s">
        <v>5794</v>
      </c>
      <c r="C805" s="372" t="s">
        <v>5795</v>
      </c>
      <c r="D805" s="374">
        <v>1101112113142</v>
      </c>
      <c r="E805" s="372" t="s">
        <v>5796</v>
      </c>
      <c r="F805" s="372" t="s">
        <v>2411</v>
      </c>
      <c r="G805" s="375" t="s">
        <v>2411</v>
      </c>
      <c r="H805" s="375" t="s">
        <v>858</v>
      </c>
      <c r="I805" s="375" t="s">
        <v>859</v>
      </c>
      <c r="J805" s="375">
        <v>5474.3791799999999</v>
      </c>
      <c r="K805" s="375">
        <v>-7072.7730199999996</v>
      </c>
      <c r="L805" s="375">
        <v>-4238.1928900000003</v>
      </c>
      <c r="M805" s="375">
        <v>13107.182140000001</v>
      </c>
      <c r="N805" s="372">
        <v>1.5189999999999999</v>
      </c>
      <c r="O805" s="704">
        <v>24.468173995251842</v>
      </c>
      <c r="P805" s="375" t="s">
        <v>619</v>
      </c>
      <c r="Q805" s="372" t="s">
        <v>619</v>
      </c>
      <c r="R805" s="696">
        <v>20221017</v>
      </c>
      <c r="S805" s="375" t="s">
        <v>5797</v>
      </c>
      <c r="T805" s="697" t="s">
        <v>768</v>
      </c>
      <c r="U805" s="372" t="s">
        <v>5798</v>
      </c>
      <c r="V805" s="722">
        <v>0</v>
      </c>
      <c r="W805" s="722">
        <v>0</v>
      </c>
      <c r="X805" s="722">
        <v>0</v>
      </c>
      <c r="Y805" s="722">
        <v>0</v>
      </c>
      <c r="Z805" s="382" t="s">
        <v>924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5799</v>
      </c>
      <c r="B806" s="373" t="s">
        <v>5800</v>
      </c>
      <c r="C806" s="372" t="s">
        <v>5801</v>
      </c>
      <c r="D806" s="374">
        <v>1101111419517</v>
      </c>
      <c r="E806" s="372" t="s">
        <v>5802</v>
      </c>
      <c r="F806" s="375" t="s">
        <v>1367</v>
      </c>
      <c r="G806" s="375" t="s">
        <v>1367</v>
      </c>
      <c r="H806" s="375" t="s">
        <v>858</v>
      </c>
      <c r="I806" s="375" t="s">
        <v>859</v>
      </c>
      <c r="J806" s="375">
        <v>387196.79872999998</v>
      </c>
      <c r="K806" s="375">
        <v>24049.890749999999</v>
      </c>
      <c r="L806" s="375">
        <v>15132.141229999999</v>
      </c>
      <c r="M806" s="375">
        <v>699312.88459000003</v>
      </c>
      <c r="N806" s="372">
        <v>1.151</v>
      </c>
      <c r="O806" s="704">
        <v>3.0853136178108107</v>
      </c>
      <c r="P806" s="375" t="s">
        <v>619</v>
      </c>
      <c r="Q806" s="372" t="s">
        <v>619</v>
      </c>
      <c r="R806" s="696">
        <v>20000623</v>
      </c>
      <c r="S806" s="372" t="s">
        <v>2635</v>
      </c>
      <c r="T806" s="697">
        <v>0.20900000000000002</v>
      </c>
      <c r="U806" s="372" t="s">
        <v>5803</v>
      </c>
      <c r="V806" s="722">
        <v>12.54</v>
      </c>
      <c r="W806" s="722">
        <v>0.45</v>
      </c>
      <c r="X806" s="722">
        <v>0.44</v>
      </c>
      <c r="Y806" s="722" t="s">
        <v>770</v>
      </c>
      <c r="Z806" s="382" t="s">
        <v>924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5804</v>
      </c>
      <c r="B807" s="373" t="s">
        <v>5805</v>
      </c>
      <c r="C807" s="372" t="s">
        <v>5806</v>
      </c>
      <c r="D807" s="374">
        <v>1101113710468</v>
      </c>
      <c r="E807" s="372" t="s">
        <v>5807</v>
      </c>
      <c r="F807" s="375" t="s">
        <v>890</v>
      </c>
      <c r="G807" s="375" t="s">
        <v>891</v>
      </c>
      <c r="H807" s="375" t="s">
        <v>852</v>
      </c>
      <c r="I807" s="375" t="s">
        <v>751</v>
      </c>
      <c r="J807" s="375">
        <v>925727.60342000006</v>
      </c>
      <c r="K807" s="375">
        <v>163218.45736999999</v>
      </c>
      <c r="L807" s="375">
        <v>151746.21283</v>
      </c>
      <c r="M807" s="375">
        <v>419407.07325000002</v>
      </c>
      <c r="N807" s="372">
        <v>0.82599999999999996</v>
      </c>
      <c r="O807" s="704">
        <v>222.73153883011071</v>
      </c>
      <c r="P807" s="375" t="s">
        <v>619</v>
      </c>
      <c r="Q807" s="375" t="s">
        <v>619</v>
      </c>
      <c r="R807" s="696">
        <v>20070731</v>
      </c>
      <c r="S807" s="375" t="s">
        <v>5808</v>
      </c>
      <c r="T807" s="697">
        <v>0.23100000000000001</v>
      </c>
      <c r="U807" s="372" t="s">
        <v>5809</v>
      </c>
      <c r="V807" s="722">
        <v>3.86</v>
      </c>
      <c r="W807" s="722">
        <v>1.29</v>
      </c>
      <c r="X807" s="722">
        <v>0.25</v>
      </c>
      <c r="Y807" s="722">
        <v>3.34</v>
      </c>
      <c r="Z807" s="382" t="s">
        <v>924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5810</v>
      </c>
      <c r="B808" s="373" t="s">
        <v>5811</v>
      </c>
      <c r="C808" s="372" t="s">
        <v>5812</v>
      </c>
      <c r="D808" s="374">
        <v>1101113078907</v>
      </c>
      <c r="E808" s="372" t="s">
        <v>5813</v>
      </c>
      <c r="F808" s="375" t="s">
        <v>2121</v>
      </c>
      <c r="G808" s="375" t="s">
        <v>4228</v>
      </c>
      <c r="H808" s="375" t="s">
        <v>858</v>
      </c>
      <c r="I808" s="375" t="s">
        <v>859</v>
      </c>
      <c r="J808" s="375">
        <v>10131.10231</v>
      </c>
      <c r="K808" s="375">
        <v>-2818.84375</v>
      </c>
      <c r="L808" s="375">
        <v>-9404.0464300000003</v>
      </c>
      <c r="M808" s="375">
        <v>6224.6812900000004</v>
      </c>
      <c r="N808" s="372" t="s">
        <v>1023</v>
      </c>
      <c r="O808" s="704">
        <v>1.4492587901652683</v>
      </c>
      <c r="P808" s="375" t="s">
        <v>16112</v>
      </c>
      <c r="Q808" s="375" t="s">
        <v>16113</v>
      </c>
      <c r="R808" s="696">
        <v>20131219</v>
      </c>
      <c r="S808" s="375" t="s">
        <v>5814</v>
      </c>
      <c r="T808" s="697" t="s">
        <v>768</v>
      </c>
      <c r="U808" s="375" t="s">
        <v>5815</v>
      </c>
      <c r="V808" s="722" t="s">
        <v>770</v>
      </c>
      <c r="W808" s="722">
        <v>39.700000000000003</v>
      </c>
      <c r="X808" s="722">
        <v>24.25</v>
      </c>
      <c r="Y808" s="722" t="s">
        <v>770</v>
      </c>
      <c r="Z808" s="382" t="s">
        <v>924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5816</v>
      </c>
      <c r="B809" s="373" t="s">
        <v>5817</v>
      </c>
      <c r="C809" s="372" t="s">
        <v>5818</v>
      </c>
      <c r="D809" s="374">
        <v>1601110066145</v>
      </c>
      <c r="E809" s="372" t="s">
        <v>5819</v>
      </c>
      <c r="F809" s="375" t="s">
        <v>1868</v>
      </c>
      <c r="G809" s="375" t="s">
        <v>5820</v>
      </c>
      <c r="H809" s="375" t="s">
        <v>858</v>
      </c>
      <c r="I809" s="375" t="s">
        <v>859</v>
      </c>
      <c r="J809" s="375">
        <v>22178.177589999999</v>
      </c>
      <c r="K809" s="375">
        <v>7.5066199999999998</v>
      </c>
      <c r="L809" s="375">
        <v>-5220.7887099999998</v>
      </c>
      <c r="M809" s="375">
        <v>28068.158719999999</v>
      </c>
      <c r="N809" s="372" t="s">
        <v>1023</v>
      </c>
      <c r="O809" s="704">
        <v>2.2855553092880925</v>
      </c>
      <c r="P809" s="375" t="s">
        <v>619</v>
      </c>
      <c r="Q809" s="372" t="s">
        <v>619</v>
      </c>
      <c r="R809" s="696">
        <v>20240104</v>
      </c>
      <c r="S809" s="372" t="s">
        <v>5821</v>
      </c>
      <c r="T809" s="697" t="s">
        <v>768</v>
      </c>
      <c r="U809" s="375" t="s">
        <v>5822</v>
      </c>
      <c r="V809" s="722">
        <v>175.31</v>
      </c>
      <c r="W809" s="722">
        <v>3.88</v>
      </c>
      <c r="X809" s="722">
        <v>4.88</v>
      </c>
      <c r="Y809" s="722" t="s">
        <v>770</v>
      </c>
      <c r="Z809" s="382" t="s">
        <v>924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5823</v>
      </c>
      <c r="B810" s="373" t="s">
        <v>5824</v>
      </c>
      <c r="C810" s="372" t="s">
        <v>5825</v>
      </c>
      <c r="D810" s="374">
        <v>1101114962092</v>
      </c>
      <c r="E810" s="372" t="s">
        <v>5826</v>
      </c>
      <c r="F810" s="375" t="s">
        <v>1793</v>
      </c>
      <c r="G810" s="375" t="s">
        <v>1794</v>
      </c>
      <c r="H810" s="375" t="s">
        <v>858</v>
      </c>
      <c r="I810" s="375" t="s">
        <v>859</v>
      </c>
      <c r="J810" s="375">
        <v>4273.5190400000001</v>
      </c>
      <c r="K810" s="375">
        <v>-12870.469719999999</v>
      </c>
      <c r="L810" s="375">
        <v>-12887.516960000001</v>
      </c>
      <c r="M810" s="375">
        <v>7731.8467099999998</v>
      </c>
      <c r="N810" s="372" t="s">
        <v>1023</v>
      </c>
      <c r="O810" s="704">
        <v>11.535405941185914</v>
      </c>
      <c r="P810" s="375" t="s">
        <v>619</v>
      </c>
      <c r="Q810" s="375" t="s">
        <v>619</v>
      </c>
      <c r="R810" s="696">
        <v>20230918</v>
      </c>
      <c r="S810" s="375" t="s">
        <v>5827</v>
      </c>
      <c r="T810" s="697" t="s">
        <v>768</v>
      </c>
      <c r="U810" s="375" t="s">
        <v>5828</v>
      </c>
      <c r="V810" s="722" t="s">
        <v>770</v>
      </c>
      <c r="W810" s="722">
        <v>13.95</v>
      </c>
      <c r="X810" s="722">
        <v>25.14</v>
      </c>
      <c r="Y810" s="722" t="s">
        <v>770</v>
      </c>
      <c r="Z810" s="382" t="s">
        <v>924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5829</v>
      </c>
      <c r="B811" s="373" t="s">
        <v>5830</v>
      </c>
      <c r="C811" s="372" t="s">
        <v>5831</v>
      </c>
      <c r="D811" s="374">
        <v>1101114945246</v>
      </c>
      <c r="E811" s="372" t="s">
        <v>5832</v>
      </c>
      <c r="F811" s="375" t="s">
        <v>2515</v>
      </c>
      <c r="G811" s="375" t="s">
        <v>2515</v>
      </c>
      <c r="H811" s="375" t="s">
        <v>1334</v>
      </c>
      <c r="I811" s="375" t="s">
        <v>859</v>
      </c>
      <c r="J811" s="375">
        <v>19757.403439999998</v>
      </c>
      <c r="K811" s="375">
        <v>-1521.7866799999999</v>
      </c>
      <c r="L811" s="375">
        <v>-1426.35717</v>
      </c>
      <c r="M811" s="375">
        <v>10749.09045</v>
      </c>
      <c r="N811" s="372">
        <v>0.17399999999999999</v>
      </c>
      <c r="O811" s="704">
        <v>1.9252615815005258</v>
      </c>
      <c r="P811" s="375" t="s">
        <v>619</v>
      </c>
      <c r="Q811" s="375" t="s">
        <v>619</v>
      </c>
      <c r="R811" s="696">
        <v>20190717</v>
      </c>
      <c r="S811" s="375" t="s">
        <v>5833</v>
      </c>
      <c r="T811" s="697" t="s">
        <v>768</v>
      </c>
      <c r="U811" s="375" t="s">
        <v>5834</v>
      </c>
      <c r="V811" s="722" t="s">
        <v>770</v>
      </c>
      <c r="W811" s="722">
        <v>8.91</v>
      </c>
      <c r="X811" s="722">
        <v>4.8899999999999997</v>
      </c>
      <c r="Y811" s="722" t="s">
        <v>770</v>
      </c>
      <c r="Z811" s="382">
        <v>0.26582223703840135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269</v>
      </c>
      <c r="AF811" s="372">
        <v>332</v>
      </c>
      <c r="AG811" s="372">
        <v>456</v>
      </c>
      <c r="AH811" s="372">
        <v>0</v>
      </c>
    </row>
    <row r="812" spans="1:34">
      <c r="A812" s="372" t="s">
        <v>5835</v>
      </c>
      <c r="B812" s="373" t="s">
        <v>5836</v>
      </c>
      <c r="C812" s="372" t="s">
        <v>5837</v>
      </c>
      <c r="D812" s="374">
        <v>1712110005114</v>
      </c>
      <c r="E812" s="372" t="s">
        <v>5838</v>
      </c>
      <c r="F812" s="375" t="s">
        <v>2989</v>
      </c>
      <c r="G812" s="375" t="s">
        <v>2989</v>
      </c>
      <c r="H812" s="375" t="s">
        <v>858</v>
      </c>
      <c r="I812" s="375" t="s">
        <v>859</v>
      </c>
      <c r="J812" s="375">
        <v>1772608.7062599999</v>
      </c>
      <c r="K812" s="375">
        <v>124440.27202999999</v>
      </c>
      <c r="L812" s="375">
        <v>58072.616479999997</v>
      </c>
      <c r="M812" s="375">
        <v>561496.93799999997</v>
      </c>
      <c r="N812" s="372">
        <v>0.95</v>
      </c>
      <c r="O812" s="704">
        <v>303.22764703739529</v>
      </c>
      <c r="P812" s="375" t="s">
        <v>619</v>
      </c>
      <c r="Q812" s="372" t="s">
        <v>619</v>
      </c>
      <c r="R812" s="696">
        <v>20100806</v>
      </c>
      <c r="S812" s="372" t="s">
        <v>5839</v>
      </c>
      <c r="T812" s="697">
        <v>0.23100000000000001</v>
      </c>
      <c r="U812" s="372" t="s">
        <v>5840</v>
      </c>
      <c r="V812" s="722">
        <v>4.7699999999999996</v>
      </c>
      <c r="W812" s="722">
        <v>0.83</v>
      </c>
      <c r="X812" s="722">
        <v>0.1</v>
      </c>
      <c r="Y812" s="722" t="s">
        <v>770</v>
      </c>
      <c r="Z812" s="382" t="s">
        <v>924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5841</v>
      </c>
      <c r="B813" s="373" t="s">
        <v>5842</v>
      </c>
      <c r="C813" s="372" t="s">
        <v>5843</v>
      </c>
      <c r="D813" s="374">
        <v>1101113501601</v>
      </c>
      <c r="E813" s="372" t="s">
        <v>5844</v>
      </c>
      <c r="F813" s="375" t="s">
        <v>4181</v>
      </c>
      <c r="G813" s="375" t="s">
        <v>4181</v>
      </c>
      <c r="H813" s="375" t="s">
        <v>858</v>
      </c>
      <c r="I813" s="375" t="s">
        <v>859</v>
      </c>
      <c r="J813" s="375">
        <v>72734.724300000002</v>
      </c>
      <c r="K813" s="375">
        <v>1326.1720800000001</v>
      </c>
      <c r="L813" s="375">
        <v>-1026.77278</v>
      </c>
      <c r="M813" s="375">
        <v>44469.298210000001</v>
      </c>
      <c r="N813" s="372" t="s">
        <v>1023</v>
      </c>
      <c r="O813" s="704">
        <v>41.439284366975549</v>
      </c>
      <c r="P813" s="375" t="s">
        <v>619</v>
      </c>
      <c r="Q813" s="372" t="s">
        <v>619</v>
      </c>
      <c r="R813" s="696">
        <v>20201203</v>
      </c>
      <c r="S813" s="372" t="s">
        <v>5845</v>
      </c>
      <c r="T813" s="697" t="s">
        <v>768</v>
      </c>
      <c r="U813" s="372" t="s">
        <v>5846</v>
      </c>
      <c r="V813" s="722">
        <v>18.27</v>
      </c>
      <c r="W813" s="722">
        <v>1.1100000000000001</v>
      </c>
      <c r="X813" s="722">
        <v>0.69</v>
      </c>
      <c r="Y813" s="722" t="s">
        <v>770</v>
      </c>
      <c r="Z813" s="382" t="s">
        <v>924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5847</v>
      </c>
      <c r="B814" s="373" t="s">
        <v>5848</v>
      </c>
      <c r="C814" s="372" t="s">
        <v>5849</v>
      </c>
      <c r="D814" s="374">
        <v>2111110001090</v>
      </c>
      <c r="E814" s="372" t="s">
        <v>5850</v>
      </c>
      <c r="F814" s="372" t="s">
        <v>1093</v>
      </c>
      <c r="G814" s="375" t="s">
        <v>5851</v>
      </c>
      <c r="H814" s="375" t="s">
        <v>823</v>
      </c>
      <c r="I814" s="375" t="s">
        <v>751</v>
      </c>
      <c r="J814" s="375">
        <v>244282.26525999999</v>
      </c>
      <c r="K814" s="375">
        <v>5084.29684</v>
      </c>
      <c r="L814" s="375">
        <v>3810.8869</v>
      </c>
      <c r="M814" s="375">
        <v>163571.07629</v>
      </c>
      <c r="N814" s="372">
        <v>1.2310000000000001</v>
      </c>
      <c r="O814" s="704">
        <v>13.651808144156071</v>
      </c>
      <c r="P814" s="375" t="s">
        <v>619</v>
      </c>
      <c r="Q814" s="375" t="s">
        <v>619</v>
      </c>
      <c r="R814" s="696">
        <v>20030109</v>
      </c>
      <c r="S814" s="375" t="s">
        <v>5852</v>
      </c>
      <c r="T814" s="697">
        <v>0.20900000000000002</v>
      </c>
      <c r="U814" s="375" t="s">
        <v>5853</v>
      </c>
      <c r="V814" s="722">
        <v>0</v>
      </c>
      <c r="W814" s="722">
        <v>0</v>
      </c>
      <c r="X814" s="722">
        <v>0</v>
      </c>
      <c r="Y814" s="722">
        <v>0</v>
      </c>
      <c r="Z814" s="382" t="s">
        <v>924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5854</v>
      </c>
      <c r="B815" s="373" t="s">
        <v>5855</v>
      </c>
      <c r="C815" s="372" t="s">
        <v>5856</v>
      </c>
      <c r="D815" s="374">
        <v>1101112958259</v>
      </c>
      <c r="E815" s="372" t="s">
        <v>5857</v>
      </c>
      <c r="F815" s="375" t="s">
        <v>5858</v>
      </c>
      <c r="G815" s="375" t="s">
        <v>5858</v>
      </c>
      <c r="H815" s="375" t="s">
        <v>858</v>
      </c>
      <c r="I815" s="375" t="s">
        <v>859</v>
      </c>
      <c r="J815" s="375">
        <v>537753.24291999999</v>
      </c>
      <c r="K815" s="375">
        <v>41639.951130000001</v>
      </c>
      <c r="L815" s="375">
        <v>38807.285430000004</v>
      </c>
      <c r="M815" s="375">
        <v>386603.37066999997</v>
      </c>
      <c r="N815" s="372">
        <v>0.55900000000000005</v>
      </c>
      <c r="O815" s="704">
        <v>135.23256241691763</v>
      </c>
      <c r="P815" s="375" t="s">
        <v>619</v>
      </c>
      <c r="Q815" s="372" t="s">
        <v>619</v>
      </c>
      <c r="R815" s="696">
        <v>20200727</v>
      </c>
      <c r="S815" s="372" t="s">
        <v>5859</v>
      </c>
      <c r="T815" s="697">
        <v>0.23100000000000001</v>
      </c>
      <c r="U815" s="372" t="s">
        <v>5860</v>
      </c>
      <c r="V815" s="722">
        <v>5.17</v>
      </c>
      <c r="W815" s="722">
        <v>0.53</v>
      </c>
      <c r="X815" s="722">
        <v>0.33</v>
      </c>
      <c r="Y815" s="722">
        <v>5.84</v>
      </c>
      <c r="Z815" s="382">
        <v>2.9883979012521822E-2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5567</v>
      </c>
      <c r="AF815" s="372">
        <v>5825</v>
      </c>
      <c r="AG815" s="372">
        <v>6170</v>
      </c>
      <c r="AH815" s="372">
        <v>0</v>
      </c>
    </row>
    <row r="816" spans="1:34">
      <c r="A816" s="372" t="s">
        <v>5861</v>
      </c>
      <c r="B816" s="373" t="s">
        <v>5862</v>
      </c>
      <c r="C816" s="372" t="s">
        <v>5863</v>
      </c>
      <c r="D816" s="374">
        <v>1942110068066</v>
      </c>
      <c r="E816" s="372" t="s">
        <v>5864</v>
      </c>
      <c r="F816" s="375" t="s">
        <v>1860</v>
      </c>
      <c r="G816" s="375" t="s">
        <v>1861</v>
      </c>
      <c r="H816" s="375" t="s">
        <v>858</v>
      </c>
      <c r="I816" s="375" t="s">
        <v>859</v>
      </c>
      <c r="J816" s="375">
        <v>127516.24017999999</v>
      </c>
      <c r="K816" s="375">
        <v>7011.1157599999997</v>
      </c>
      <c r="L816" s="375">
        <v>9198.0032300000003</v>
      </c>
      <c r="M816" s="375">
        <v>101920.62806</v>
      </c>
      <c r="N816" s="372" t="s">
        <v>1023</v>
      </c>
      <c r="O816" s="704">
        <v>7.9536291433725825</v>
      </c>
      <c r="P816" s="375" t="s">
        <v>619</v>
      </c>
      <c r="Q816" s="375" t="s">
        <v>619</v>
      </c>
      <c r="R816" s="696">
        <v>20231019</v>
      </c>
      <c r="S816" s="375" t="s">
        <v>5865</v>
      </c>
      <c r="T816" s="697">
        <v>0.20900000000000002</v>
      </c>
      <c r="U816" s="372" t="s">
        <v>5866</v>
      </c>
      <c r="V816" s="722">
        <v>23.17</v>
      </c>
      <c r="W816" s="722">
        <v>2.5099999999999998</v>
      </c>
      <c r="X816" s="722">
        <v>2.0299999999999998</v>
      </c>
      <c r="Y816" s="722">
        <v>36.340000000000003</v>
      </c>
      <c r="Z816" s="382" t="s">
        <v>924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5867</v>
      </c>
      <c r="B817" s="373" t="s">
        <v>5868</v>
      </c>
      <c r="C817" s="372" t="s">
        <v>5869</v>
      </c>
      <c r="D817" s="374">
        <v>1101111784952</v>
      </c>
      <c r="E817" s="372" t="s">
        <v>5870</v>
      </c>
      <c r="F817" s="375" t="s">
        <v>1182</v>
      </c>
      <c r="G817" s="375" t="s">
        <v>1183</v>
      </c>
      <c r="H817" s="375" t="s">
        <v>858</v>
      </c>
      <c r="I817" s="375" t="s">
        <v>859</v>
      </c>
      <c r="J817" s="375">
        <v>477226.82364000002</v>
      </c>
      <c r="K817" s="375">
        <v>26070.548480000001</v>
      </c>
      <c r="L817" s="375">
        <v>23526.105029999999</v>
      </c>
      <c r="M817" s="375">
        <v>360850.87215000001</v>
      </c>
      <c r="N817" s="372">
        <v>0.88500000000000001</v>
      </c>
      <c r="O817" s="704">
        <v>143.93567051584046</v>
      </c>
      <c r="P817" s="375" t="s">
        <v>619</v>
      </c>
      <c r="Q817" s="375" t="s">
        <v>619</v>
      </c>
      <c r="R817" s="696">
        <v>20161130</v>
      </c>
      <c r="S817" s="375" t="s">
        <v>5871</v>
      </c>
      <c r="T817" s="697">
        <v>0.23100000000000001</v>
      </c>
      <c r="U817" s="372" t="s">
        <v>5872</v>
      </c>
      <c r="V817" s="722">
        <v>8.39</v>
      </c>
      <c r="W817" s="722">
        <v>0.83</v>
      </c>
      <c r="X817" s="722">
        <v>0.48</v>
      </c>
      <c r="Y817" s="722">
        <v>11.47</v>
      </c>
      <c r="Z817" s="382" t="s">
        <v>924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5873</v>
      </c>
      <c r="B818" s="373" t="s">
        <v>5874</v>
      </c>
      <c r="C818" s="372" t="s">
        <v>5875</v>
      </c>
      <c r="D818" s="374">
        <v>1846110000583</v>
      </c>
      <c r="E818" s="372" t="s">
        <v>5876</v>
      </c>
      <c r="F818" s="375" t="s">
        <v>5877</v>
      </c>
      <c r="G818" s="375" t="s">
        <v>5877</v>
      </c>
      <c r="H818" s="375" t="s">
        <v>823</v>
      </c>
      <c r="I818" s="375" t="s">
        <v>751</v>
      </c>
      <c r="J818" s="375">
        <v>3184838.9616</v>
      </c>
      <c r="K818" s="375">
        <v>258898.03784</v>
      </c>
      <c r="L818" s="375">
        <v>184662.89356999999</v>
      </c>
      <c r="M818" s="375">
        <v>2345194.2392699998</v>
      </c>
      <c r="N818" s="372">
        <v>0.69699999999999995</v>
      </c>
      <c r="O818" s="704">
        <v>874.80473648161251</v>
      </c>
      <c r="P818" s="375" t="s">
        <v>619</v>
      </c>
      <c r="Q818" s="375" t="s">
        <v>619</v>
      </c>
      <c r="R818" s="696">
        <v>19871219</v>
      </c>
      <c r="S818" s="375" t="s">
        <v>5878</v>
      </c>
      <c r="T818" s="697">
        <v>0.23100000000000001</v>
      </c>
      <c r="U818" s="375" t="s">
        <v>5879</v>
      </c>
      <c r="V818" s="722">
        <v>5.79</v>
      </c>
      <c r="W818" s="722">
        <v>0.21</v>
      </c>
      <c r="X818" s="722">
        <v>0.08</v>
      </c>
      <c r="Y818" s="722">
        <v>4.16</v>
      </c>
      <c r="Z818" s="382" t="s">
        <v>924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5880</v>
      </c>
      <c r="B819" s="373" t="s">
        <v>5881</v>
      </c>
      <c r="C819" s="372" t="s">
        <v>5882</v>
      </c>
      <c r="D819" s="374">
        <v>1101111864829</v>
      </c>
      <c r="E819" s="372" t="s">
        <v>5883</v>
      </c>
      <c r="F819" s="375" t="s">
        <v>3233</v>
      </c>
      <c r="G819" s="375" t="s">
        <v>3233</v>
      </c>
      <c r="H819" s="375" t="s">
        <v>858</v>
      </c>
      <c r="I819" s="375" t="s">
        <v>859</v>
      </c>
      <c r="J819" s="375">
        <v>22041.876899999999</v>
      </c>
      <c r="K819" s="375">
        <v>1650.55015</v>
      </c>
      <c r="L819" s="375">
        <v>1760.2693200000001</v>
      </c>
      <c r="M819" s="375">
        <v>37162.04694</v>
      </c>
      <c r="N819" s="372" t="s">
        <v>1023</v>
      </c>
      <c r="O819" s="704">
        <v>15.486963422928127</v>
      </c>
      <c r="P819" s="375" t="s">
        <v>619</v>
      </c>
      <c r="Q819" s="375" t="s">
        <v>619</v>
      </c>
      <c r="R819" s="696">
        <v>20230307</v>
      </c>
      <c r="S819" s="375" t="s">
        <v>5884</v>
      </c>
      <c r="T819" s="697">
        <v>0.20900000000000002</v>
      </c>
      <c r="U819" s="372" t="s">
        <v>5885</v>
      </c>
      <c r="V819" s="722">
        <v>0</v>
      </c>
      <c r="W819" s="722">
        <v>0</v>
      </c>
      <c r="X819" s="722">
        <v>0</v>
      </c>
      <c r="Y819" s="722">
        <v>0</v>
      </c>
      <c r="Z819" s="382" t="s">
        <v>924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5886</v>
      </c>
      <c r="B820" s="373" t="s">
        <v>5887</v>
      </c>
      <c r="C820" s="372" t="s">
        <v>5888</v>
      </c>
      <c r="D820" s="374">
        <v>1341110059845</v>
      </c>
      <c r="E820" s="372" t="s">
        <v>5889</v>
      </c>
      <c r="F820" s="375" t="s">
        <v>1272</v>
      </c>
      <c r="G820" s="375" t="s">
        <v>1272</v>
      </c>
      <c r="H820" s="375" t="s">
        <v>858</v>
      </c>
      <c r="I820" s="375" t="s">
        <v>859</v>
      </c>
      <c r="J820" s="375">
        <v>67426.3989</v>
      </c>
      <c r="K820" s="375">
        <v>703.00399000000004</v>
      </c>
      <c r="L820" s="375">
        <v>-649.17696999999998</v>
      </c>
      <c r="M820" s="375">
        <v>32791.186710000002</v>
      </c>
      <c r="N820" s="372">
        <v>1.244</v>
      </c>
      <c r="O820" s="704">
        <v>44.615630265277545</v>
      </c>
      <c r="P820" s="375" t="s">
        <v>619</v>
      </c>
      <c r="Q820" s="372" t="s">
        <v>619</v>
      </c>
      <c r="R820" s="696">
        <v>20141224</v>
      </c>
      <c r="S820" s="372" t="s">
        <v>5890</v>
      </c>
      <c r="T820" s="697" t="s">
        <v>768</v>
      </c>
      <c r="U820" s="372" t="s">
        <v>5891</v>
      </c>
      <c r="V820" s="722">
        <v>13.98</v>
      </c>
      <c r="W820" s="722">
        <v>2.8</v>
      </c>
      <c r="X820" s="722">
        <v>1.64</v>
      </c>
      <c r="Y820" s="722" t="s">
        <v>770</v>
      </c>
      <c r="Z820" s="382" t="s">
        <v>924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5892</v>
      </c>
      <c r="B821" s="373" t="s">
        <v>5893</v>
      </c>
      <c r="C821" s="372" t="s">
        <v>5894</v>
      </c>
      <c r="D821" s="374">
        <v>1101111848980</v>
      </c>
      <c r="E821" s="372" t="s">
        <v>5895</v>
      </c>
      <c r="F821" s="372" t="s">
        <v>5896</v>
      </c>
      <c r="G821" s="375" t="s">
        <v>5896</v>
      </c>
      <c r="H821" s="375" t="s">
        <v>1334</v>
      </c>
      <c r="I821" s="375" t="s">
        <v>859</v>
      </c>
      <c r="J821" s="375">
        <v>338279.63141999999</v>
      </c>
      <c r="K821" s="375">
        <v>26007.970020000001</v>
      </c>
      <c r="L821" s="375">
        <v>12720.359</v>
      </c>
      <c r="M821" s="375">
        <v>184466.25584999999</v>
      </c>
      <c r="N821" s="372">
        <v>0.58699999999999997</v>
      </c>
      <c r="O821" s="704">
        <v>207.9889047239445</v>
      </c>
      <c r="P821" s="375" t="s">
        <v>619</v>
      </c>
      <c r="Q821" s="372" t="s">
        <v>619</v>
      </c>
      <c r="R821" s="696">
        <v>20060714</v>
      </c>
      <c r="S821" s="372" t="s">
        <v>5897</v>
      </c>
      <c r="T821" s="697">
        <v>0.20900000000000002</v>
      </c>
      <c r="U821" s="372" t="s">
        <v>5898</v>
      </c>
      <c r="V821" s="722">
        <v>3.79</v>
      </c>
      <c r="W821" s="722">
        <v>0.74</v>
      </c>
      <c r="X821" s="722">
        <v>0.48</v>
      </c>
      <c r="Y821" s="722">
        <v>13.84</v>
      </c>
      <c r="Z821" s="382">
        <v>4.6145720775684129E-2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3412</v>
      </c>
      <c r="AF821" s="372">
        <v>3922</v>
      </c>
      <c r="AG821" s="372">
        <v>4378</v>
      </c>
      <c r="AH821" s="372">
        <v>4816</v>
      </c>
    </row>
    <row r="822" spans="1:34">
      <c r="A822" s="372" t="s">
        <v>5899</v>
      </c>
      <c r="B822" s="373" t="s">
        <v>5900</v>
      </c>
      <c r="C822" s="372" t="s">
        <v>5901</v>
      </c>
      <c r="D822" s="374">
        <v>1101114531045</v>
      </c>
      <c r="E822" s="372" t="s">
        <v>5902</v>
      </c>
      <c r="F822" s="375" t="s">
        <v>5903</v>
      </c>
      <c r="G822" s="375" t="s">
        <v>5903</v>
      </c>
      <c r="H822" s="375" t="s">
        <v>858</v>
      </c>
      <c r="I822" s="375" t="s">
        <v>859</v>
      </c>
      <c r="J822" s="375">
        <v>51371.233339999999</v>
      </c>
      <c r="K822" s="375">
        <v>10107.33662</v>
      </c>
      <c r="L822" s="375">
        <v>12730.52607</v>
      </c>
      <c r="M822" s="375">
        <v>100734.86208000001</v>
      </c>
      <c r="N822" s="372">
        <v>0.93700000000000006</v>
      </c>
      <c r="O822" s="704">
        <v>0.17180544731241906</v>
      </c>
      <c r="P822" s="375" t="s">
        <v>619</v>
      </c>
      <c r="Q822" s="375" t="s">
        <v>619</v>
      </c>
      <c r="R822" s="696">
        <v>20160304</v>
      </c>
      <c r="S822" s="375" t="s">
        <v>5904</v>
      </c>
      <c r="T822" s="697">
        <v>0.20900000000000002</v>
      </c>
      <c r="U822" s="372" t="s">
        <v>5905</v>
      </c>
      <c r="V822" s="722">
        <v>0</v>
      </c>
      <c r="W822" s="722">
        <v>0</v>
      </c>
      <c r="X822" s="722">
        <v>0</v>
      </c>
      <c r="Y822" s="722">
        <v>0</v>
      </c>
      <c r="Z822" s="382" t="s">
        <v>924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5906</v>
      </c>
      <c r="B823" s="373" t="s">
        <v>5907</v>
      </c>
      <c r="C823" s="372" t="s">
        <v>5908</v>
      </c>
      <c r="D823" s="374">
        <v>1101113520627</v>
      </c>
      <c r="E823" s="372" t="s">
        <v>5909</v>
      </c>
      <c r="F823" s="375" t="s">
        <v>1300</v>
      </c>
      <c r="G823" s="375" t="s">
        <v>1300</v>
      </c>
      <c r="H823" s="375" t="s">
        <v>823</v>
      </c>
      <c r="I823" s="375" t="s">
        <v>751</v>
      </c>
      <c r="J823" s="375">
        <v>1202111.3729900001</v>
      </c>
      <c r="K823" s="375">
        <v>61262.502220000002</v>
      </c>
      <c r="L823" s="375">
        <v>128664.67112</v>
      </c>
      <c r="M823" s="375">
        <v>1498085.71841</v>
      </c>
      <c r="N823" s="372">
        <v>0.55700000000000005</v>
      </c>
      <c r="O823" s="704">
        <v>107.97401010836984</v>
      </c>
      <c r="P823" s="375" t="s">
        <v>619</v>
      </c>
      <c r="Q823" s="375" t="s">
        <v>619</v>
      </c>
      <c r="R823" s="696">
        <v>20061012</v>
      </c>
      <c r="S823" s="375" t="s">
        <v>851</v>
      </c>
      <c r="T823" s="697">
        <v>0.23100000000000001</v>
      </c>
      <c r="U823" s="375" t="s">
        <v>5910</v>
      </c>
      <c r="V823" s="722">
        <v>7.3</v>
      </c>
      <c r="W823" s="722">
        <v>0.24</v>
      </c>
      <c r="X823" s="722">
        <v>0.2</v>
      </c>
      <c r="Y823" s="722">
        <v>4.17</v>
      </c>
      <c r="Z823" s="382" t="s">
        <v>924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5911</v>
      </c>
      <c r="B824" s="373" t="s">
        <v>5912</v>
      </c>
      <c r="C824" s="372" t="s">
        <v>5913</v>
      </c>
      <c r="D824" s="374">
        <v>1101110539382</v>
      </c>
      <c r="E824" s="372" t="s">
        <v>5914</v>
      </c>
      <c r="F824" s="375" t="s">
        <v>2515</v>
      </c>
      <c r="G824" s="375" t="s">
        <v>2515</v>
      </c>
      <c r="H824" s="375" t="s">
        <v>814</v>
      </c>
      <c r="I824" s="375" t="s">
        <v>751</v>
      </c>
      <c r="J824" s="375">
        <v>195433.92775999999</v>
      </c>
      <c r="K824" s="375">
        <v>2009.4064900000001</v>
      </c>
      <c r="L824" s="375">
        <v>-25815.756659999999</v>
      </c>
      <c r="M824" s="375">
        <v>206992.94495</v>
      </c>
      <c r="N824" s="372">
        <v>0.84499999999999997</v>
      </c>
      <c r="O824" s="704">
        <v>29.419928333268203</v>
      </c>
      <c r="P824" s="375" t="s">
        <v>619</v>
      </c>
      <c r="Q824" s="375" t="s">
        <v>619</v>
      </c>
      <c r="R824" s="696">
        <v>19960703</v>
      </c>
      <c r="S824" s="375" t="s">
        <v>5915</v>
      </c>
      <c r="T824" s="697" t="s">
        <v>768</v>
      </c>
      <c r="U824" s="372" t="s">
        <v>5916</v>
      </c>
      <c r="V824" s="722">
        <v>7.49</v>
      </c>
      <c r="W824" s="722">
        <v>0.67</v>
      </c>
      <c r="X824" s="722">
        <v>0.71</v>
      </c>
      <c r="Y824" s="722" t="s">
        <v>770</v>
      </c>
      <c r="Z824" s="382" t="s">
        <v>924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2012</v>
      </c>
      <c r="AF824" s="372">
        <v>2033</v>
      </c>
      <c r="AG824" s="372">
        <v>0</v>
      </c>
      <c r="AH824" s="372">
        <v>0</v>
      </c>
    </row>
    <row r="825" spans="1:34">
      <c r="A825" s="372" t="s">
        <v>5917</v>
      </c>
      <c r="B825" s="373" t="s">
        <v>5918</v>
      </c>
      <c r="C825" s="372" t="s">
        <v>5919</v>
      </c>
      <c r="D825" s="374">
        <v>1101111041633</v>
      </c>
      <c r="E825" s="372" t="s">
        <v>5920</v>
      </c>
      <c r="F825" s="375" t="s">
        <v>1003</v>
      </c>
      <c r="G825" s="375" t="s">
        <v>1212</v>
      </c>
      <c r="H825" s="375" t="s">
        <v>858</v>
      </c>
      <c r="I825" s="375" t="s">
        <v>859</v>
      </c>
      <c r="J825" s="375">
        <v>153123.41991</v>
      </c>
      <c r="K825" s="375">
        <v>22292.712189999998</v>
      </c>
      <c r="L825" s="375">
        <v>7826.6302699999997</v>
      </c>
      <c r="M825" s="375">
        <v>108602.79002</v>
      </c>
      <c r="N825" s="372">
        <v>0.89200000000000002</v>
      </c>
      <c r="O825" s="704">
        <v>93.506336007255783</v>
      </c>
      <c r="P825" s="375" t="s">
        <v>619</v>
      </c>
      <c r="Q825" s="375" t="s">
        <v>619</v>
      </c>
      <c r="R825" s="696">
        <v>20080530</v>
      </c>
      <c r="S825" s="375" t="s">
        <v>5921</v>
      </c>
      <c r="T825" s="697">
        <v>0.20900000000000002</v>
      </c>
      <c r="U825" s="375" t="s">
        <v>5922</v>
      </c>
      <c r="V825" s="722">
        <v>7.54</v>
      </c>
      <c r="W825" s="722">
        <v>1.1599999999999999</v>
      </c>
      <c r="X825" s="722">
        <v>0.82</v>
      </c>
      <c r="Y825" s="722">
        <v>32.47</v>
      </c>
      <c r="Z825" s="382">
        <v>6.273920704265179E-2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1469</v>
      </c>
      <c r="AF825" s="372">
        <v>1752</v>
      </c>
      <c r="AG825" s="372">
        <v>1908.5</v>
      </c>
      <c r="AH825" s="372">
        <v>0</v>
      </c>
    </row>
    <row r="826" spans="1:34">
      <c r="A826" s="372" t="s">
        <v>5923</v>
      </c>
      <c r="B826" s="373" t="s">
        <v>5924</v>
      </c>
      <c r="C826" s="372" t="s">
        <v>5925</v>
      </c>
      <c r="D826" s="374">
        <v>1101110005333</v>
      </c>
      <c r="E826" s="372" t="s">
        <v>5926</v>
      </c>
      <c r="F826" s="375" t="s">
        <v>2702</v>
      </c>
      <c r="G826" s="375" t="s">
        <v>5192</v>
      </c>
      <c r="H826" s="375" t="s">
        <v>1465</v>
      </c>
      <c r="I826" s="375" t="s">
        <v>751</v>
      </c>
      <c r="J826" s="375">
        <v>824147.57157999999</v>
      </c>
      <c r="K826" s="375">
        <v>399.10932000000003</v>
      </c>
      <c r="L826" s="375">
        <v>-11727.49388</v>
      </c>
      <c r="M826" s="375">
        <v>774071.26656000002</v>
      </c>
      <c r="N826" s="372">
        <v>0.70399999999999996</v>
      </c>
      <c r="O826" s="704">
        <v>345.22946061829515</v>
      </c>
      <c r="P826" s="375" t="s">
        <v>619</v>
      </c>
      <c r="Q826" s="375" t="s">
        <v>619</v>
      </c>
      <c r="R826" s="696">
        <v>19760625</v>
      </c>
      <c r="S826" s="375" t="s">
        <v>5927</v>
      </c>
      <c r="T826" s="697" t="s">
        <v>768</v>
      </c>
      <c r="U826" s="375" t="s">
        <v>5928</v>
      </c>
      <c r="V826" s="722">
        <v>35.86</v>
      </c>
      <c r="W826" s="722">
        <v>0.21</v>
      </c>
      <c r="X826" s="722">
        <v>0.23</v>
      </c>
      <c r="Y826" s="722" t="s">
        <v>770</v>
      </c>
      <c r="Z826" s="382" t="s">
        <v>924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5929</v>
      </c>
      <c r="B827" s="373" t="s">
        <v>5930</v>
      </c>
      <c r="C827" s="372" t="s">
        <v>5931</v>
      </c>
      <c r="D827" s="374">
        <v>2850110209804</v>
      </c>
      <c r="E827" s="372" t="s">
        <v>5932</v>
      </c>
      <c r="F827" s="372" t="s">
        <v>3313</v>
      </c>
      <c r="G827" s="375" t="s">
        <v>3313</v>
      </c>
      <c r="H827" s="375" t="s">
        <v>1528</v>
      </c>
      <c r="I827" s="375" t="s">
        <v>859</v>
      </c>
      <c r="J827" s="375">
        <v>52225.060400000002</v>
      </c>
      <c r="K827" s="375">
        <v>-6724.4632700000002</v>
      </c>
      <c r="L827" s="375">
        <v>-7057.3742899999997</v>
      </c>
      <c r="M827" s="375">
        <v>54225.45665</v>
      </c>
      <c r="N827" s="372">
        <v>0.79200000000000004</v>
      </c>
      <c r="O827" s="704">
        <v>9.7895989657458777</v>
      </c>
      <c r="P827" s="375" t="s">
        <v>619</v>
      </c>
      <c r="Q827" s="375" t="s">
        <v>619</v>
      </c>
      <c r="R827" s="696">
        <v>20151222</v>
      </c>
      <c r="S827" s="375" t="s">
        <v>5933</v>
      </c>
      <c r="T827" s="697" t="s">
        <v>768</v>
      </c>
      <c r="U827" s="372" t="s">
        <v>5934</v>
      </c>
      <c r="V827" s="722" t="s">
        <v>770</v>
      </c>
      <c r="W827" s="722">
        <v>3.76</v>
      </c>
      <c r="X827" s="722">
        <v>3.69</v>
      </c>
      <c r="Y827" s="722" t="s">
        <v>770</v>
      </c>
      <c r="Z827" s="382" t="s">
        <v>924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5935</v>
      </c>
      <c r="B828" s="373" t="s">
        <v>5936</v>
      </c>
      <c r="C828" s="372" t="s">
        <v>5937</v>
      </c>
      <c r="D828" s="374">
        <v>1341110627048</v>
      </c>
      <c r="E828" s="372" t="s">
        <v>5938</v>
      </c>
      <c r="F828" s="375" t="s">
        <v>5939</v>
      </c>
      <c r="G828" s="375" t="s">
        <v>5939</v>
      </c>
      <c r="H828" s="375" t="s">
        <v>843</v>
      </c>
      <c r="I828" s="375" t="s">
        <v>751</v>
      </c>
      <c r="J828" s="375">
        <v>2302924.7519999999</v>
      </c>
      <c r="K828" s="375">
        <v>21074.7183</v>
      </c>
      <c r="L828" s="375">
        <v>1422.48218</v>
      </c>
      <c r="M828" s="375">
        <v>183795.10556</v>
      </c>
      <c r="N828" s="372">
        <v>1.0980000000000001</v>
      </c>
      <c r="O828" s="704">
        <v>365.97844541027712</v>
      </c>
      <c r="P828" s="375" t="s">
        <v>619</v>
      </c>
      <c r="Q828" s="375" t="s">
        <v>619</v>
      </c>
      <c r="R828" s="696">
        <v>20230131</v>
      </c>
      <c r="S828" s="375" t="s">
        <v>5940</v>
      </c>
      <c r="T828" s="697">
        <v>0.20900000000000002</v>
      </c>
      <c r="U828" s="375" t="s">
        <v>5941</v>
      </c>
      <c r="V828" s="722">
        <v>9.35</v>
      </c>
      <c r="W828" s="722">
        <v>0.81</v>
      </c>
      <c r="X828" s="722">
        <v>7.0000000000000007E-2</v>
      </c>
      <c r="Y828" s="722">
        <v>5864.5</v>
      </c>
      <c r="Z828" s="382" t="s">
        <v>924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5942</v>
      </c>
      <c r="B829" s="373" t="s">
        <v>5943</v>
      </c>
      <c r="C829" s="372" t="s">
        <v>5944</v>
      </c>
      <c r="D829" s="374">
        <v>1101110514029</v>
      </c>
      <c r="E829" s="372" t="s">
        <v>5945</v>
      </c>
      <c r="F829" s="375" t="s">
        <v>5946</v>
      </c>
      <c r="G829" s="375" t="s">
        <v>5946</v>
      </c>
      <c r="H829" s="375" t="s">
        <v>814</v>
      </c>
      <c r="I829" s="375" t="s">
        <v>751</v>
      </c>
      <c r="J829" s="375">
        <v>657901.89671999996</v>
      </c>
      <c r="K829" s="375">
        <v>-748.91948000000002</v>
      </c>
      <c r="L829" s="375">
        <v>-56025.32948</v>
      </c>
      <c r="M829" s="375">
        <v>324148.57711999997</v>
      </c>
      <c r="N829" s="372">
        <v>0.621</v>
      </c>
      <c r="O829" s="704">
        <v>82.496709293490838</v>
      </c>
      <c r="P829" s="375" t="s">
        <v>619</v>
      </c>
      <c r="Q829" s="372" t="s">
        <v>619</v>
      </c>
      <c r="R829" s="696">
        <v>20040203</v>
      </c>
      <c r="S829" s="372" t="s">
        <v>5947</v>
      </c>
      <c r="T829" s="697" t="s">
        <v>768</v>
      </c>
      <c r="U829" s="375" t="s">
        <v>5948</v>
      </c>
      <c r="V829" s="722">
        <v>8.1300000000000008</v>
      </c>
      <c r="W829" s="722">
        <v>0.51</v>
      </c>
      <c r="X829" s="722">
        <v>0.34</v>
      </c>
      <c r="Y829" s="722" t="s">
        <v>770</v>
      </c>
      <c r="Z829" s="382">
        <v>-7.4108937709110867E-3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6644</v>
      </c>
      <c r="AF829" s="372">
        <v>6423</v>
      </c>
      <c r="AG829" s="372">
        <v>6404</v>
      </c>
      <c r="AH829" s="372">
        <v>0</v>
      </c>
    </row>
    <row r="830" spans="1:34">
      <c r="A830" s="372" t="s">
        <v>5949</v>
      </c>
      <c r="B830" s="373" t="s">
        <v>5950</v>
      </c>
      <c r="C830" s="372" t="s">
        <v>5951</v>
      </c>
      <c r="D830" s="374">
        <v>1601110302755</v>
      </c>
      <c r="E830" s="372" t="s">
        <v>5952</v>
      </c>
      <c r="F830" s="375" t="s">
        <v>2831</v>
      </c>
      <c r="G830" s="375" t="s">
        <v>2832</v>
      </c>
      <c r="H830" s="375" t="s">
        <v>858</v>
      </c>
      <c r="I830" s="375" t="s">
        <v>859</v>
      </c>
      <c r="J830" s="375">
        <v>315701.93345999997</v>
      </c>
      <c r="K830" s="375">
        <v>17235.847430000002</v>
      </c>
      <c r="L830" s="375">
        <v>22220.542799999999</v>
      </c>
      <c r="M830" s="375">
        <v>345370.70593</v>
      </c>
      <c r="N830" s="372">
        <v>0.57599999999999996</v>
      </c>
      <c r="O830" s="704">
        <v>27.291937078565393</v>
      </c>
      <c r="P830" s="375" t="s">
        <v>619</v>
      </c>
      <c r="Q830" s="372" t="s">
        <v>619</v>
      </c>
      <c r="R830" s="696">
        <v>20110926</v>
      </c>
      <c r="S830" s="375" t="s">
        <v>5953</v>
      </c>
      <c r="T830" s="697">
        <v>0.23100000000000001</v>
      </c>
      <c r="U830" s="372" t="s">
        <v>5954</v>
      </c>
      <c r="V830" s="722">
        <v>8.76</v>
      </c>
      <c r="W830" s="722">
        <v>0.73</v>
      </c>
      <c r="X830" s="722">
        <v>0.54</v>
      </c>
      <c r="Y830" s="722">
        <v>10.46</v>
      </c>
      <c r="Z830" s="382" t="s">
        <v>924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5955</v>
      </c>
      <c r="B831" s="373" t="s">
        <v>5956</v>
      </c>
      <c r="C831" s="372" t="s">
        <v>5957</v>
      </c>
      <c r="D831" s="374">
        <v>1101112078073</v>
      </c>
      <c r="E831" s="372" t="s">
        <v>5958</v>
      </c>
      <c r="F831" s="375" t="s">
        <v>2831</v>
      </c>
      <c r="G831" s="375" t="s">
        <v>2831</v>
      </c>
      <c r="H831" s="375" t="s">
        <v>858</v>
      </c>
      <c r="I831" s="375" t="s">
        <v>859</v>
      </c>
      <c r="J831" s="375">
        <v>193508.63247000001</v>
      </c>
      <c r="K831" s="375">
        <v>4020.69337</v>
      </c>
      <c r="L831" s="375">
        <v>5869.2632800000001</v>
      </c>
      <c r="M831" s="375">
        <v>164615.48741</v>
      </c>
      <c r="N831" s="372">
        <v>0.79200000000000004</v>
      </c>
      <c r="O831" s="704">
        <v>18.958219014769718</v>
      </c>
      <c r="P831" s="375" t="s">
        <v>619</v>
      </c>
      <c r="Q831" s="375" t="s">
        <v>619</v>
      </c>
      <c r="R831" s="696">
        <v>20050202</v>
      </c>
      <c r="S831" s="375" t="s">
        <v>5959</v>
      </c>
      <c r="T831" s="697">
        <v>0.20900000000000002</v>
      </c>
      <c r="U831" s="372" t="s">
        <v>5960</v>
      </c>
      <c r="V831" s="722">
        <v>13.09</v>
      </c>
      <c r="W831" s="722">
        <v>0.78</v>
      </c>
      <c r="X831" s="722">
        <v>0.65</v>
      </c>
      <c r="Y831" s="722">
        <v>32.630000000000003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2032</v>
      </c>
      <c r="AF831" s="372">
        <v>2353</v>
      </c>
      <c r="AG831" s="372">
        <v>2921</v>
      </c>
      <c r="AH831" s="372">
        <v>0</v>
      </c>
    </row>
    <row r="832" spans="1:34">
      <c r="A832" s="372" t="s">
        <v>5961</v>
      </c>
      <c r="B832" s="373" t="s">
        <v>5962</v>
      </c>
      <c r="C832" s="372" t="s">
        <v>5963</v>
      </c>
      <c r="D832" s="374">
        <v>1101112093237</v>
      </c>
      <c r="E832" s="372" t="s">
        <v>5964</v>
      </c>
      <c r="F832" s="375" t="s">
        <v>4733</v>
      </c>
      <c r="G832" s="375" t="s">
        <v>5965</v>
      </c>
      <c r="H832" s="375" t="s">
        <v>1334</v>
      </c>
      <c r="I832" s="375" t="s">
        <v>859</v>
      </c>
      <c r="J832" s="375">
        <v>412951.48635000002</v>
      </c>
      <c r="K832" s="375">
        <v>68583.132329999993</v>
      </c>
      <c r="L832" s="375">
        <v>150328.44489000001</v>
      </c>
      <c r="M832" s="375">
        <v>456026.58516000002</v>
      </c>
      <c r="N832" s="372">
        <v>0.76500000000000001</v>
      </c>
      <c r="O832" s="704">
        <v>205.43157838436247</v>
      </c>
      <c r="P832" s="375" t="s">
        <v>619</v>
      </c>
      <c r="Q832" s="372" t="s">
        <v>619</v>
      </c>
      <c r="R832" s="696">
        <v>20110525</v>
      </c>
      <c r="S832" s="372" t="s">
        <v>5966</v>
      </c>
      <c r="T832" s="697">
        <v>0.23100000000000001</v>
      </c>
      <c r="U832" s="372" t="s">
        <v>15874</v>
      </c>
      <c r="V832" s="722">
        <v>2.77</v>
      </c>
      <c r="W832" s="722">
        <v>0.37</v>
      </c>
      <c r="X832" s="722">
        <v>0.42</v>
      </c>
      <c r="Y832" s="722">
        <v>1.65</v>
      </c>
      <c r="Z832" s="382" t="s">
        <v>924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5967</v>
      </c>
      <c r="B833" s="373" t="s">
        <v>5968</v>
      </c>
      <c r="C833" s="372" t="s">
        <v>5969</v>
      </c>
      <c r="D833" s="374">
        <v>1101111727332</v>
      </c>
      <c r="E833" s="372" t="s">
        <v>5970</v>
      </c>
      <c r="F833" s="375" t="s">
        <v>1793</v>
      </c>
      <c r="G833" s="375" t="s">
        <v>2794</v>
      </c>
      <c r="H833" s="375" t="s">
        <v>858</v>
      </c>
      <c r="I833" s="375" t="s">
        <v>859</v>
      </c>
      <c r="J833" s="375">
        <v>117697.04794</v>
      </c>
      <c r="K833" s="375">
        <v>20296.531029999998</v>
      </c>
      <c r="L833" s="375">
        <v>26032.59374</v>
      </c>
      <c r="M833" s="375">
        <v>235187.77541999999</v>
      </c>
      <c r="N833" s="372">
        <v>0.67500000000000004</v>
      </c>
      <c r="O833" s="704">
        <v>29.271025114598288</v>
      </c>
      <c r="P833" s="375" t="s">
        <v>619</v>
      </c>
      <c r="Q833" s="372" t="s">
        <v>619</v>
      </c>
      <c r="R833" s="696">
        <v>20140204</v>
      </c>
      <c r="S833" s="375" t="s">
        <v>5971</v>
      </c>
      <c r="T833" s="697">
        <v>0.23100000000000001</v>
      </c>
      <c r="U833" s="375" t="s">
        <v>15875</v>
      </c>
      <c r="V833" s="722">
        <v>7.26</v>
      </c>
      <c r="W833" s="722">
        <v>0.85</v>
      </c>
      <c r="X833" s="722">
        <v>1.43</v>
      </c>
      <c r="Y833" s="722">
        <v>9.2200000000000006</v>
      </c>
      <c r="Z833" s="382" t="s">
        <v>924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5972</v>
      </c>
      <c r="B834" s="373" t="s">
        <v>5973</v>
      </c>
      <c r="C834" s="372" t="s">
        <v>15994</v>
      </c>
      <c r="D834" s="374">
        <v>1601110101016</v>
      </c>
      <c r="E834" s="372" t="s">
        <v>5974</v>
      </c>
      <c r="F834" s="375" t="s">
        <v>1113</v>
      </c>
      <c r="G834" s="375" t="s">
        <v>1333</v>
      </c>
      <c r="H834" s="375" t="s">
        <v>1334</v>
      </c>
      <c r="I834" s="375" t="s">
        <v>859</v>
      </c>
      <c r="J834" s="375">
        <v>5573.9767599999996</v>
      </c>
      <c r="K834" s="375">
        <v>-32252.105909999998</v>
      </c>
      <c r="L834" s="375">
        <v>-63798.381300000001</v>
      </c>
      <c r="M834" s="375">
        <v>117335.62095</v>
      </c>
      <c r="N834" s="372">
        <v>0.99199999999999999</v>
      </c>
      <c r="O834" s="704">
        <v>21.301182370182126</v>
      </c>
      <c r="P834" s="375" t="s">
        <v>619</v>
      </c>
      <c r="Q834" s="375" t="s">
        <v>619</v>
      </c>
      <c r="R834" s="696">
        <v>20060106</v>
      </c>
      <c r="S834" s="375" t="s">
        <v>5975</v>
      </c>
      <c r="T834" s="697" t="s">
        <v>768</v>
      </c>
      <c r="U834" s="372" t="s">
        <v>16117</v>
      </c>
      <c r="V834" s="722" t="s">
        <v>770</v>
      </c>
      <c r="W834" s="722">
        <v>1.89</v>
      </c>
      <c r="X834" s="722">
        <v>40.31</v>
      </c>
      <c r="Y834" s="722" t="s">
        <v>770</v>
      </c>
      <c r="Z834" s="382" t="s">
        <v>924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5976</v>
      </c>
      <c r="B835" s="373" t="s">
        <v>5977</v>
      </c>
      <c r="C835" s="372" t="s">
        <v>5978</v>
      </c>
      <c r="D835" s="374">
        <v>1147110003729</v>
      </c>
      <c r="E835" s="372" t="s">
        <v>5979</v>
      </c>
      <c r="F835" s="375" t="s">
        <v>2861</v>
      </c>
      <c r="G835" s="375" t="s">
        <v>5980</v>
      </c>
      <c r="H835" s="375" t="s">
        <v>823</v>
      </c>
      <c r="I835" s="375" t="s">
        <v>751</v>
      </c>
      <c r="J835" s="375">
        <v>463539.65460000001</v>
      </c>
      <c r="K835" s="375">
        <v>68481.789290000001</v>
      </c>
      <c r="L835" s="375">
        <v>65494.28845</v>
      </c>
      <c r="M835" s="375">
        <v>233331.57123</v>
      </c>
      <c r="N835" s="372">
        <v>0.84099999999999997</v>
      </c>
      <c r="O835" s="704">
        <v>38.4311293143789</v>
      </c>
      <c r="P835" s="375" t="s">
        <v>619</v>
      </c>
      <c r="Q835" s="375" t="s">
        <v>619</v>
      </c>
      <c r="R835" s="696">
        <v>19990811</v>
      </c>
      <c r="S835" s="375" t="s">
        <v>5981</v>
      </c>
      <c r="T835" s="697">
        <v>0.23100000000000001</v>
      </c>
      <c r="U835" s="372" t="s">
        <v>5982</v>
      </c>
      <c r="V835" s="722">
        <v>5.09</v>
      </c>
      <c r="W835" s="722">
        <v>1.4</v>
      </c>
      <c r="X835" s="722">
        <v>0.72</v>
      </c>
      <c r="Y835" s="722">
        <v>6.65</v>
      </c>
      <c r="Z835" s="382">
        <v>8.9931400409372086E-2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5119.5</v>
      </c>
      <c r="AF835" s="372">
        <v>5643</v>
      </c>
      <c r="AG835" s="372">
        <v>5895</v>
      </c>
      <c r="AH835" s="372">
        <v>0</v>
      </c>
    </row>
    <row r="836" spans="1:34">
      <c r="A836" s="372" t="s">
        <v>5983</v>
      </c>
      <c r="B836" s="373" t="s">
        <v>5984</v>
      </c>
      <c r="C836" s="372" t="s">
        <v>5985</v>
      </c>
      <c r="D836" s="374">
        <v>1101111227077</v>
      </c>
      <c r="E836" s="372" t="s">
        <v>5986</v>
      </c>
      <c r="F836" s="375" t="s">
        <v>1246</v>
      </c>
      <c r="G836" s="375" t="s">
        <v>1246</v>
      </c>
      <c r="H836" s="375" t="s">
        <v>858</v>
      </c>
      <c r="I836" s="375" t="s">
        <v>859</v>
      </c>
      <c r="J836" s="375">
        <v>138949.31586999999</v>
      </c>
      <c r="K836" s="375">
        <v>-7263.7005399999998</v>
      </c>
      <c r="L836" s="375">
        <v>-17323.270990000001</v>
      </c>
      <c r="M836" s="375">
        <v>69745.397330000007</v>
      </c>
      <c r="N836" s="372">
        <v>0.27400000000000002</v>
      </c>
      <c r="O836" s="704">
        <v>21.9518101638842</v>
      </c>
      <c r="P836" s="375" t="s">
        <v>619</v>
      </c>
      <c r="Q836" s="375" t="s">
        <v>619</v>
      </c>
      <c r="R836" s="696">
        <v>20020219</v>
      </c>
      <c r="S836" s="375" t="s">
        <v>5987</v>
      </c>
      <c r="T836" s="697" t="s">
        <v>768</v>
      </c>
      <c r="U836" s="372" t="s">
        <v>5988</v>
      </c>
      <c r="V836" s="722" t="s">
        <v>770</v>
      </c>
      <c r="W836" s="722">
        <v>2.2999999999999998</v>
      </c>
      <c r="X836" s="722">
        <v>1.23</v>
      </c>
      <c r="Y836" s="722" t="s">
        <v>770</v>
      </c>
      <c r="Z836" s="382" t="s">
        <v>924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5989</v>
      </c>
      <c r="B837" s="373" t="s">
        <v>5990</v>
      </c>
      <c r="C837" s="372" t="s">
        <v>5991</v>
      </c>
      <c r="D837" s="374">
        <v>1501110077665</v>
      </c>
      <c r="E837" s="372" t="s">
        <v>5992</v>
      </c>
      <c r="F837" s="375" t="s">
        <v>1320</v>
      </c>
      <c r="G837" s="375" t="s">
        <v>16103</v>
      </c>
      <c r="H837" s="375" t="s">
        <v>858</v>
      </c>
      <c r="I837" s="375" t="s">
        <v>859</v>
      </c>
      <c r="J837" s="375">
        <v>32265.4843</v>
      </c>
      <c r="K837" s="375">
        <v>-20463.499159999999</v>
      </c>
      <c r="L837" s="375">
        <v>-34585.783089999997</v>
      </c>
      <c r="M837" s="375">
        <v>24139.496190000002</v>
      </c>
      <c r="N837" s="372">
        <v>0.70899999999999996</v>
      </c>
      <c r="O837" s="704">
        <v>12.436568596717642</v>
      </c>
      <c r="P837" s="375" t="s">
        <v>619</v>
      </c>
      <c r="Q837" s="375" t="s">
        <v>619</v>
      </c>
      <c r="R837" s="696">
        <v>20150626</v>
      </c>
      <c r="S837" s="372" t="s">
        <v>5993</v>
      </c>
      <c r="T837" s="697" t="s">
        <v>768</v>
      </c>
      <c r="U837" s="372" t="s">
        <v>5994</v>
      </c>
      <c r="V837" s="722" t="s">
        <v>770</v>
      </c>
      <c r="W837" s="722">
        <v>7.31</v>
      </c>
      <c r="X837" s="722">
        <v>12.2</v>
      </c>
      <c r="Y837" s="722" t="s">
        <v>770</v>
      </c>
      <c r="Z837" s="382" t="s">
        <v>924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400</v>
      </c>
      <c r="AF837" s="372">
        <v>0</v>
      </c>
      <c r="AG837" s="372">
        <v>0</v>
      </c>
      <c r="AH837" s="372">
        <v>0</v>
      </c>
    </row>
    <row r="838" spans="1:34">
      <c r="A838" s="372" t="s">
        <v>5995</v>
      </c>
      <c r="B838" s="373" t="s">
        <v>5996</v>
      </c>
      <c r="C838" s="372" t="s">
        <v>5997</v>
      </c>
      <c r="D838" s="374">
        <v>2046110071943</v>
      </c>
      <c r="E838" s="372" t="s">
        <v>5998</v>
      </c>
      <c r="F838" s="372" t="s">
        <v>5052</v>
      </c>
      <c r="G838" s="375" t="s">
        <v>5052</v>
      </c>
      <c r="H838" s="375" t="s">
        <v>1465</v>
      </c>
      <c r="I838" s="375" t="s">
        <v>751</v>
      </c>
      <c r="J838" s="375">
        <v>536516.17478</v>
      </c>
      <c r="K838" s="375">
        <v>49815.821580000003</v>
      </c>
      <c r="L838" s="375">
        <v>45779.744769999998</v>
      </c>
      <c r="M838" s="375">
        <v>232954.16816</v>
      </c>
      <c r="N838" s="372" t="s">
        <v>1023</v>
      </c>
      <c r="O838" s="704">
        <v>128.94593008969807</v>
      </c>
      <c r="P838" s="375" t="s">
        <v>619</v>
      </c>
      <c r="Q838" s="372" t="s">
        <v>619</v>
      </c>
      <c r="R838" s="696">
        <v>20230728</v>
      </c>
      <c r="S838" s="372" t="s">
        <v>5999</v>
      </c>
      <c r="T838" s="697">
        <v>0.23100000000000001</v>
      </c>
      <c r="U838" s="372" t="s">
        <v>5054</v>
      </c>
      <c r="V838" s="722">
        <v>6.65</v>
      </c>
      <c r="W838" s="722">
        <v>0.9</v>
      </c>
      <c r="X838" s="722">
        <v>0.37</v>
      </c>
      <c r="Y838" s="722">
        <v>5.91</v>
      </c>
      <c r="Z838" s="382" t="s">
        <v>924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6000</v>
      </c>
      <c r="B839" s="373" t="s">
        <v>6001</v>
      </c>
      <c r="C839" s="372" t="s">
        <v>6002</v>
      </c>
      <c r="D839" s="374">
        <v>1101110377055</v>
      </c>
      <c r="E839" s="372" t="s">
        <v>6003</v>
      </c>
      <c r="F839" s="375" t="s">
        <v>904</v>
      </c>
      <c r="G839" s="375" t="s">
        <v>905</v>
      </c>
      <c r="H839" s="375" t="s">
        <v>906</v>
      </c>
      <c r="I839" s="375" t="s">
        <v>751</v>
      </c>
      <c r="J839" s="375">
        <v>509028.57533999998</v>
      </c>
      <c r="K839" s="375">
        <v>100108.38312</v>
      </c>
      <c r="L839" s="375">
        <v>20646.268230000001</v>
      </c>
      <c r="M839" s="375">
        <v>445583.60336000001</v>
      </c>
      <c r="N839" s="372">
        <v>0.629</v>
      </c>
      <c r="O839" s="704">
        <v>556.74134548909149</v>
      </c>
      <c r="P839" s="375" t="s">
        <v>619</v>
      </c>
      <c r="Q839" s="375" t="s">
        <v>619</v>
      </c>
      <c r="R839" s="696">
        <v>20071026</v>
      </c>
      <c r="S839" s="375" t="s">
        <v>6004</v>
      </c>
      <c r="T839" s="697">
        <v>0.23100000000000001</v>
      </c>
      <c r="U839" s="372" t="s">
        <v>6005</v>
      </c>
      <c r="V839" s="722">
        <v>6.64</v>
      </c>
      <c r="W839" s="722">
        <v>0.49</v>
      </c>
      <c r="X839" s="722">
        <v>0.43</v>
      </c>
      <c r="Y839" s="722">
        <v>10.92</v>
      </c>
      <c r="Z839" s="382" t="s">
        <v>924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5083</v>
      </c>
      <c r="AF839" s="372">
        <v>5191</v>
      </c>
      <c r="AG839" s="372">
        <v>0</v>
      </c>
      <c r="AH839" s="372">
        <v>0</v>
      </c>
    </row>
    <row r="840" spans="1:34">
      <c r="A840" s="372" t="s">
        <v>6006</v>
      </c>
      <c r="B840" s="373" t="s">
        <v>6007</v>
      </c>
      <c r="C840" s="372" t="s">
        <v>6008</v>
      </c>
      <c r="D840" s="374">
        <v>1101111712309</v>
      </c>
      <c r="E840" s="372" t="s">
        <v>6009</v>
      </c>
      <c r="F840" s="372" t="s">
        <v>6010</v>
      </c>
      <c r="G840" s="375" t="s">
        <v>6010</v>
      </c>
      <c r="H840" s="375" t="s">
        <v>1528</v>
      </c>
      <c r="I840" s="375" t="s">
        <v>859</v>
      </c>
      <c r="J840" s="375">
        <v>92618.417079999999</v>
      </c>
      <c r="K840" s="375">
        <v>18699.587530000001</v>
      </c>
      <c r="L840" s="375">
        <v>18365.24048</v>
      </c>
      <c r="M840" s="375">
        <v>131483.61248000001</v>
      </c>
      <c r="N840" s="372">
        <v>0.52700000000000002</v>
      </c>
      <c r="O840" s="704">
        <v>0.49589369535312977</v>
      </c>
      <c r="P840" s="375" t="s">
        <v>619</v>
      </c>
      <c r="Q840" s="375" t="s">
        <v>619</v>
      </c>
      <c r="R840" s="696">
        <v>20060707</v>
      </c>
      <c r="S840" s="375" t="s">
        <v>6011</v>
      </c>
      <c r="T840" s="697">
        <v>0.20900000000000002</v>
      </c>
      <c r="U840" s="372" t="s">
        <v>6012</v>
      </c>
      <c r="V840" s="722">
        <v>4.3099999999999996</v>
      </c>
      <c r="W840" s="722">
        <v>1.8</v>
      </c>
      <c r="X840" s="722">
        <v>2.57</v>
      </c>
      <c r="Y840" s="722">
        <v>17.649999999999999</v>
      </c>
      <c r="Z840" s="382" t="s">
        <v>924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6013</v>
      </c>
      <c r="B841" s="373" t="s">
        <v>6014</v>
      </c>
      <c r="C841" s="372" t="s">
        <v>6015</v>
      </c>
      <c r="D841" s="374">
        <v>1801110633031</v>
      </c>
      <c r="E841" s="372" t="s">
        <v>6016</v>
      </c>
      <c r="F841" s="375" t="s">
        <v>2622</v>
      </c>
      <c r="G841" s="375" t="s">
        <v>2623</v>
      </c>
      <c r="H841" s="375" t="s">
        <v>814</v>
      </c>
      <c r="I841" s="375" t="s">
        <v>751</v>
      </c>
      <c r="J841" s="375">
        <v>1133560.1740900001</v>
      </c>
      <c r="K841" s="375">
        <v>87872.912230000002</v>
      </c>
      <c r="L841" s="375">
        <v>66140.649709999998</v>
      </c>
      <c r="M841" s="375">
        <v>563761.01658000005</v>
      </c>
      <c r="N841" s="372">
        <v>0.61</v>
      </c>
      <c r="O841" s="704">
        <v>67.083433134420318</v>
      </c>
      <c r="P841" s="375" t="s">
        <v>619</v>
      </c>
      <c r="Q841" s="372" t="s">
        <v>619</v>
      </c>
      <c r="R841" s="696">
        <v>20080623</v>
      </c>
      <c r="S841" s="375">
        <v>0</v>
      </c>
      <c r="T841" s="697">
        <v>0.23100000000000001</v>
      </c>
      <c r="U841" s="372" t="s">
        <v>6017</v>
      </c>
      <c r="V841" s="722">
        <v>3.47</v>
      </c>
      <c r="W841" s="722">
        <v>0.5</v>
      </c>
      <c r="X841" s="722">
        <v>0.19</v>
      </c>
      <c r="Y841" s="722">
        <v>6.24</v>
      </c>
      <c r="Z841" s="382" t="s">
        <v>924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6018</v>
      </c>
      <c r="B842" s="373" t="s">
        <v>6019</v>
      </c>
      <c r="C842" s="372" t="s">
        <v>6020</v>
      </c>
      <c r="D842" s="374">
        <v>1346110018221</v>
      </c>
      <c r="E842" s="372" t="s">
        <v>6021</v>
      </c>
      <c r="F842" s="375" t="s">
        <v>2604</v>
      </c>
      <c r="G842" s="375" t="s">
        <v>2604</v>
      </c>
      <c r="H842" s="375" t="s">
        <v>858</v>
      </c>
      <c r="I842" s="375" t="s">
        <v>859</v>
      </c>
      <c r="J842" s="375">
        <v>45495.217770000003</v>
      </c>
      <c r="K842" s="375">
        <v>-1376.7791</v>
      </c>
      <c r="L842" s="375">
        <v>-21664.99942</v>
      </c>
      <c r="M842" s="375">
        <v>240690.72210000001</v>
      </c>
      <c r="N842" s="372">
        <v>1.34</v>
      </c>
      <c r="O842" s="704">
        <v>52.63499887129489</v>
      </c>
      <c r="P842" s="375" t="s">
        <v>619</v>
      </c>
      <c r="Q842" s="372" t="s">
        <v>619</v>
      </c>
      <c r="R842" s="696">
        <v>20061020</v>
      </c>
      <c r="S842" s="372" t="s">
        <v>6022</v>
      </c>
      <c r="T842" s="697" t="s">
        <v>768</v>
      </c>
      <c r="U842" s="372" t="s">
        <v>6023</v>
      </c>
      <c r="V842" s="722">
        <v>193.46</v>
      </c>
      <c r="W842" s="722">
        <v>0.57999999999999996</v>
      </c>
      <c r="X842" s="722">
        <v>2.63</v>
      </c>
      <c r="Y842" s="722" t="s">
        <v>770</v>
      </c>
      <c r="Z842" s="382" t="s">
        <v>924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6024</v>
      </c>
      <c r="B843" s="373" t="s">
        <v>6025</v>
      </c>
      <c r="C843" s="372" t="s">
        <v>6026</v>
      </c>
      <c r="D843" s="374">
        <v>1101110645353</v>
      </c>
      <c r="E843" s="372" t="s">
        <v>6027</v>
      </c>
      <c r="F843" s="375" t="s">
        <v>2411</v>
      </c>
      <c r="G843" s="375" t="s">
        <v>2411</v>
      </c>
      <c r="H843" s="375" t="s">
        <v>858</v>
      </c>
      <c r="I843" s="375" t="s">
        <v>859</v>
      </c>
      <c r="J843" s="375">
        <v>577722.87441000005</v>
      </c>
      <c r="K843" s="375">
        <v>31868.585050000002</v>
      </c>
      <c r="L843" s="375">
        <v>23937.15337</v>
      </c>
      <c r="M843" s="375">
        <v>176041.51788</v>
      </c>
      <c r="N843" s="372">
        <v>0.73</v>
      </c>
      <c r="O843" s="704">
        <v>58.004457519961996</v>
      </c>
      <c r="P843" s="375" t="s">
        <v>619</v>
      </c>
      <c r="Q843" s="375" t="s">
        <v>619</v>
      </c>
      <c r="R843" s="696">
        <v>20200924</v>
      </c>
      <c r="S843" s="375" t="s">
        <v>6028</v>
      </c>
      <c r="T843" s="697">
        <v>0.23100000000000001</v>
      </c>
      <c r="U843" s="375" t="s">
        <v>6029</v>
      </c>
      <c r="V843" s="722">
        <v>7.42</v>
      </c>
      <c r="W843" s="722">
        <v>1.19</v>
      </c>
      <c r="X843" s="722">
        <v>0.36</v>
      </c>
      <c r="Y843" s="722">
        <v>13.55</v>
      </c>
      <c r="Z843" s="382">
        <v>0.12547891954238932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5842</v>
      </c>
      <c r="AF843" s="372">
        <v>7028</v>
      </c>
      <c r="AG843" s="372">
        <v>6698</v>
      </c>
      <c r="AH843" s="372">
        <v>0</v>
      </c>
    </row>
    <row r="844" spans="1:34">
      <c r="A844" s="372" t="s">
        <v>6030</v>
      </c>
      <c r="B844" s="373" t="s">
        <v>6031</v>
      </c>
      <c r="C844" s="372" t="s">
        <v>6032</v>
      </c>
      <c r="D844" s="374">
        <v>1601110100688</v>
      </c>
      <c r="E844" s="372" t="s">
        <v>6033</v>
      </c>
      <c r="F844" s="375" t="s">
        <v>1093</v>
      </c>
      <c r="G844" s="375" t="s">
        <v>1094</v>
      </c>
      <c r="H844" s="375" t="s">
        <v>858</v>
      </c>
      <c r="I844" s="375" t="s">
        <v>859</v>
      </c>
      <c r="J844" s="375">
        <v>112200.12202</v>
      </c>
      <c r="K844" s="375">
        <v>24915.335739999999</v>
      </c>
      <c r="L844" s="375">
        <v>28274.012060000001</v>
      </c>
      <c r="M844" s="375">
        <v>170506.70311</v>
      </c>
      <c r="N844" s="372">
        <v>0.58099999999999996</v>
      </c>
      <c r="O844" s="704">
        <v>0.65591004750157356</v>
      </c>
      <c r="P844" s="375" t="s">
        <v>619</v>
      </c>
      <c r="Q844" s="375" t="s">
        <v>619</v>
      </c>
      <c r="R844" s="696">
        <v>20070130</v>
      </c>
      <c r="S844" s="375" t="s">
        <v>6034</v>
      </c>
      <c r="T844" s="697">
        <v>0.23100000000000001</v>
      </c>
      <c r="U844" s="372" t="s">
        <v>6035</v>
      </c>
      <c r="V844" s="722">
        <v>7.83</v>
      </c>
      <c r="W844" s="722">
        <v>1.25</v>
      </c>
      <c r="X844" s="722">
        <v>1.93</v>
      </c>
      <c r="Y844" s="722">
        <v>9.6999999999999993</v>
      </c>
      <c r="Z844" s="382">
        <v>0.11409601979555806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1194.5</v>
      </c>
      <c r="AF844" s="372">
        <v>1340</v>
      </c>
      <c r="AG844" s="372">
        <v>1496</v>
      </c>
      <c r="AH844" s="372">
        <v>0</v>
      </c>
    </row>
    <row r="845" spans="1:34">
      <c r="A845" s="372" t="s">
        <v>6036</v>
      </c>
      <c r="B845" s="373" t="s">
        <v>6037</v>
      </c>
      <c r="C845" s="372" t="s">
        <v>6038</v>
      </c>
      <c r="D845" s="374">
        <v>1101111114589</v>
      </c>
      <c r="E845" s="372" t="s">
        <v>6039</v>
      </c>
      <c r="F845" s="375" t="s">
        <v>5684</v>
      </c>
      <c r="G845" s="375" t="s">
        <v>6040</v>
      </c>
      <c r="H845" s="375" t="s">
        <v>858</v>
      </c>
      <c r="I845" s="375" t="s">
        <v>859</v>
      </c>
      <c r="J845" s="375">
        <v>29388.96673</v>
      </c>
      <c r="K845" s="375">
        <v>-5502.3190100000002</v>
      </c>
      <c r="L845" s="375">
        <v>-14595.97956</v>
      </c>
      <c r="M845" s="375">
        <v>65335.897190000003</v>
      </c>
      <c r="N845" s="372">
        <v>1.232</v>
      </c>
      <c r="O845" s="704">
        <v>3.308429126525815</v>
      </c>
      <c r="P845" s="375" t="s">
        <v>619</v>
      </c>
      <c r="Q845" s="375" t="s">
        <v>619</v>
      </c>
      <c r="R845" s="696">
        <v>20181106</v>
      </c>
      <c r="S845" s="375" t="s">
        <v>6041</v>
      </c>
      <c r="T845" s="697" t="s">
        <v>768</v>
      </c>
      <c r="U845" s="375" t="s">
        <v>6042</v>
      </c>
      <c r="V845" s="722" t="s">
        <v>770</v>
      </c>
      <c r="W845" s="722">
        <v>1.81</v>
      </c>
      <c r="X845" s="722">
        <v>4.74</v>
      </c>
      <c r="Y845" s="722" t="s">
        <v>770</v>
      </c>
      <c r="Z845" s="382" t="s">
        <v>924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6043</v>
      </c>
      <c r="B846" s="373" t="s">
        <v>6044</v>
      </c>
      <c r="C846" s="372" t="s">
        <v>6045</v>
      </c>
      <c r="D846" s="374">
        <v>1101110003733</v>
      </c>
      <c r="E846" s="372" t="s">
        <v>6046</v>
      </c>
      <c r="F846" s="375" t="s">
        <v>4830</v>
      </c>
      <c r="G846" s="375" t="s">
        <v>4830</v>
      </c>
      <c r="H846" s="375" t="s">
        <v>1313</v>
      </c>
      <c r="I846" s="375" t="s">
        <v>751</v>
      </c>
      <c r="J846" s="375">
        <v>1370114.0947400001</v>
      </c>
      <c r="K846" s="375">
        <v>78952.15105</v>
      </c>
      <c r="L846" s="375">
        <v>117957.88516999999</v>
      </c>
      <c r="M846" s="375">
        <v>1031537.25896</v>
      </c>
      <c r="N846" s="372">
        <v>0.68200000000000005</v>
      </c>
      <c r="O846" s="704">
        <v>143.6480857316227</v>
      </c>
      <c r="P846" s="375" t="s">
        <v>619</v>
      </c>
      <c r="Q846" s="372" t="s">
        <v>619</v>
      </c>
      <c r="R846" s="696">
        <v>19701125</v>
      </c>
      <c r="S846" s="372" t="s">
        <v>6047</v>
      </c>
      <c r="T846" s="697">
        <v>0.23100000000000001</v>
      </c>
      <c r="U846" s="372" t="s">
        <v>6048</v>
      </c>
      <c r="V846" s="722">
        <v>1.96</v>
      </c>
      <c r="W846" s="722">
        <v>0.23</v>
      </c>
      <c r="X846" s="722">
        <v>0.17</v>
      </c>
      <c r="Y846" s="722">
        <v>2.54</v>
      </c>
      <c r="Z846" s="382" t="s">
        <v>924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6049</v>
      </c>
      <c r="B847" s="373" t="s">
        <v>6050</v>
      </c>
      <c r="C847" s="372" t="s">
        <v>6051</v>
      </c>
      <c r="D847" s="374">
        <v>1101110004682</v>
      </c>
      <c r="E847" s="372" t="s">
        <v>6052</v>
      </c>
      <c r="F847" s="375" t="s">
        <v>1273</v>
      </c>
      <c r="G847" s="375" t="s">
        <v>1449</v>
      </c>
      <c r="H847" s="375" t="s">
        <v>750</v>
      </c>
      <c r="I847" s="375" t="s">
        <v>751</v>
      </c>
      <c r="J847" s="375">
        <v>1146562.37314</v>
      </c>
      <c r="K847" s="375">
        <v>28789.912469999999</v>
      </c>
      <c r="L847" s="375">
        <v>27322.932130000001</v>
      </c>
      <c r="M847" s="375">
        <v>507159.1139</v>
      </c>
      <c r="N847" s="372">
        <v>0.86</v>
      </c>
      <c r="O847" s="704">
        <v>208.8315032483429</v>
      </c>
      <c r="P847" s="375" t="s">
        <v>619</v>
      </c>
      <c r="Q847" s="375" t="s">
        <v>619</v>
      </c>
      <c r="R847" s="696">
        <v>19880706</v>
      </c>
      <c r="S847" s="375" t="s">
        <v>6053</v>
      </c>
      <c r="T847" s="697">
        <v>0.23100000000000001</v>
      </c>
      <c r="U847" s="372" t="s">
        <v>6054</v>
      </c>
      <c r="V847" s="722">
        <v>5.6</v>
      </c>
      <c r="W847" s="722">
        <v>0.37</v>
      </c>
      <c r="X847" s="722">
        <v>0.13</v>
      </c>
      <c r="Y847" s="722">
        <v>14.2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6055</v>
      </c>
      <c r="B848" s="373" t="s">
        <v>6056</v>
      </c>
      <c r="C848" s="372" t="s">
        <v>6057</v>
      </c>
      <c r="D848" s="374">
        <v>1101110574453</v>
      </c>
      <c r="E848" s="372" t="s">
        <v>6058</v>
      </c>
      <c r="F848" s="375" t="s">
        <v>4263</v>
      </c>
      <c r="G848" s="375" t="s">
        <v>4264</v>
      </c>
      <c r="H848" s="375" t="s">
        <v>1334</v>
      </c>
      <c r="I848" s="375" t="s">
        <v>859</v>
      </c>
      <c r="J848" s="375">
        <v>960073.57082999998</v>
      </c>
      <c r="K848" s="375">
        <v>37005.490550000002</v>
      </c>
      <c r="L848" s="375">
        <v>39954.438750000001</v>
      </c>
      <c r="M848" s="375">
        <v>378139.36378000001</v>
      </c>
      <c r="N848" s="372">
        <v>0.496</v>
      </c>
      <c r="O848" s="704">
        <v>11.08417791293008</v>
      </c>
      <c r="P848" s="375" t="s">
        <v>619</v>
      </c>
      <c r="Q848" s="372" t="s">
        <v>619</v>
      </c>
      <c r="R848" s="696">
        <v>20000428</v>
      </c>
      <c r="S848" s="372" t="s">
        <v>6059</v>
      </c>
      <c r="T848" s="697">
        <v>0.23100000000000001</v>
      </c>
      <c r="U848" s="372" t="s">
        <v>6060</v>
      </c>
      <c r="V848" s="722">
        <v>3.37</v>
      </c>
      <c r="W848" s="722">
        <v>0.52</v>
      </c>
      <c r="X848" s="722">
        <v>0.2</v>
      </c>
      <c r="Y848" s="722">
        <v>6.16</v>
      </c>
      <c r="Z848" s="382">
        <v>4.9317974672008047E-2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9711</v>
      </c>
      <c r="AF848" s="372">
        <v>10206</v>
      </c>
      <c r="AG848" s="372">
        <v>10809.67</v>
      </c>
      <c r="AH848" s="372">
        <v>0</v>
      </c>
    </row>
    <row r="849" spans="1:34">
      <c r="A849" s="372" t="s">
        <v>6061</v>
      </c>
      <c r="B849" s="373" t="s">
        <v>6062</v>
      </c>
      <c r="C849" s="372" t="s">
        <v>6063</v>
      </c>
      <c r="D849" s="374">
        <v>1701110000935</v>
      </c>
      <c r="E849" s="372" t="s">
        <v>6064</v>
      </c>
      <c r="F849" s="372" t="s">
        <v>5407</v>
      </c>
      <c r="G849" s="375" t="s">
        <v>5408</v>
      </c>
      <c r="H849" s="375" t="s">
        <v>1040</v>
      </c>
      <c r="I849" s="375" t="s">
        <v>751</v>
      </c>
      <c r="J849" s="375">
        <v>314265.42457999999</v>
      </c>
      <c r="K849" s="375">
        <v>3066.09492</v>
      </c>
      <c r="L849" s="375">
        <v>-75.069940000000003</v>
      </c>
      <c r="M849" s="375">
        <v>203108.43721</v>
      </c>
      <c r="N849" s="372">
        <v>0.91300000000000003</v>
      </c>
      <c r="O849" s="704">
        <v>107.35301271152133</v>
      </c>
      <c r="P849" s="375" t="s">
        <v>619</v>
      </c>
      <c r="Q849" s="375" t="s">
        <v>619</v>
      </c>
      <c r="R849" s="696">
        <v>19890926</v>
      </c>
      <c r="S849" s="375" t="s">
        <v>6065</v>
      </c>
      <c r="T849" s="697" t="s">
        <v>768</v>
      </c>
      <c r="U849" s="375" t="s">
        <v>6066</v>
      </c>
      <c r="V849" s="722">
        <v>18.07</v>
      </c>
      <c r="W849" s="722">
        <v>1.01</v>
      </c>
      <c r="X849" s="722">
        <v>0.66</v>
      </c>
      <c r="Y849" s="722">
        <v>1096.26</v>
      </c>
      <c r="Z849" s="382" t="s">
        <v>924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6067</v>
      </c>
      <c r="B850" s="373" t="s">
        <v>6068</v>
      </c>
      <c r="C850" s="372" t="s">
        <v>6069</v>
      </c>
      <c r="D850" s="374">
        <v>1201110592130</v>
      </c>
      <c r="E850" s="372" t="s">
        <v>6070</v>
      </c>
      <c r="F850" s="375" t="s">
        <v>2423</v>
      </c>
      <c r="G850" s="375" t="s">
        <v>6071</v>
      </c>
      <c r="H850" s="375" t="s">
        <v>858</v>
      </c>
      <c r="I850" s="375" t="s">
        <v>859</v>
      </c>
      <c r="J850" s="375">
        <v>36216.470090000003</v>
      </c>
      <c r="K850" s="375">
        <v>-1778.67832</v>
      </c>
      <c r="L850" s="375">
        <v>-14396.78946</v>
      </c>
      <c r="M850" s="375">
        <v>94814.853799999997</v>
      </c>
      <c r="N850" s="372">
        <v>0.872</v>
      </c>
      <c r="O850" s="704">
        <v>1.9244165446883763</v>
      </c>
      <c r="P850" s="375" t="s">
        <v>619</v>
      </c>
      <c r="Q850" s="375" t="s">
        <v>619</v>
      </c>
      <c r="R850" s="696">
        <v>20220318</v>
      </c>
      <c r="S850" s="375" t="s">
        <v>6072</v>
      </c>
      <c r="T850" s="697" t="s">
        <v>768</v>
      </c>
      <c r="U850" s="372" t="s">
        <v>6073</v>
      </c>
      <c r="V850" s="722">
        <v>0</v>
      </c>
      <c r="W850" s="722">
        <v>0</v>
      </c>
      <c r="X850" s="722">
        <v>0</v>
      </c>
      <c r="Y850" s="722">
        <v>0</v>
      </c>
      <c r="Z850" s="382" t="s">
        <v>924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6074</v>
      </c>
      <c r="B851" s="373" t="s">
        <v>6075</v>
      </c>
      <c r="C851" s="372" t="s">
        <v>6076</v>
      </c>
      <c r="D851" s="374">
        <v>1101111874654</v>
      </c>
      <c r="E851" s="372" t="s">
        <v>6077</v>
      </c>
      <c r="F851" s="375" t="s">
        <v>6078</v>
      </c>
      <c r="G851" s="375" t="s">
        <v>6078</v>
      </c>
      <c r="H851" s="375" t="s">
        <v>814</v>
      </c>
      <c r="I851" s="375" t="s">
        <v>751</v>
      </c>
      <c r="J851" s="375">
        <v>1061801.83302</v>
      </c>
      <c r="K851" s="375">
        <v>80266.842770000003</v>
      </c>
      <c r="L851" s="375">
        <v>47233.941460000002</v>
      </c>
      <c r="M851" s="375">
        <v>428293.90604999999</v>
      </c>
      <c r="N851" s="372">
        <v>0.81799999999999995</v>
      </c>
      <c r="O851" s="704">
        <v>546.84787686911477</v>
      </c>
      <c r="P851" s="375" t="s">
        <v>619</v>
      </c>
      <c r="Q851" s="372" t="s">
        <v>619</v>
      </c>
      <c r="R851" s="696">
        <v>20150821</v>
      </c>
      <c r="S851" s="372" t="s">
        <v>6079</v>
      </c>
      <c r="T851" s="697">
        <v>0.23100000000000001</v>
      </c>
      <c r="U851" s="372" t="s">
        <v>6080</v>
      </c>
      <c r="V851" s="722">
        <v>4.91</v>
      </c>
      <c r="W851" s="722">
        <v>0.49</v>
      </c>
      <c r="X851" s="722">
        <v>0.2</v>
      </c>
      <c r="Y851" s="722">
        <v>7.25</v>
      </c>
      <c r="Z851" s="382">
        <v>3.8352428220956858E-2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10431.4</v>
      </c>
      <c r="AF851" s="372">
        <v>11061.4</v>
      </c>
      <c r="AG851" s="372">
        <v>11647.6</v>
      </c>
      <c r="AH851" s="372">
        <v>0</v>
      </c>
    </row>
    <row r="852" spans="1:34">
      <c r="A852" s="372" t="s">
        <v>6081</v>
      </c>
      <c r="B852" s="373" t="s">
        <v>6082</v>
      </c>
      <c r="C852" s="372" t="s">
        <v>6083</v>
      </c>
      <c r="D852" s="374">
        <v>1101110878706</v>
      </c>
      <c r="E852" s="372" t="s">
        <v>6084</v>
      </c>
      <c r="F852" s="375" t="s">
        <v>1259</v>
      </c>
      <c r="G852" s="375" t="s">
        <v>1260</v>
      </c>
      <c r="H852" s="375" t="s">
        <v>1261</v>
      </c>
      <c r="I852" s="375" t="s">
        <v>751</v>
      </c>
      <c r="J852" s="375">
        <v>220392.05024000001</v>
      </c>
      <c r="K852" s="375">
        <v>-25234.857919999999</v>
      </c>
      <c r="L852" s="375">
        <v>-14687.77392</v>
      </c>
      <c r="M852" s="375">
        <v>798948.73907999997</v>
      </c>
      <c r="N852" s="372">
        <v>0.68</v>
      </c>
      <c r="O852" s="704">
        <v>2470.289512974743</v>
      </c>
      <c r="P852" s="375" t="s">
        <v>619</v>
      </c>
      <c r="Q852" s="375" t="s">
        <v>619</v>
      </c>
      <c r="R852" s="696">
        <v>19961119</v>
      </c>
      <c r="S852" s="375" t="s">
        <v>6085</v>
      </c>
      <c r="T852" s="697" t="s">
        <v>768</v>
      </c>
      <c r="U852" s="372" t="s">
        <v>6086</v>
      </c>
      <c r="V852" s="722">
        <v>0</v>
      </c>
      <c r="W852" s="722">
        <v>0.34</v>
      </c>
      <c r="X852" s="722">
        <v>0.16</v>
      </c>
      <c r="Y852" s="722" t="s">
        <v>770</v>
      </c>
      <c r="Z852" s="382" t="s">
        <v>924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6087</v>
      </c>
      <c r="B853" s="373" t="s">
        <v>6088</v>
      </c>
      <c r="C853" s="372" t="s">
        <v>6089</v>
      </c>
      <c r="D853" s="374">
        <v>1341110065636</v>
      </c>
      <c r="E853" s="372" t="s">
        <v>6090</v>
      </c>
      <c r="F853" s="375" t="s">
        <v>2121</v>
      </c>
      <c r="G853" s="375" t="s">
        <v>4228</v>
      </c>
      <c r="H853" s="375" t="s">
        <v>858</v>
      </c>
      <c r="I853" s="375" t="s">
        <v>859</v>
      </c>
      <c r="J853" s="375">
        <v>116448.49625</v>
      </c>
      <c r="K853" s="375">
        <v>13500.20405</v>
      </c>
      <c r="L853" s="375">
        <v>7053.5555299999996</v>
      </c>
      <c r="M853" s="375">
        <v>126551.79728</v>
      </c>
      <c r="N853" s="372">
        <v>0.96199999999999997</v>
      </c>
      <c r="O853" s="704">
        <v>75.301540147734258</v>
      </c>
      <c r="P853" s="375" t="s">
        <v>619</v>
      </c>
      <c r="Q853" s="372" t="s">
        <v>619</v>
      </c>
      <c r="R853" s="696">
        <v>20031029</v>
      </c>
      <c r="S853" s="375" t="s">
        <v>6091</v>
      </c>
      <c r="T853" s="697">
        <v>0.20900000000000002</v>
      </c>
      <c r="U853" s="375" t="s">
        <v>6092</v>
      </c>
      <c r="V853" s="722">
        <v>9.4499999999999993</v>
      </c>
      <c r="W853" s="722">
        <v>0.89</v>
      </c>
      <c r="X853" s="722">
        <v>1</v>
      </c>
      <c r="Y853" s="722">
        <v>12.58</v>
      </c>
      <c r="Z853" s="382">
        <v>8.3556110228004687E-2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1250</v>
      </c>
      <c r="AF853" s="372">
        <v>1417</v>
      </c>
      <c r="AG853" s="372">
        <v>1623</v>
      </c>
      <c r="AH853" s="372">
        <v>0</v>
      </c>
    </row>
    <row r="854" spans="1:34">
      <c r="A854" s="372" t="s">
        <v>6093</v>
      </c>
      <c r="B854" s="373" t="s">
        <v>6094</v>
      </c>
      <c r="C854" s="372" t="s">
        <v>15995</v>
      </c>
      <c r="D854" s="374">
        <v>1313110088017</v>
      </c>
      <c r="E854" s="372" t="s">
        <v>6095</v>
      </c>
      <c r="F854" s="375" t="s">
        <v>618</v>
      </c>
      <c r="G854" s="375" t="s">
        <v>618</v>
      </c>
      <c r="H854" s="375" t="s">
        <v>750</v>
      </c>
      <c r="I854" s="375" t="s">
        <v>751</v>
      </c>
      <c r="J854" s="375">
        <v>55803.555529999998</v>
      </c>
      <c r="K854" s="375">
        <v>2411.31934</v>
      </c>
      <c r="L854" s="375">
        <v>1598.62123</v>
      </c>
      <c r="M854" s="375">
        <v>25822.666140000001</v>
      </c>
      <c r="N854" s="372" t="s">
        <v>1023</v>
      </c>
      <c r="O854" s="704">
        <v>2.7258398268104962</v>
      </c>
      <c r="P854" s="375" t="s">
        <v>16112</v>
      </c>
      <c r="Q854" s="372" t="s">
        <v>619</v>
      </c>
      <c r="R854" s="696">
        <v>20090317</v>
      </c>
      <c r="S854" s="372" t="s">
        <v>6096</v>
      </c>
      <c r="T854" s="697">
        <v>0.20900000000000002</v>
      </c>
      <c r="U854" s="372" t="s">
        <v>6097</v>
      </c>
      <c r="V854" s="722">
        <v>69.28</v>
      </c>
      <c r="W854" s="722">
        <v>8.3699999999999992</v>
      </c>
      <c r="X854" s="722">
        <v>3.6</v>
      </c>
      <c r="Y854" s="722">
        <v>142.44999999999999</v>
      </c>
      <c r="Z854" s="382" t="s">
        <v>924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6098</v>
      </c>
      <c r="B855" s="373" t="s">
        <v>6099</v>
      </c>
      <c r="C855" s="372" t="s">
        <v>15996</v>
      </c>
      <c r="D855" s="374">
        <v>1101116114451</v>
      </c>
      <c r="E855" s="372" t="s">
        <v>6100</v>
      </c>
      <c r="F855" s="375" t="s">
        <v>6361</v>
      </c>
      <c r="G855" s="375" t="s">
        <v>6361</v>
      </c>
      <c r="H855" s="375" t="s">
        <v>1334</v>
      </c>
      <c r="I855" s="375" t="s">
        <v>859</v>
      </c>
      <c r="J855" s="375">
        <v>69061.694499999998</v>
      </c>
      <c r="K855" s="375">
        <v>12621.24699</v>
      </c>
      <c r="L855" s="375">
        <v>14478.441580000001</v>
      </c>
      <c r="M855" s="375">
        <v>68628.691869999995</v>
      </c>
      <c r="N855" s="372" t="s">
        <v>1023</v>
      </c>
      <c r="O855" s="704">
        <v>0.76074652805677612</v>
      </c>
      <c r="P855" s="375" t="s">
        <v>619</v>
      </c>
      <c r="Q855" s="375" t="s">
        <v>619</v>
      </c>
      <c r="R855" s="696">
        <v>20230927</v>
      </c>
      <c r="S855" s="375" t="s">
        <v>6101</v>
      </c>
      <c r="T855" s="697">
        <v>0.20900000000000002</v>
      </c>
      <c r="U855" s="375" t="s">
        <v>6102</v>
      </c>
      <c r="V855" s="722">
        <v>0</v>
      </c>
      <c r="W855" s="722">
        <v>0</v>
      </c>
      <c r="X855" s="722">
        <v>0</v>
      </c>
      <c r="Y855" s="722">
        <v>0</v>
      </c>
      <c r="Z855" s="382" t="s">
        <v>924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6103</v>
      </c>
      <c r="B856" s="373" t="s">
        <v>6104</v>
      </c>
      <c r="C856" s="372" t="s">
        <v>6105</v>
      </c>
      <c r="D856" s="374">
        <v>1301110007608</v>
      </c>
      <c r="E856" s="372" t="s">
        <v>6106</v>
      </c>
      <c r="F856" s="375" t="s">
        <v>890</v>
      </c>
      <c r="G856" s="375" t="s">
        <v>891</v>
      </c>
      <c r="H856" s="375" t="s">
        <v>852</v>
      </c>
      <c r="I856" s="375" t="s">
        <v>751</v>
      </c>
      <c r="J856" s="375">
        <v>1300264.11044</v>
      </c>
      <c r="K856" s="375">
        <v>28879.222659999999</v>
      </c>
      <c r="L856" s="375">
        <v>49521.129829999998</v>
      </c>
      <c r="M856" s="375">
        <v>1500376.6646799999</v>
      </c>
      <c r="N856" s="372">
        <v>0.68500000000000005</v>
      </c>
      <c r="O856" s="704">
        <v>12.538158430567329</v>
      </c>
      <c r="P856" s="375" t="s">
        <v>619</v>
      </c>
      <c r="Q856" s="375" t="s">
        <v>619</v>
      </c>
      <c r="R856" s="696">
        <v>19890126</v>
      </c>
      <c r="S856" s="375" t="s">
        <v>6107</v>
      </c>
      <c r="T856" s="697">
        <v>0.23100000000000001</v>
      </c>
      <c r="U856" s="375" t="s">
        <v>6108</v>
      </c>
      <c r="V856" s="722">
        <v>5.43</v>
      </c>
      <c r="W856" s="722">
        <v>0.36</v>
      </c>
      <c r="X856" s="722">
        <v>0.17</v>
      </c>
      <c r="Y856" s="722">
        <v>14.72</v>
      </c>
      <c r="Z856" s="382" t="s">
        <v>924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6109</v>
      </c>
      <c r="B857" s="373" t="s">
        <v>6110</v>
      </c>
      <c r="C857" s="372" t="s">
        <v>6111</v>
      </c>
      <c r="D857" s="374">
        <v>1101110801848</v>
      </c>
      <c r="E857" s="372" t="s">
        <v>6112</v>
      </c>
      <c r="F857" s="375" t="s">
        <v>972</v>
      </c>
      <c r="G857" s="375" t="s">
        <v>973</v>
      </c>
      <c r="H857" s="375" t="s">
        <v>814</v>
      </c>
      <c r="I857" s="375" t="s">
        <v>751</v>
      </c>
      <c r="J857" s="375">
        <v>196108.87104</v>
      </c>
      <c r="K857" s="375">
        <v>6082.1931500000001</v>
      </c>
      <c r="L857" s="375">
        <v>10149.60887</v>
      </c>
      <c r="M857" s="375">
        <v>167532.56121000001</v>
      </c>
      <c r="N857" s="372">
        <v>0.85399999999999998</v>
      </c>
      <c r="O857" s="704">
        <v>4.0455569219219214</v>
      </c>
      <c r="P857" s="375" t="s">
        <v>619</v>
      </c>
      <c r="Q857" s="372" t="s">
        <v>619</v>
      </c>
      <c r="R857" s="696">
        <v>20181123</v>
      </c>
      <c r="S857" s="372" t="s">
        <v>6113</v>
      </c>
      <c r="T857" s="697">
        <v>0.20900000000000002</v>
      </c>
      <c r="U857" s="372" t="s">
        <v>6114</v>
      </c>
      <c r="V857" s="722">
        <v>0</v>
      </c>
      <c r="W857" s="722">
        <v>0</v>
      </c>
      <c r="X857" s="722">
        <v>0</v>
      </c>
      <c r="Y857" s="722">
        <v>0</v>
      </c>
      <c r="Z857" s="382" t="s">
        <v>924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6115</v>
      </c>
      <c r="B858" s="373" t="s">
        <v>6116</v>
      </c>
      <c r="C858" s="372" t="s">
        <v>6117</v>
      </c>
      <c r="D858" s="374">
        <v>1358110154111</v>
      </c>
      <c r="E858" s="372" t="s">
        <v>6118</v>
      </c>
      <c r="F858" s="375" t="s">
        <v>1273</v>
      </c>
      <c r="G858" s="375" t="s">
        <v>1449</v>
      </c>
      <c r="H858" s="375" t="s">
        <v>858</v>
      </c>
      <c r="I858" s="375" t="s">
        <v>859</v>
      </c>
      <c r="J858" s="375">
        <v>380157.94005999999</v>
      </c>
      <c r="K858" s="375">
        <v>9798.9331000000002</v>
      </c>
      <c r="L858" s="375">
        <v>13490.775960000001</v>
      </c>
      <c r="M858" s="375">
        <v>351824.75636</v>
      </c>
      <c r="N858" s="372">
        <v>0.77600000000000002</v>
      </c>
      <c r="O858" s="704">
        <v>6.0760220924561894</v>
      </c>
      <c r="P858" s="375" t="s">
        <v>619</v>
      </c>
      <c r="Q858" s="375" t="s">
        <v>619</v>
      </c>
      <c r="R858" s="696">
        <v>20100910</v>
      </c>
      <c r="S858" s="375" t="s">
        <v>6119</v>
      </c>
      <c r="T858" s="697">
        <v>0.20900000000000002</v>
      </c>
      <c r="U858" s="372" t="s">
        <v>6120</v>
      </c>
      <c r="V858" s="722">
        <v>3.19</v>
      </c>
      <c r="W858" s="722">
        <v>0.5</v>
      </c>
      <c r="X858" s="722">
        <v>0.47</v>
      </c>
      <c r="Y858" s="722">
        <v>26.41</v>
      </c>
      <c r="Z858" s="382">
        <v>3.4421437537255573E-2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3875</v>
      </c>
      <c r="AF858" s="372">
        <v>4022.33</v>
      </c>
      <c r="AG858" s="372">
        <v>4233.33</v>
      </c>
      <c r="AH858" s="372">
        <v>0</v>
      </c>
    </row>
    <row r="859" spans="1:34">
      <c r="A859" s="372" t="s">
        <v>6121</v>
      </c>
      <c r="B859" s="373" t="s">
        <v>6122</v>
      </c>
      <c r="C859" s="372" t="s">
        <v>6123</v>
      </c>
      <c r="D859" s="374">
        <v>1348110002155</v>
      </c>
      <c r="E859" s="372" t="s">
        <v>6124</v>
      </c>
      <c r="F859" s="375" t="s">
        <v>1279</v>
      </c>
      <c r="G859" s="375" t="s">
        <v>1280</v>
      </c>
      <c r="H859" s="375" t="s">
        <v>858</v>
      </c>
      <c r="I859" s="375" t="s">
        <v>859</v>
      </c>
      <c r="J859" s="375">
        <v>406849.26997999998</v>
      </c>
      <c r="K859" s="375">
        <v>21941.58683</v>
      </c>
      <c r="L859" s="375">
        <v>19657.050200000001</v>
      </c>
      <c r="M859" s="375">
        <v>244130.28690000001</v>
      </c>
      <c r="N859" s="372">
        <v>1.1040000000000001</v>
      </c>
      <c r="O859" s="704">
        <v>57.628364023187828</v>
      </c>
      <c r="P859" s="375" t="s">
        <v>619</v>
      </c>
      <c r="Q859" s="375" t="s">
        <v>619</v>
      </c>
      <c r="R859" s="696">
        <v>20000718</v>
      </c>
      <c r="S859" s="375" t="s">
        <v>6125</v>
      </c>
      <c r="T859" s="697">
        <v>0.20900000000000002</v>
      </c>
      <c r="U859" s="372" t="s">
        <v>6126</v>
      </c>
      <c r="V859" s="722">
        <v>5.71</v>
      </c>
      <c r="W859" s="722">
        <v>0.78</v>
      </c>
      <c r="X859" s="722">
        <v>0.47</v>
      </c>
      <c r="Y859" s="722">
        <v>12.21</v>
      </c>
      <c r="Z859" s="382">
        <v>5.6804879949551967E-2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3935</v>
      </c>
      <c r="AF859" s="372">
        <v>4045</v>
      </c>
      <c r="AG859" s="372">
        <v>6051</v>
      </c>
      <c r="AH859" s="372">
        <v>0</v>
      </c>
    </row>
    <row r="860" spans="1:34">
      <c r="A860" s="372" t="s">
        <v>6127</v>
      </c>
      <c r="B860" s="373" t="s">
        <v>6128</v>
      </c>
      <c r="C860" s="372" t="s">
        <v>6129</v>
      </c>
      <c r="D860" s="374">
        <v>1615110128011</v>
      </c>
      <c r="E860" s="372" t="s">
        <v>6130</v>
      </c>
      <c r="F860" s="375" t="s">
        <v>3233</v>
      </c>
      <c r="G860" s="375" t="s">
        <v>3233</v>
      </c>
      <c r="H860" s="375" t="s">
        <v>858</v>
      </c>
      <c r="I860" s="375" t="s">
        <v>859</v>
      </c>
      <c r="J860" s="375">
        <v>17354.460599999999</v>
      </c>
      <c r="K860" s="375">
        <v>2493.9715700000002</v>
      </c>
      <c r="L860" s="375">
        <v>3015.5613499999999</v>
      </c>
      <c r="M860" s="375">
        <v>58680.022470000004</v>
      </c>
      <c r="N860" s="372" t="s">
        <v>1023</v>
      </c>
      <c r="O860" s="704">
        <v>19.393201683084079</v>
      </c>
      <c r="P860" s="375" t="s">
        <v>619</v>
      </c>
      <c r="Q860" s="375" t="s">
        <v>619</v>
      </c>
      <c r="R860" s="696">
        <v>20231124</v>
      </c>
      <c r="S860" s="375" t="s">
        <v>6131</v>
      </c>
      <c r="T860" s="697">
        <v>0.20900000000000002</v>
      </c>
      <c r="U860" s="375" t="s">
        <v>6132</v>
      </c>
      <c r="V860" s="722">
        <v>34.61</v>
      </c>
      <c r="W860" s="722">
        <v>2.34</v>
      </c>
      <c r="X860" s="722">
        <v>7.68</v>
      </c>
      <c r="Y860" s="722">
        <v>50.07</v>
      </c>
      <c r="Z860" s="382" t="s">
        <v>924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6133</v>
      </c>
      <c r="B861" s="373" t="s">
        <v>6134</v>
      </c>
      <c r="C861" s="372" t="s">
        <v>6135</v>
      </c>
      <c r="D861" s="374">
        <v>1311110496206</v>
      </c>
      <c r="E861" s="372" t="s">
        <v>6136</v>
      </c>
      <c r="F861" s="375" t="s">
        <v>3118</v>
      </c>
      <c r="G861" s="375" t="s">
        <v>3118</v>
      </c>
      <c r="H861" s="375" t="s">
        <v>858</v>
      </c>
      <c r="I861" s="375" t="s">
        <v>859</v>
      </c>
      <c r="J861" s="375">
        <v>5192.2444299999997</v>
      </c>
      <c r="K861" s="375">
        <v>-6802.2324699999999</v>
      </c>
      <c r="L861" s="375">
        <v>-4936.3256600000004</v>
      </c>
      <c r="M861" s="375">
        <v>19102.742289999998</v>
      </c>
      <c r="N861" s="372" t="s">
        <v>1023</v>
      </c>
      <c r="O861" s="704">
        <v>4.4995635137781891</v>
      </c>
      <c r="P861" s="375" t="s">
        <v>619</v>
      </c>
      <c r="Q861" s="372" t="s">
        <v>619</v>
      </c>
      <c r="R861" s="696">
        <v>20230822</v>
      </c>
      <c r="S861" s="372" t="s">
        <v>6137</v>
      </c>
      <c r="T861" s="697" t="s">
        <v>768</v>
      </c>
      <c r="U861" s="372" t="s">
        <v>6138</v>
      </c>
      <c r="V861" s="722" t="s">
        <v>770</v>
      </c>
      <c r="W861" s="722">
        <v>8.4600000000000009</v>
      </c>
      <c r="X861" s="722">
        <v>30.67</v>
      </c>
      <c r="Y861" s="722" t="s">
        <v>770</v>
      </c>
      <c r="Z861" s="382">
        <v>0.71911800426761863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51</v>
      </c>
      <c r="AF861" s="372">
        <v>206</v>
      </c>
      <c r="AG861" s="372">
        <v>356</v>
      </c>
      <c r="AH861" s="372">
        <v>0</v>
      </c>
    </row>
    <row r="862" spans="1:34">
      <c r="A862" s="372" t="s">
        <v>6139</v>
      </c>
      <c r="B862" s="373" t="s">
        <v>6140</v>
      </c>
      <c r="C862" s="372" t="s">
        <v>6141</v>
      </c>
      <c r="D862" s="374">
        <v>1101110041717</v>
      </c>
      <c r="E862" s="372" t="s">
        <v>6142</v>
      </c>
      <c r="F862" s="375" t="s">
        <v>6143</v>
      </c>
      <c r="G862" s="375" t="s">
        <v>6144</v>
      </c>
      <c r="H862" s="375" t="s">
        <v>1536</v>
      </c>
      <c r="I862" s="375" t="s">
        <v>751</v>
      </c>
      <c r="J862" s="375">
        <v>517309.64305999997</v>
      </c>
      <c r="K862" s="375">
        <v>9769.1436699999995</v>
      </c>
      <c r="L862" s="375">
        <v>32227.95795</v>
      </c>
      <c r="M862" s="375">
        <v>904116.84236999997</v>
      </c>
      <c r="N862" s="372">
        <v>0.7</v>
      </c>
      <c r="O862" s="704">
        <v>65.541879613417493</v>
      </c>
      <c r="P862" s="375" t="s">
        <v>619</v>
      </c>
      <c r="Q862" s="375" t="s">
        <v>619</v>
      </c>
      <c r="R862" s="696">
        <v>19730523</v>
      </c>
      <c r="S862" s="375" t="s">
        <v>6145</v>
      </c>
      <c r="T862" s="697">
        <v>0.23100000000000001</v>
      </c>
      <c r="U862" s="372" t="s">
        <v>6146</v>
      </c>
      <c r="V862" s="722">
        <v>5.99</v>
      </c>
      <c r="W862" s="722">
        <v>0.21</v>
      </c>
      <c r="X862" s="722">
        <v>0.37</v>
      </c>
      <c r="Y862" s="722">
        <v>6.56</v>
      </c>
      <c r="Z862" s="382" t="s">
        <v>924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6147</v>
      </c>
      <c r="B863" s="373" t="s">
        <v>6148</v>
      </c>
      <c r="C863" s="372" t="s">
        <v>6149</v>
      </c>
      <c r="D863" s="374">
        <v>1101110031479</v>
      </c>
      <c r="E863" s="372" t="s">
        <v>6150</v>
      </c>
      <c r="F863" s="375" t="s">
        <v>1740</v>
      </c>
      <c r="G863" s="375" t="s">
        <v>1740</v>
      </c>
      <c r="H863" s="375" t="s">
        <v>843</v>
      </c>
      <c r="I863" s="375" t="s">
        <v>751</v>
      </c>
      <c r="J863" s="375">
        <v>3960774.8313500001</v>
      </c>
      <c r="K863" s="375">
        <v>76115.120980000007</v>
      </c>
      <c r="L863" s="375">
        <v>67076.107980000001</v>
      </c>
      <c r="M863" s="375">
        <v>551839.40700000001</v>
      </c>
      <c r="N863" s="372">
        <v>0.875</v>
      </c>
      <c r="O863" s="704">
        <v>168.48249400007529</v>
      </c>
      <c r="P863" s="375" t="s">
        <v>619</v>
      </c>
      <c r="Q863" s="372" t="s">
        <v>619</v>
      </c>
      <c r="R863" s="696">
        <v>19760626</v>
      </c>
      <c r="S863" s="372" t="s">
        <v>6151</v>
      </c>
      <c r="T863" s="697">
        <v>0.23100000000000001</v>
      </c>
      <c r="U863" s="372" t="s">
        <v>6152</v>
      </c>
      <c r="V863" s="722">
        <v>6.87</v>
      </c>
      <c r="W863" s="722">
        <v>0.62</v>
      </c>
      <c r="X863" s="722">
        <v>0.08</v>
      </c>
      <c r="Y863" s="722">
        <v>7.28</v>
      </c>
      <c r="Z863" s="382" t="s">
        <v>924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39944</v>
      </c>
      <c r="AF863" s="372">
        <v>0</v>
      </c>
      <c r="AG863" s="372">
        <v>0</v>
      </c>
      <c r="AH863" s="372">
        <v>0</v>
      </c>
    </row>
    <row r="864" spans="1:34">
      <c r="A864" s="372" t="s">
        <v>6153</v>
      </c>
      <c r="B864" s="373" t="s">
        <v>6154</v>
      </c>
      <c r="C864" s="372" t="s">
        <v>6155</v>
      </c>
      <c r="D864" s="374">
        <v>1355110144291</v>
      </c>
      <c r="E864" s="372" t="s">
        <v>6156</v>
      </c>
      <c r="F864" s="372" t="s">
        <v>4123</v>
      </c>
      <c r="G864" s="375" t="s">
        <v>6157</v>
      </c>
      <c r="H864" s="375" t="s">
        <v>1040</v>
      </c>
      <c r="I864" s="375" t="s">
        <v>751</v>
      </c>
      <c r="J864" s="375">
        <v>62872.440179999998</v>
      </c>
      <c r="K864" s="375">
        <v>-27930.328119999998</v>
      </c>
      <c r="L864" s="375">
        <v>-2704.6892800000001</v>
      </c>
      <c r="M864" s="375">
        <v>55890.286760000003</v>
      </c>
      <c r="N864" s="372">
        <v>1.768</v>
      </c>
      <c r="O864" s="704">
        <v>55.508249746971849</v>
      </c>
      <c r="P864" s="375" t="s">
        <v>619</v>
      </c>
      <c r="Q864" s="375" t="s">
        <v>619</v>
      </c>
      <c r="R864" s="696">
        <v>20031223</v>
      </c>
      <c r="S864" s="375" t="s">
        <v>6158</v>
      </c>
      <c r="T864" s="697" t="s">
        <v>768</v>
      </c>
      <c r="U864" s="375" t="s">
        <v>6159</v>
      </c>
      <c r="V864" s="722" t="s">
        <v>770</v>
      </c>
      <c r="W864" s="722">
        <v>2.14</v>
      </c>
      <c r="X864" s="722">
        <v>1.95</v>
      </c>
      <c r="Y864" s="722">
        <v>144.07</v>
      </c>
      <c r="Z864" s="382" t="s">
        <v>924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6160</v>
      </c>
      <c r="B865" s="373" t="s">
        <v>6161</v>
      </c>
      <c r="C865" s="372" t="s">
        <v>6162</v>
      </c>
      <c r="D865" s="374">
        <v>1101110112328</v>
      </c>
      <c r="E865" s="372" t="s">
        <v>6163</v>
      </c>
      <c r="F865" s="375" t="s">
        <v>6164</v>
      </c>
      <c r="G865" s="375" t="s">
        <v>6165</v>
      </c>
      <c r="H865" s="375">
        <v>0</v>
      </c>
      <c r="I865" s="375" t="s">
        <v>751</v>
      </c>
      <c r="J865" s="375">
        <v>647827.45947999996</v>
      </c>
      <c r="K865" s="375">
        <v>2166.1001900000001</v>
      </c>
      <c r="L865" s="375">
        <v>54346.559029999997</v>
      </c>
      <c r="M865" s="375">
        <v>698320.73551999999</v>
      </c>
      <c r="N865" s="372">
        <v>0.41699999999999998</v>
      </c>
      <c r="O865" s="704">
        <v>98.297984109504043</v>
      </c>
      <c r="P865" s="375" t="s">
        <v>619</v>
      </c>
      <c r="Q865" s="375" t="s">
        <v>619</v>
      </c>
      <c r="R865" s="696">
        <v>19890725</v>
      </c>
      <c r="S865" s="375" t="s">
        <v>6166</v>
      </c>
      <c r="T865" s="697">
        <v>0.23100000000000001</v>
      </c>
      <c r="U865" s="375" t="s">
        <v>6167</v>
      </c>
      <c r="V865" s="722">
        <v>29.67</v>
      </c>
      <c r="W865" s="722">
        <v>0.55000000000000004</v>
      </c>
      <c r="X865" s="722">
        <v>0.5</v>
      </c>
      <c r="Y865" s="722">
        <v>8.9600000000000009</v>
      </c>
      <c r="Z865" s="382" t="s">
        <v>924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6168</v>
      </c>
      <c r="B866" s="373" t="s">
        <v>6169</v>
      </c>
      <c r="C866" s="372" t="s">
        <v>6170</v>
      </c>
      <c r="D866" s="374">
        <v>1101110029721</v>
      </c>
      <c r="E866" s="372" t="s">
        <v>6171</v>
      </c>
      <c r="F866" s="375" t="s">
        <v>890</v>
      </c>
      <c r="G866" s="375" t="s">
        <v>891</v>
      </c>
      <c r="H866" s="375" t="s">
        <v>852</v>
      </c>
      <c r="I866" s="375" t="s">
        <v>751</v>
      </c>
      <c r="J866" s="375">
        <v>4606470.6445000004</v>
      </c>
      <c r="K866" s="375">
        <v>227439.11610000001</v>
      </c>
      <c r="L866" s="375">
        <v>122713.13628000001</v>
      </c>
      <c r="M866" s="375">
        <v>1324913.93622</v>
      </c>
      <c r="N866" s="372">
        <v>0.66500000000000004</v>
      </c>
      <c r="O866" s="704">
        <v>1538.1539094806292</v>
      </c>
      <c r="P866" s="375" t="s">
        <v>619</v>
      </c>
      <c r="Q866" s="372" t="s">
        <v>619</v>
      </c>
      <c r="R866" s="696">
        <v>19990811</v>
      </c>
      <c r="S866" s="372" t="s">
        <v>2635</v>
      </c>
      <c r="T866" s="697">
        <v>0.23100000000000001</v>
      </c>
      <c r="U866" s="372" t="s">
        <v>6172</v>
      </c>
      <c r="V866" s="722">
        <v>5.88</v>
      </c>
      <c r="W866" s="722">
        <v>0.28999999999999998</v>
      </c>
      <c r="X866" s="722">
        <v>0.04</v>
      </c>
      <c r="Y866" s="722">
        <v>12.6</v>
      </c>
      <c r="Z866" s="382" t="s">
        <v>924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6173</v>
      </c>
      <c r="B867" s="373" t="s">
        <v>6174</v>
      </c>
      <c r="C867" s="372" t="s">
        <v>6175</v>
      </c>
      <c r="D867" s="374">
        <v>1311110230307</v>
      </c>
      <c r="E867" s="372" t="s">
        <v>6176</v>
      </c>
      <c r="F867" s="375" t="s">
        <v>2181</v>
      </c>
      <c r="G867" s="375" t="s">
        <v>6177</v>
      </c>
      <c r="H867" s="375" t="s">
        <v>858</v>
      </c>
      <c r="I867" s="375" t="s">
        <v>859</v>
      </c>
      <c r="J867" s="375">
        <v>27786.154760000001</v>
      </c>
      <c r="K867" s="375">
        <v>-1308.7193</v>
      </c>
      <c r="L867" s="375">
        <v>-681.88991999999996</v>
      </c>
      <c r="M867" s="375">
        <v>49602.411090000001</v>
      </c>
      <c r="N867" s="372">
        <v>1.016</v>
      </c>
      <c r="O867" s="704">
        <v>0.46092617361102889</v>
      </c>
      <c r="P867" s="375" t="s">
        <v>619</v>
      </c>
      <c r="Q867" s="372" t="s">
        <v>619</v>
      </c>
      <c r="R867" s="696">
        <v>20220223</v>
      </c>
      <c r="S867" s="372" t="s">
        <v>6178</v>
      </c>
      <c r="T867" s="697" t="s">
        <v>768</v>
      </c>
      <c r="U867" s="372" t="s">
        <v>6179</v>
      </c>
      <c r="V867" s="722">
        <v>0</v>
      </c>
      <c r="W867" s="722">
        <v>0</v>
      </c>
      <c r="X867" s="722">
        <v>0</v>
      </c>
      <c r="Y867" s="722">
        <v>0</v>
      </c>
      <c r="Z867" s="382" t="s">
        <v>924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6180</v>
      </c>
      <c r="B868" s="373" t="s">
        <v>6181</v>
      </c>
      <c r="C868" s="372" t="s">
        <v>6182</v>
      </c>
      <c r="D868" s="374">
        <v>1101117616620</v>
      </c>
      <c r="E868" s="372" t="s">
        <v>6183</v>
      </c>
      <c r="F868" s="375" t="s">
        <v>3233</v>
      </c>
      <c r="G868" s="375" t="s">
        <v>3233</v>
      </c>
      <c r="H868" s="375" t="s">
        <v>858</v>
      </c>
      <c r="I868" s="375" t="s">
        <v>859</v>
      </c>
      <c r="J868" s="375">
        <v>5172.2863100000004</v>
      </c>
      <c r="K868" s="375">
        <v>-11942.54009</v>
      </c>
      <c r="L868" s="375">
        <v>-12956.75778</v>
      </c>
      <c r="M868" s="375">
        <v>9265.7077000000008</v>
      </c>
      <c r="N868" s="372">
        <v>1.278</v>
      </c>
      <c r="O868" s="704">
        <v>6.3854439356054042</v>
      </c>
      <c r="P868" s="375" t="s">
        <v>619</v>
      </c>
      <c r="Q868" s="375" t="s">
        <v>619</v>
      </c>
      <c r="R868" s="696">
        <v>20201221</v>
      </c>
      <c r="S868" s="375" t="s">
        <v>6184</v>
      </c>
      <c r="T868" s="697" t="s">
        <v>768</v>
      </c>
      <c r="U868" s="375" t="s">
        <v>6185</v>
      </c>
      <c r="V868" s="722">
        <v>0</v>
      </c>
      <c r="W868" s="722">
        <v>0</v>
      </c>
      <c r="X868" s="722">
        <v>0</v>
      </c>
      <c r="Y868" s="722">
        <v>0</v>
      </c>
      <c r="Z868" s="382" t="s">
        <v>924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6186</v>
      </c>
      <c r="B869" s="373" t="s">
        <v>6187</v>
      </c>
      <c r="C869" s="372" t="s">
        <v>6188</v>
      </c>
      <c r="D869" s="374">
        <v>1355110106027</v>
      </c>
      <c r="E869" s="372" t="s">
        <v>6189</v>
      </c>
      <c r="F869" s="375" t="s">
        <v>3448</v>
      </c>
      <c r="G869" s="375" t="s">
        <v>3448</v>
      </c>
      <c r="H869" s="375" t="s">
        <v>3096</v>
      </c>
      <c r="I869" s="375" t="s">
        <v>859</v>
      </c>
      <c r="J869" s="375">
        <v>398413.35200000001</v>
      </c>
      <c r="K869" s="375">
        <v>33886.238129999998</v>
      </c>
      <c r="L869" s="375">
        <v>12737</v>
      </c>
      <c r="M869" s="375">
        <v>381479.05706000002</v>
      </c>
      <c r="N869" s="372">
        <v>0.71199999999999997</v>
      </c>
      <c r="O869" s="704">
        <v>320.28582177542978</v>
      </c>
      <c r="P869" s="375" t="s">
        <v>619</v>
      </c>
      <c r="Q869" s="375" t="s">
        <v>619</v>
      </c>
      <c r="R869" s="696">
        <v>20051206</v>
      </c>
      <c r="S869" s="375" t="s">
        <v>6190</v>
      </c>
      <c r="T869" s="697">
        <v>0.20900000000000002</v>
      </c>
      <c r="U869" s="372" t="s">
        <v>6191</v>
      </c>
      <c r="V869" s="722">
        <v>9.86</v>
      </c>
      <c r="W869" s="722">
        <v>0.43</v>
      </c>
      <c r="X869" s="722">
        <v>0.39</v>
      </c>
      <c r="Y869" s="722">
        <v>27.67</v>
      </c>
      <c r="Z869" s="382" t="s">
        <v>924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6192</v>
      </c>
      <c r="B870" s="373" t="s">
        <v>6193</v>
      </c>
      <c r="C870" s="372" t="s">
        <v>6194</v>
      </c>
      <c r="D870" s="374">
        <v>1501110075164</v>
      </c>
      <c r="E870" s="372" t="s">
        <v>6195</v>
      </c>
      <c r="F870" s="375" t="s">
        <v>766</v>
      </c>
      <c r="G870" s="375" t="s">
        <v>766</v>
      </c>
      <c r="H870" s="375" t="s">
        <v>858</v>
      </c>
      <c r="I870" s="375" t="s">
        <v>859</v>
      </c>
      <c r="J870" s="375">
        <v>38258.990279999998</v>
      </c>
      <c r="K870" s="375">
        <v>-8954.3664599999993</v>
      </c>
      <c r="L870" s="375">
        <v>-11510.499879999999</v>
      </c>
      <c r="M870" s="375">
        <v>104325.57004000001</v>
      </c>
      <c r="N870" s="372" t="s">
        <v>1023</v>
      </c>
      <c r="O870" s="704">
        <v>128.62238970487007</v>
      </c>
      <c r="P870" s="375" t="s">
        <v>619</v>
      </c>
      <c r="Q870" s="372" t="s">
        <v>619</v>
      </c>
      <c r="R870" s="696">
        <v>20230727</v>
      </c>
      <c r="S870" s="375" t="s">
        <v>6196</v>
      </c>
      <c r="T870" s="697" t="s">
        <v>768</v>
      </c>
      <c r="U870" s="375" t="s">
        <v>6197</v>
      </c>
      <c r="V870" s="722">
        <v>15.74</v>
      </c>
      <c r="W870" s="722">
        <v>0.84</v>
      </c>
      <c r="X870" s="722">
        <v>2.3199999999999998</v>
      </c>
      <c r="Y870" s="722" t="s">
        <v>770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602</v>
      </c>
      <c r="AF870" s="372">
        <v>671</v>
      </c>
      <c r="AG870" s="372">
        <v>791</v>
      </c>
      <c r="AH870" s="372">
        <v>0</v>
      </c>
    </row>
    <row r="871" spans="1:34">
      <c r="A871" s="372" t="s">
        <v>6198</v>
      </c>
      <c r="B871" s="373" t="s">
        <v>6199</v>
      </c>
      <c r="C871" s="372" t="s">
        <v>6200</v>
      </c>
      <c r="D871" s="374">
        <v>1601110072738</v>
      </c>
      <c r="E871" s="372" t="s">
        <v>6201</v>
      </c>
      <c r="F871" s="375" t="s">
        <v>1273</v>
      </c>
      <c r="G871" s="375" t="s">
        <v>1449</v>
      </c>
      <c r="H871" s="375" t="s">
        <v>858</v>
      </c>
      <c r="I871" s="375" t="s">
        <v>859</v>
      </c>
      <c r="J871" s="375">
        <v>121742.39649</v>
      </c>
      <c r="K871" s="375">
        <v>13590.11464</v>
      </c>
      <c r="L871" s="375">
        <v>14458.3922</v>
      </c>
      <c r="M871" s="375">
        <v>98004.441560000007</v>
      </c>
      <c r="N871" s="372">
        <v>1.163</v>
      </c>
      <c r="O871" s="704">
        <v>1.6114120168869439</v>
      </c>
      <c r="P871" s="375" t="s">
        <v>619</v>
      </c>
      <c r="Q871" s="375" t="s">
        <v>619</v>
      </c>
      <c r="R871" s="696">
        <v>20150730</v>
      </c>
      <c r="S871" s="375" t="s">
        <v>6202</v>
      </c>
      <c r="T871" s="697">
        <v>0.20900000000000002</v>
      </c>
      <c r="U871" s="372" t="s">
        <v>6203</v>
      </c>
      <c r="V871" s="722">
        <v>0</v>
      </c>
      <c r="W871" s="722">
        <v>0</v>
      </c>
      <c r="X871" s="722">
        <v>0</v>
      </c>
      <c r="Y871" s="722">
        <v>0</v>
      </c>
      <c r="Z871" s="382" t="s">
        <v>924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6204</v>
      </c>
      <c r="B872" s="373" t="s">
        <v>6205</v>
      </c>
      <c r="C872" s="372" t="s">
        <v>6206</v>
      </c>
      <c r="D872" s="374">
        <v>1101113841627</v>
      </c>
      <c r="E872" s="372" t="s">
        <v>6207</v>
      </c>
      <c r="F872" s="375" t="s">
        <v>1367</v>
      </c>
      <c r="G872" s="375" t="s">
        <v>1367</v>
      </c>
      <c r="H872" s="375" t="s">
        <v>858</v>
      </c>
      <c r="I872" s="375" t="s">
        <v>859</v>
      </c>
      <c r="J872" s="375">
        <v>9281.9745700000003</v>
      </c>
      <c r="K872" s="375">
        <v>-8704.9422400000003</v>
      </c>
      <c r="L872" s="375">
        <v>-8063.6400700000004</v>
      </c>
      <c r="M872" s="375">
        <v>21595.53527</v>
      </c>
      <c r="N872" s="372">
        <v>1.1120000000000001</v>
      </c>
      <c r="O872" s="704">
        <v>5.0408955976016232</v>
      </c>
      <c r="P872" s="375" t="s">
        <v>619</v>
      </c>
      <c r="Q872" s="375" t="s">
        <v>619</v>
      </c>
      <c r="R872" s="696">
        <v>20210817</v>
      </c>
      <c r="S872" s="375" t="s">
        <v>6208</v>
      </c>
      <c r="T872" s="697" t="s">
        <v>768</v>
      </c>
      <c r="U872" s="372" t="s">
        <v>6209</v>
      </c>
      <c r="V872" s="722">
        <v>0</v>
      </c>
      <c r="W872" s="722">
        <v>0</v>
      </c>
      <c r="X872" s="722">
        <v>0</v>
      </c>
      <c r="Y872" s="722">
        <v>0</v>
      </c>
      <c r="Z872" s="382" t="s">
        <v>924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6210</v>
      </c>
      <c r="B873" s="373" t="s">
        <v>6211</v>
      </c>
      <c r="C873" s="372" t="s">
        <v>6212</v>
      </c>
      <c r="D873" s="374">
        <v>1101110016728</v>
      </c>
      <c r="E873" s="372" t="s">
        <v>6213</v>
      </c>
      <c r="F873" s="375" t="s">
        <v>955</v>
      </c>
      <c r="G873" s="375" t="s">
        <v>956</v>
      </c>
      <c r="H873" s="375" t="s">
        <v>930</v>
      </c>
      <c r="I873" s="375" t="s">
        <v>751</v>
      </c>
      <c r="J873" s="375">
        <v>2524928</v>
      </c>
      <c r="K873" s="375">
        <v>457451</v>
      </c>
      <c r="L873" s="375">
        <v>456647</v>
      </c>
      <c r="M873" s="375">
        <v>931787</v>
      </c>
      <c r="N873" s="372">
        <v>1.0049999999999999</v>
      </c>
      <c r="O873" s="704">
        <v>190.22274645033716</v>
      </c>
      <c r="P873" s="375" t="s">
        <v>619</v>
      </c>
      <c r="Q873" s="375" t="s">
        <v>619</v>
      </c>
      <c r="R873" s="696">
        <v>19741205</v>
      </c>
      <c r="S873" s="375" t="s">
        <v>3468</v>
      </c>
      <c r="T873" s="697">
        <v>0.26400000000000001</v>
      </c>
      <c r="U873" s="372" t="s">
        <v>6214</v>
      </c>
      <c r="V873" s="722">
        <v>0</v>
      </c>
      <c r="W873" s="722">
        <v>0</v>
      </c>
      <c r="X873" s="722">
        <v>0</v>
      </c>
      <c r="Y873" s="722">
        <v>0</v>
      </c>
      <c r="Z873" s="382" t="s">
        <v>924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6215</v>
      </c>
      <c r="B874" s="373" t="s">
        <v>6216</v>
      </c>
      <c r="C874" s="372" t="s">
        <v>6217</v>
      </c>
      <c r="D874" s="374">
        <v>1101111960792</v>
      </c>
      <c r="E874" s="372" t="s">
        <v>6218</v>
      </c>
      <c r="F874" s="375" t="s">
        <v>6219</v>
      </c>
      <c r="G874" s="375" t="s">
        <v>6219</v>
      </c>
      <c r="H874" s="375" t="s">
        <v>1334</v>
      </c>
      <c r="I874" s="375" t="s">
        <v>859</v>
      </c>
      <c r="J874" s="375">
        <v>354038.48596000002</v>
      </c>
      <c r="K874" s="375">
        <v>40347.279280000002</v>
      </c>
      <c r="L874" s="375">
        <v>44137.934789999999</v>
      </c>
      <c r="M874" s="375">
        <v>210646.72969000001</v>
      </c>
      <c r="N874" s="372">
        <v>0.59799999999999998</v>
      </c>
      <c r="O874" s="704">
        <v>22.605890847959117</v>
      </c>
      <c r="P874" s="375" t="s">
        <v>619</v>
      </c>
      <c r="Q874" s="372" t="s">
        <v>619</v>
      </c>
      <c r="R874" s="696">
        <v>20061116</v>
      </c>
      <c r="S874" s="372" t="s">
        <v>6220</v>
      </c>
      <c r="T874" s="697">
        <v>0.23100000000000001</v>
      </c>
      <c r="U874" s="372" t="s">
        <v>6221</v>
      </c>
      <c r="V874" s="722">
        <v>3.2</v>
      </c>
      <c r="W874" s="722">
        <v>0.87</v>
      </c>
      <c r="X874" s="722">
        <v>0.51</v>
      </c>
      <c r="Y874" s="722">
        <v>5.72</v>
      </c>
      <c r="Z874" s="382" t="s">
        <v>924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6222</v>
      </c>
      <c r="B875" s="373" t="s">
        <v>6223</v>
      </c>
      <c r="C875" s="372" t="s">
        <v>6224</v>
      </c>
      <c r="D875" s="374">
        <v>1348110016007</v>
      </c>
      <c r="E875" s="372" t="s">
        <v>6225</v>
      </c>
      <c r="F875" s="375" t="s">
        <v>16097</v>
      </c>
      <c r="G875" s="375" t="s">
        <v>16100</v>
      </c>
      <c r="H875" s="375" t="s">
        <v>858</v>
      </c>
      <c r="I875" s="375" t="s">
        <v>859</v>
      </c>
      <c r="J875" s="375">
        <v>273162.45698999998</v>
      </c>
      <c r="K875" s="375">
        <v>6457.6537399999997</v>
      </c>
      <c r="L875" s="375">
        <v>5264.4864600000001</v>
      </c>
      <c r="M875" s="375">
        <v>148971.60404000001</v>
      </c>
      <c r="N875" s="372">
        <v>1.113</v>
      </c>
      <c r="O875" s="704">
        <v>84.910116967629264</v>
      </c>
      <c r="P875" s="375" t="s">
        <v>619</v>
      </c>
      <c r="Q875" s="372" t="s">
        <v>619</v>
      </c>
      <c r="R875" s="696">
        <v>20070523</v>
      </c>
      <c r="S875" s="372" t="s">
        <v>6226</v>
      </c>
      <c r="T875" s="697">
        <v>0.20900000000000002</v>
      </c>
      <c r="U875" s="372" t="s">
        <v>6227</v>
      </c>
      <c r="V875" s="722">
        <v>9.5399999999999991</v>
      </c>
      <c r="W875" s="722">
        <v>1.05</v>
      </c>
      <c r="X875" s="722">
        <v>0.57999999999999996</v>
      </c>
      <c r="Y875" s="722">
        <v>31.19</v>
      </c>
      <c r="Z875" s="382" t="s">
        <v>924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6228</v>
      </c>
      <c r="B876" s="373" t="s">
        <v>6229</v>
      </c>
      <c r="C876" s="372" t="s">
        <v>6230</v>
      </c>
      <c r="D876" s="374">
        <v>1801110019843</v>
      </c>
      <c r="E876" s="372" t="s">
        <v>6231</v>
      </c>
      <c r="F876" s="375" t="s">
        <v>6232</v>
      </c>
      <c r="G876" s="375" t="s">
        <v>6233</v>
      </c>
      <c r="H876" s="375" t="s">
        <v>1383</v>
      </c>
      <c r="I876" s="375" t="s">
        <v>751</v>
      </c>
      <c r="J876" s="375">
        <v>373159.06138999999</v>
      </c>
      <c r="K876" s="375">
        <v>7205.6084099999998</v>
      </c>
      <c r="L876" s="375">
        <v>11516.85168</v>
      </c>
      <c r="M876" s="375">
        <v>221459.31154</v>
      </c>
      <c r="N876" s="372">
        <v>0.82399999999999995</v>
      </c>
      <c r="O876" s="704">
        <v>39.861428543416075</v>
      </c>
      <c r="P876" s="375" t="s">
        <v>619</v>
      </c>
      <c r="Q876" s="375" t="s">
        <v>619</v>
      </c>
      <c r="R876" s="696">
        <v>20090612</v>
      </c>
      <c r="S876" s="375" t="s">
        <v>6234</v>
      </c>
      <c r="T876" s="697">
        <v>0.20900000000000002</v>
      </c>
      <c r="U876" s="375" t="s">
        <v>6235</v>
      </c>
      <c r="V876" s="722">
        <v>6.51</v>
      </c>
      <c r="W876" s="722">
        <v>0.75</v>
      </c>
      <c r="X876" s="722">
        <v>0.47</v>
      </c>
      <c r="Y876" s="722">
        <v>17.66</v>
      </c>
      <c r="Z876" s="382" t="s">
        <v>924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6236</v>
      </c>
      <c r="B877" s="373" t="s">
        <v>6237</v>
      </c>
      <c r="C877" s="372" t="s">
        <v>6238</v>
      </c>
      <c r="D877" s="374">
        <v>1101110030528</v>
      </c>
      <c r="E877" s="372" t="s">
        <v>6239</v>
      </c>
      <c r="F877" s="375" t="s">
        <v>890</v>
      </c>
      <c r="G877" s="375" t="s">
        <v>891</v>
      </c>
      <c r="H877" s="375" t="s">
        <v>852</v>
      </c>
      <c r="I877" s="375" t="s">
        <v>751</v>
      </c>
      <c r="J877" s="375">
        <v>6096437.3125299998</v>
      </c>
      <c r="K877" s="375">
        <v>3238.0219900000002</v>
      </c>
      <c r="L877" s="375">
        <v>126175.22403</v>
      </c>
      <c r="M877" s="375">
        <v>1630803.5358599999</v>
      </c>
      <c r="N877" s="372">
        <v>0.92700000000000005</v>
      </c>
      <c r="O877" s="704">
        <v>1657.807200105118</v>
      </c>
      <c r="P877" s="375" t="s">
        <v>619</v>
      </c>
      <c r="Q877" s="375" t="s">
        <v>619</v>
      </c>
      <c r="R877" s="696">
        <v>19750623</v>
      </c>
      <c r="S877" s="372" t="s">
        <v>851</v>
      </c>
      <c r="T877" s="697">
        <v>0.23100000000000001</v>
      </c>
      <c r="U877" s="372" t="s">
        <v>6240</v>
      </c>
      <c r="V877" s="722">
        <v>28.53</v>
      </c>
      <c r="W877" s="722">
        <v>0.15</v>
      </c>
      <c r="X877" s="722">
        <v>0.03</v>
      </c>
      <c r="Y877" s="722">
        <v>1.03</v>
      </c>
      <c r="Z877" s="382" t="s">
        <v>924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6241</v>
      </c>
      <c r="B878" s="373" t="s">
        <v>6242</v>
      </c>
      <c r="C878" s="372" t="s">
        <v>6243</v>
      </c>
      <c r="D878" s="374">
        <v>1101110166903</v>
      </c>
      <c r="E878" s="372" t="s">
        <v>6244</v>
      </c>
      <c r="F878" s="375" t="s">
        <v>821</v>
      </c>
      <c r="G878" s="375" t="s">
        <v>16105</v>
      </c>
      <c r="H878" s="375" t="s">
        <v>823</v>
      </c>
      <c r="I878" s="375" t="s">
        <v>751</v>
      </c>
      <c r="J878" s="375">
        <v>905390.11629999999</v>
      </c>
      <c r="K878" s="375">
        <v>55054.856919999998</v>
      </c>
      <c r="L878" s="375">
        <v>78718.712910000002</v>
      </c>
      <c r="M878" s="375">
        <v>680415.70510999998</v>
      </c>
      <c r="N878" s="372">
        <v>0.495</v>
      </c>
      <c r="O878" s="704">
        <v>34.032052435328183</v>
      </c>
      <c r="P878" s="375" t="s">
        <v>619</v>
      </c>
      <c r="Q878" s="375" t="s">
        <v>619</v>
      </c>
      <c r="R878" s="696">
        <v>19941227</v>
      </c>
      <c r="S878" s="375" t="s">
        <v>6245</v>
      </c>
      <c r="T878" s="697">
        <v>0.23100000000000001</v>
      </c>
      <c r="U878" s="372" t="s">
        <v>6246</v>
      </c>
      <c r="V878" s="722">
        <v>2.94</v>
      </c>
      <c r="W878" s="722">
        <v>0.34</v>
      </c>
      <c r="X878" s="722">
        <v>0.26</v>
      </c>
      <c r="Y878" s="722">
        <v>3.7</v>
      </c>
      <c r="Z878" s="382">
        <v>1.9941768330216103E-2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9356</v>
      </c>
      <c r="AF878" s="372">
        <v>9581</v>
      </c>
      <c r="AG878" s="372">
        <v>9860</v>
      </c>
      <c r="AH878" s="372">
        <v>0</v>
      </c>
    </row>
    <row r="879" spans="1:34">
      <c r="A879" s="372" t="s">
        <v>6247</v>
      </c>
      <c r="B879" s="373" t="s">
        <v>6248</v>
      </c>
      <c r="C879" s="372" t="s">
        <v>6249</v>
      </c>
      <c r="D879" s="374">
        <v>0</v>
      </c>
      <c r="E879" s="372" t="s">
        <v>6250</v>
      </c>
      <c r="F879" s="375" t="s">
        <v>3858</v>
      </c>
      <c r="G879" s="375" t="s">
        <v>3858</v>
      </c>
      <c r="H879" s="375">
        <v>0</v>
      </c>
      <c r="I879" s="375" t="s">
        <v>859</v>
      </c>
      <c r="J879" s="375">
        <v>0</v>
      </c>
      <c r="K879" s="375">
        <v>0</v>
      </c>
      <c r="L879" s="375">
        <v>0</v>
      </c>
      <c r="M879" s="375">
        <v>0</v>
      </c>
      <c r="N879" s="372">
        <v>0.40600000000000003</v>
      </c>
      <c r="O879" s="704" t="s">
        <v>16298</v>
      </c>
      <c r="P879" s="375" t="s">
        <v>619</v>
      </c>
      <c r="Q879" s="372" t="s">
        <v>619</v>
      </c>
      <c r="R879" s="696">
        <v>20180406</v>
      </c>
      <c r="S879" s="372" t="s">
        <v>6251</v>
      </c>
      <c r="T879" s="697" t="s">
        <v>768</v>
      </c>
      <c r="U879" s="372" t="s">
        <v>6252</v>
      </c>
      <c r="V879" s="722">
        <v>0</v>
      </c>
      <c r="W879" s="722">
        <v>0</v>
      </c>
      <c r="X879" s="722">
        <v>0</v>
      </c>
      <c r="Y879" s="722">
        <v>0</v>
      </c>
      <c r="Z879" s="382">
        <v>0.42644568310407793</v>
      </c>
      <c r="AA879" s="372">
        <v>181.71020999999999</v>
      </c>
      <c r="AB879" s="372">
        <v>139.69253</v>
      </c>
      <c r="AC879" s="372">
        <v>358.09965</v>
      </c>
      <c r="AD879" s="372">
        <v>1499.9287999999999</v>
      </c>
      <c r="AE879" s="372">
        <v>3924.5</v>
      </c>
      <c r="AF879" s="372">
        <v>5361.5</v>
      </c>
      <c r="AG879" s="372">
        <v>6210</v>
      </c>
      <c r="AH879" s="372">
        <v>0</v>
      </c>
    </row>
    <row r="880" spans="1:34">
      <c r="A880" s="372" t="s">
        <v>6253</v>
      </c>
      <c r="B880" s="373" t="s">
        <v>6254</v>
      </c>
      <c r="C880" s="372" t="s">
        <v>6255</v>
      </c>
      <c r="D880" s="374">
        <v>1301110010015</v>
      </c>
      <c r="E880" s="372" t="s">
        <v>6256</v>
      </c>
      <c r="F880" s="375" t="s">
        <v>6257</v>
      </c>
      <c r="G880" s="375" t="s">
        <v>6257</v>
      </c>
      <c r="H880" s="375" t="s">
        <v>3954</v>
      </c>
      <c r="I880" s="375" t="s">
        <v>751</v>
      </c>
      <c r="J880" s="375">
        <v>703960.80221999995</v>
      </c>
      <c r="K880" s="375">
        <v>-2897.7597300000002</v>
      </c>
      <c r="L880" s="375">
        <v>-14475.087299999999</v>
      </c>
      <c r="M880" s="375">
        <v>345333.67502999998</v>
      </c>
      <c r="N880" s="372">
        <v>0.97699999999999998</v>
      </c>
      <c r="O880" s="704">
        <v>217.71865024674969</v>
      </c>
      <c r="P880" s="375" t="s">
        <v>619</v>
      </c>
      <c r="Q880" s="375" t="s">
        <v>619</v>
      </c>
      <c r="R880" s="696">
        <v>19881220</v>
      </c>
      <c r="S880" s="375" t="s">
        <v>6258</v>
      </c>
      <c r="T880" s="697" t="s">
        <v>768</v>
      </c>
      <c r="U880" s="372" t="s">
        <v>6259</v>
      </c>
      <c r="V880" s="722">
        <v>17.72</v>
      </c>
      <c r="W880" s="722">
        <v>0.49</v>
      </c>
      <c r="X880" s="722">
        <v>0.23</v>
      </c>
      <c r="Y880" s="722" t="s">
        <v>770</v>
      </c>
      <c r="Z880" s="382" t="s">
        <v>924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6260</v>
      </c>
      <c r="B881" s="373" t="s">
        <v>6261</v>
      </c>
      <c r="C881" s="372" t="s">
        <v>6262</v>
      </c>
      <c r="D881" s="374">
        <v>1101110742406</v>
      </c>
      <c r="E881" s="372" t="s">
        <v>6263</v>
      </c>
      <c r="F881" s="375" t="s">
        <v>2121</v>
      </c>
      <c r="G881" s="375" t="s">
        <v>4463</v>
      </c>
      <c r="H881" s="375" t="s">
        <v>858</v>
      </c>
      <c r="I881" s="375" t="s">
        <v>859</v>
      </c>
      <c r="J881" s="375">
        <v>56979.187689999999</v>
      </c>
      <c r="K881" s="375">
        <v>20432.263360000001</v>
      </c>
      <c r="L881" s="375">
        <v>24179.30934</v>
      </c>
      <c r="M881" s="375">
        <v>105285.67576</v>
      </c>
      <c r="N881" s="372">
        <v>0.73299999999999998</v>
      </c>
      <c r="O881" s="704">
        <v>0.19714135280427211</v>
      </c>
      <c r="P881" s="375" t="s">
        <v>619</v>
      </c>
      <c r="Q881" s="372" t="s">
        <v>619</v>
      </c>
      <c r="R881" s="696">
        <v>20181129</v>
      </c>
      <c r="S881" s="375" t="s">
        <v>6264</v>
      </c>
      <c r="T881" s="697">
        <v>0.23100000000000001</v>
      </c>
      <c r="U881" s="372" t="s">
        <v>6265</v>
      </c>
      <c r="V881" s="722">
        <v>0</v>
      </c>
      <c r="W881" s="722">
        <v>0</v>
      </c>
      <c r="X881" s="722">
        <v>0</v>
      </c>
      <c r="Y881" s="722">
        <v>0</v>
      </c>
      <c r="Z881" s="382" t="s">
        <v>924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6266</v>
      </c>
      <c r="B882" s="373" t="s">
        <v>6267</v>
      </c>
      <c r="C882" s="372" t="s">
        <v>6268</v>
      </c>
      <c r="D882" s="374">
        <v>1101111283657</v>
      </c>
      <c r="E882" s="372" t="s">
        <v>6269</v>
      </c>
      <c r="F882" s="375" t="s">
        <v>6270</v>
      </c>
      <c r="G882" s="375" t="s">
        <v>6271</v>
      </c>
      <c r="H882" s="375" t="s">
        <v>814</v>
      </c>
      <c r="I882" s="375" t="s">
        <v>751</v>
      </c>
      <c r="J882" s="375">
        <v>411050.03263999999</v>
      </c>
      <c r="K882" s="375">
        <v>32031.738140000001</v>
      </c>
      <c r="L882" s="375">
        <v>22906.318619999998</v>
      </c>
      <c r="M882" s="375">
        <v>216024.64416</v>
      </c>
      <c r="N882" s="372">
        <v>1.081</v>
      </c>
      <c r="O882" s="704">
        <v>82.160032879813159</v>
      </c>
      <c r="P882" s="375" t="s">
        <v>619</v>
      </c>
      <c r="Q882" s="375" t="s">
        <v>619</v>
      </c>
      <c r="R882" s="696">
        <v>20090623</v>
      </c>
      <c r="S882" s="375" t="s">
        <v>6272</v>
      </c>
      <c r="T882" s="697">
        <v>0.23100000000000001</v>
      </c>
      <c r="U882" s="375" t="s">
        <v>6273</v>
      </c>
      <c r="V882" s="722">
        <v>5.56</v>
      </c>
      <c r="W882" s="722">
        <v>0.79</v>
      </c>
      <c r="X882" s="722">
        <v>0.39</v>
      </c>
      <c r="Y882" s="722">
        <v>12.48</v>
      </c>
      <c r="Z882" s="382">
        <v>2.0312251436783724E-2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4164.5</v>
      </c>
      <c r="AF882" s="372">
        <v>4364.5</v>
      </c>
      <c r="AG882" s="372">
        <v>4475</v>
      </c>
      <c r="AH882" s="372">
        <v>0</v>
      </c>
    </row>
    <row r="883" spans="1:34">
      <c r="A883" s="372" t="s">
        <v>6274</v>
      </c>
      <c r="B883" s="373" t="s">
        <v>6275</v>
      </c>
      <c r="C883" s="372" t="s">
        <v>6276</v>
      </c>
      <c r="D883" s="374">
        <v>1101114253681</v>
      </c>
      <c r="E883" s="372" t="s">
        <v>6277</v>
      </c>
      <c r="F883" s="375" t="s">
        <v>821</v>
      </c>
      <c r="G883" s="375" t="s">
        <v>16105</v>
      </c>
      <c r="H883" s="375" t="s">
        <v>858</v>
      </c>
      <c r="I883" s="375" t="s">
        <v>859</v>
      </c>
      <c r="J883" s="375">
        <v>118207.14195999999</v>
      </c>
      <c r="K883" s="375">
        <v>11779.380450000001</v>
      </c>
      <c r="L883" s="375">
        <v>12115.73143</v>
      </c>
      <c r="M883" s="375">
        <v>90650.644469999999</v>
      </c>
      <c r="N883" s="372" t="s">
        <v>1023</v>
      </c>
      <c r="O883" s="704">
        <v>9.9586211888468237E-2</v>
      </c>
      <c r="P883" s="375" t="s">
        <v>619</v>
      </c>
      <c r="Q883" s="372" t="s">
        <v>619</v>
      </c>
      <c r="R883" s="696">
        <v>20231018</v>
      </c>
      <c r="S883" s="372" t="s">
        <v>6278</v>
      </c>
      <c r="T883" s="697">
        <v>0.20900000000000002</v>
      </c>
      <c r="U883" s="372" t="s">
        <v>6279</v>
      </c>
      <c r="V883" s="722">
        <v>0</v>
      </c>
      <c r="W883" s="722">
        <v>0</v>
      </c>
      <c r="X883" s="722">
        <v>0</v>
      </c>
      <c r="Y883" s="722">
        <v>0</v>
      </c>
      <c r="Z883" s="382" t="s">
        <v>924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6280</v>
      </c>
      <c r="B884" s="373" t="s">
        <v>6281</v>
      </c>
      <c r="C884" s="372" t="s">
        <v>6282</v>
      </c>
      <c r="D884" s="374">
        <v>1101112085523</v>
      </c>
      <c r="E884" s="372" t="s">
        <v>6283</v>
      </c>
      <c r="F884" s="375" t="s">
        <v>3177</v>
      </c>
      <c r="G884" s="375" t="s">
        <v>16118</v>
      </c>
      <c r="H884" s="375" t="s">
        <v>1334</v>
      </c>
      <c r="I884" s="375" t="s">
        <v>859</v>
      </c>
      <c r="J884" s="375">
        <v>153195.64092999999</v>
      </c>
      <c r="K884" s="375">
        <v>14643.373579999999</v>
      </c>
      <c r="L884" s="375">
        <v>14191.50678</v>
      </c>
      <c r="M884" s="375">
        <v>153756.68022000001</v>
      </c>
      <c r="N884" s="372">
        <v>0.85799999999999998</v>
      </c>
      <c r="O884" s="704">
        <v>9.3024832932200567</v>
      </c>
      <c r="P884" s="375" t="s">
        <v>619</v>
      </c>
      <c r="Q884" s="375" t="s">
        <v>619</v>
      </c>
      <c r="R884" s="696">
        <v>20190712</v>
      </c>
      <c r="S884" s="375" t="s">
        <v>6284</v>
      </c>
      <c r="T884" s="697">
        <v>0.20900000000000002</v>
      </c>
      <c r="U884" s="372" t="s">
        <v>15876</v>
      </c>
      <c r="V884" s="722">
        <v>8.56</v>
      </c>
      <c r="W884" s="722">
        <v>0.93</v>
      </c>
      <c r="X884" s="722">
        <v>1.06</v>
      </c>
      <c r="Y884" s="722">
        <v>12.27</v>
      </c>
      <c r="Z884" s="382">
        <v>5.0578040770738353E-2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1571.8</v>
      </c>
      <c r="AF884" s="372">
        <v>1713.4</v>
      </c>
      <c r="AG884" s="372">
        <v>1864.75</v>
      </c>
      <c r="AH884" s="372">
        <v>0</v>
      </c>
    </row>
    <row r="885" spans="1:34">
      <c r="A885" s="372" t="s">
        <v>6285</v>
      </c>
      <c r="B885" s="373" t="s">
        <v>6286</v>
      </c>
      <c r="C885" s="372" t="s">
        <v>6287</v>
      </c>
      <c r="D885" s="374">
        <v>1101113318387</v>
      </c>
      <c r="E885" s="372" t="s">
        <v>6288</v>
      </c>
      <c r="F885" s="375" t="s">
        <v>2515</v>
      </c>
      <c r="G885" s="375" t="s">
        <v>2515</v>
      </c>
      <c r="H885" s="375" t="s">
        <v>1334</v>
      </c>
      <c r="I885" s="375" t="s">
        <v>859</v>
      </c>
      <c r="J885" s="375">
        <v>128801.82438000001</v>
      </c>
      <c r="K885" s="375">
        <v>21249.528579999998</v>
      </c>
      <c r="L885" s="375">
        <v>18292.91778</v>
      </c>
      <c r="M885" s="375">
        <v>184505.18093</v>
      </c>
      <c r="N885" s="372">
        <v>0.61399999999999999</v>
      </c>
      <c r="O885" s="704">
        <v>1.49893060567256</v>
      </c>
      <c r="P885" s="375" t="s">
        <v>619</v>
      </c>
      <c r="Q885" s="375" t="s">
        <v>619</v>
      </c>
      <c r="R885" s="696">
        <v>20120221</v>
      </c>
      <c r="S885" s="375" t="s">
        <v>6289</v>
      </c>
      <c r="T885" s="697">
        <v>0.20900000000000002</v>
      </c>
      <c r="U885" s="375" t="s">
        <v>15877</v>
      </c>
      <c r="V885" s="722">
        <v>7.55</v>
      </c>
      <c r="W885" s="722">
        <v>0.99</v>
      </c>
      <c r="X885" s="722">
        <v>1.5</v>
      </c>
      <c r="Y885" s="722">
        <v>12.96</v>
      </c>
      <c r="Z885" s="382" t="s">
        <v>924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6290</v>
      </c>
      <c r="B886" s="373" t="s">
        <v>6291</v>
      </c>
      <c r="C886" s="372" t="s">
        <v>6292</v>
      </c>
      <c r="D886" s="374">
        <v>1701110021006</v>
      </c>
      <c r="E886" s="372" t="s">
        <v>6293</v>
      </c>
      <c r="F886" s="375" t="s">
        <v>2989</v>
      </c>
      <c r="G886" s="375" t="s">
        <v>2989</v>
      </c>
      <c r="H886" s="375" t="s">
        <v>858</v>
      </c>
      <c r="I886" s="375" t="s">
        <v>859</v>
      </c>
      <c r="J886" s="375">
        <v>1188520.00881</v>
      </c>
      <c r="K886" s="375">
        <v>50845.315049999997</v>
      </c>
      <c r="L886" s="375">
        <v>67112.220780000003</v>
      </c>
      <c r="M886" s="375">
        <v>763602.60884999996</v>
      </c>
      <c r="N886" s="372">
        <v>0.98499999999999999</v>
      </c>
      <c r="O886" s="704">
        <v>15.42573986288085</v>
      </c>
      <c r="P886" s="375" t="s">
        <v>619</v>
      </c>
      <c r="Q886" s="375" t="s">
        <v>619</v>
      </c>
      <c r="R886" s="696">
        <v>20011211</v>
      </c>
      <c r="S886" s="372" t="s">
        <v>6294</v>
      </c>
      <c r="T886" s="697">
        <v>0.23100000000000001</v>
      </c>
      <c r="U886" s="375" t="s">
        <v>6295</v>
      </c>
      <c r="V886" s="722">
        <v>2.37</v>
      </c>
      <c r="W886" s="722">
        <v>0.27</v>
      </c>
      <c r="X886" s="722">
        <v>0.18</v>
      </c>
      <c r="Y886" s="722">
        <v>3.58</v>
      </c>
      <c r="Z886" s="382">
        <v>6.3538088056523279E-2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12124</v>
      </c>
      <c r="AF886" s="372">
        <v>13343.5</v>
      </c>
      <c r="AG886" s="372">
        <v>14516.5</v>
      </c>
      <c r="AH886" s="372">
        <v>0</v>
      </c>
    </row>
    <row r="887" spans="1:34">
      <c r="A887" s="372" t="s">
        <v>6296</v>
      </c>
      <c r="B887" s="373" t="s">
        <v>6297</v>
      </c>
      <c r="C887" s="372" t="s">
        <v>16075</v>
      </c>
      <c r="D887" s="374">
        <v>1311110033389</v>
      </c>
      <c r="E887" s="372" t="s">
        <v>16076</v>
      </c>
      <c r="F887" s="375" t="s">
        <v>3448</v>
      </c>
      <c r="G887" s="375" t="s">
        <v>3448</v>
      </c>
      <c r="H887" s="375" t="s">
        <v>3096</v>
      </c>
      <c r="I887" s="375" t="s">
        <v>859</v>
      </c>
      <c r="J887" s="375">
        <v>2333.2147799999998</v>
      </c>
      <c r="K887" s="375">
        <v>-2132.3509399999998</v>
      </c>
      <c r="L887" s="375">
        <v>-7782.26944</v>
      </c>
      <c r="M887" s="375">
        <v>8661.6318599999995</v>
      </c>
      <c r="N887" s="372" t="s">
        <v>1023</v>
      </c>
      <c r="O887" s="704">
        <v>1.0566147745291137</v>
      </c>
      <c r="P887" s="375" t="s">
        <v>16112</v>
      </c>
      <c r="Q887" s="372" t="s">
        <v>16113</v>
      </c>
      <c r="R887" s="696">
        <v>20031224</v>
      </c>
      <c r="S887" s="372" t="s">
        <v>3663</v>
      </c>
      <c r="T887" s="697" t="s">
        <v>768</v>
      </c>
      <c r="U887" s="372" t="s">
        <v>6298</v>
      </c>
      <c r="V887" s="722" t="s">
        <v>770</v>
      </c>
      <c r="W887" s="722">
        <v>23.94</v>
      </c>
      <c r="X887" s="722">
        <v>56.87</v>
      </c>
      <c r="Y887" s="722" t="s">
        <v>770</v>
      </c>
      <c r="Z887" s="382" t="s">
        <v>924</v>
      </c>
      <c r="AA887" s="372">
        <v>131.10394239999999</v>
      </c>
      <c r="AB887" s="372">
        <v>181.52724000000001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6299</v>
      </c>
      <c r="B888" s="373" t="s">
        <v>6300</v>
      </c>
      <c r="C888" s="372" t="s">
        <v>6301</v>
      </c>
      <c r="D888" s="374">
        <v>1101114379213</v>
      </c>
      <c r="E888" s="372" t="s">
        <v>6302</v>
      </c>
      <c r="F888" s="375" t="s">
        <v>1052</v>
      </c>
      <c r="G888" s="375" t="s">
        <v>1052</v>
      </c>
      <c r="H888" s="375" t="s">
        <v>858</v>
      </c>
      <c r="I888" s="375" t="s">
        <v>859</v>
      </c>
      <c r="J888" s="375">
        <v>2399.1296900000002</v>
      </c>
      <c r="K888" s="375">
        <v>-15469.50488</v>
      </c>
      <c r="L888" s="375">
        <v>-17827.61735</v>
      </c>
      <c r="M888" s="375">
        <v>23627.771260000001</v>
      </c>
      <c r="N888" s="372">
        <v>1.3759999999999999</v>
      </c>
      <c r="O888" s="704">
        <v>2.5207218687937405</v>
      </c>
      <c r="P888" s="375" t="s">
        <v>619</v>
      </c>
      <c r="Q888" s="375" t="s">
        <v>619</v>
      </c>
      <c r="R888" s="696">
        <v>20170918</v>
      </c>
      <c r="S888" s="375" t="s">
        <v>6303</v>
      </c>
      <c r="T888" s="697" t="s">
        <v>768</v>
      </c>
      <c r="U888" s="372" t="s">
        <v>6304</v>
      </c>
      <c r="V888" s="722">
        <v>0</v>
      </c>
      <c r="W888" s="722">
        <v>0</v>
      </c>
      <c r="X888" s="722">
        <v>0</v>
      </c>
      <c r="Y888" s="722">
        <v>0</v>
      </c>
      <c r="Z888" s="382" t="s">
        <v>924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6305</v>
      </c>
      <c r="B889" s="373" t="s">
        <v>6306</v>
      </c>
      <c r="C889" s="372" t="s">
        <v>15997</v>
      </c>
      <c r="D889" s="374">
        <v>1101114391837</v>
      </c>
      <c r="E889" s="372" t="s">
        <v>15998</v>
      </c>
      <c r="F889" s="372" t="s">
        <v>1367</v>
      </c>
      <c r="G889" s="375" t="s">
        <v>1367</v>
      </c>
      <c r="H889" s="375" t="s">
        <v>858</v>
      </c>
      <c r="I889" s="375" t="s">
        <v>859</v>
      </c>
      <c r="J889" s="375">
        <v>20726.478899999998</v>
      </c>
      <c r="K889" s="375">
        <v>-3475.6305900000002</v>
      </c>
      <c r="L889" s="375">
        <v>-5130.4833399999998</v>
      </c>
      <c r="M889" s="375">
        <v>23734.86205</v>
      </c>
      <c r="N889" s="372">
        <v>1.0349999999999999</v>
      </c>
      <c r="O889" s="704">
        <v>3.6830238176807</v>
      </c>
      <c r="P889" s="375" t="s">
        <v>619</v>
      </c>
      <c r="Q889" s="372" t="s">
        <v>619</v>
      </c>
      <c r="R889" s="696">
        <v>20210203</v>
      </c>
      <c r="S889" s="372" t="s">
        <v>6307</v>
      </c>
      <c r="T889" s="697" t="s">
        <v>768</v>
      </c>
      <c r="U889" s="372" t="s">
        <v>6308</v>
      </c>
      <c r="V889" s="722" t="s">
        <v>770</v>
      </c>
      <c r="W889" s="722">
        <v>9.6300000000000008</v>
      </c>
      <c r="X889" s="722">
        <v>9.82</v>
      </c>
      <c r="Y889" s="722" t="s">
        <v>770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6309</v>
      </c>
      <c r="B890" s="373" t="s">
        <v>6310</v>
      </c>
      <c r="C890" s="372" t="s">
        <v>6311</v>
      </c>
      <c r="D890" s="374">
        <v>1301110064351</v>
      </c>
      <c r="E890" s="372" t="s">
        <v>6312</v>
      </c>
      <c r="F890" s="375" t="s">
        <v>1573</v>
      </c>
      <c r="G890" s="375" t="s">
        <v>6313</v>
      </c>
      <c r="H890" s="375" t="s">
        <v>858</v>
      </c>
      <c r="I890" s="375" t="s">
        <v>859</v>
      </c>
      <c r="J890" s="375">
        <v>563352.78550999996</v>
      </c>
      <c r="K890" s="375">
        <v>11191.817300000001</v>
      </c>
      <c r="L890" s="375">
        <v>-5774.7907999999998</v>
      </c>
      <c r="M890" s="375">
        <v>197023.44263999999</v>
      </c>
      <c r="N890" s="372">
        <v>0.65100000000000002</v>
      </c>
      <c r="O890" s="704">
        <v>79.511278623342889</v>
      </c>
      <c r="P890" s="375" t="s">
        <v>619</v>
      </c>
      <c r="Q890" s="375" t="s">
        <v>619</v>
      </c>
      <c r="R890" s="696">
        <v>20151229</v>
      </c>
      <c r="S890" s="375" t="s">
        <v>6314</v>
      </c>
      <c r="T890" s="697" t="s">
        <v>768</v>
      </c>
      <c r="U890" s="372" t="s">
        <v>6315</v>
      </c>
      <c r="V890" s="722">
        <v>14.7</v>
      </c>
      <c r="W890" s="722">
        <v>1</v>
      </c>
      <c r="X890" s="722">
        <v>0.33</v>
      </c>
      <c r="Y890" s="722" t="s">
        <v>770</v>
      </c>
      <c r="Z890" s="382" t="s">
        <v>924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6316</v>
      </c>
      <c r="B891" s="373" t="s">
        <v>6317</v>
      </c>
      <c r="C891" s="372" t="s">
        <v>6318</v>
      </c>
      <c r="D891" s="374">
        <v>1101110290778</v>
      </c>
      <c r="E891" s="372" t="s">
        <v>6319</v>
      </c>
      <c r="F891" s="375" t="s">
        <v>2622</v>
      </c>
      <c r="G891" s="375" t="s">
        <v>2623</v>
      </c>
      <c r="H891" s="375" t="s">
        <v>814</v>
      </c>
      <c r="I891" s="375" t="s">
        <v>751</v>
      </c>
      <c r="J891" s="375">
        <v>1412122.5120000001</v>
      </c>
      <c r="K891" s="375">
        <v>37823.053999999996</v>
      </c>
      <c r="L891" s="375">
        <v>34315.298999999999</v>
      </c>
      <c r="M891" s="375">
        <v>485603.22700000001</v>
      </c>
      <c r="N891" s="372">
        <v>0.40400000000000003</v>
      </c>
      <c r="O891" s="704">
        <v>119.40425958750704</v>
      </c>
      <c r="P891" s="375" t="s">
        <v>619</v>
      </c>
      <c r="Q891" s="375" t="s">
        <v>619</v>
      </c>
      <c r="R891" s="696">
        <v>19961224</v>
      </c>
      <c r="S891" s="375" t="s">
        <v>2635</v>
      </c>
      <c r="T891" s="697">
        <v>0.23100000000000001</v>
      </c>
      <c r="U891" s="372" t="s">
        <v>6320</v>
      </c>
      <c r="V891" s="722">
        <v>4.82</v>
      </c>
      <c r="W891" s="722">
        <v>0.51</v>
      </c>
      <c r="X891" s="722">
        <v>0.19</v>
      </c>
      <c r="Y891" s="722">
        <v>18.100000000000001</v>
      </c>
      <c r="Z891" s="382" t="s">
        <v>924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6321</v>
      </c>
      <c r="B892" s="373" t="s">
        <v>6322</v>
      </c>
      <c r="C892" s="372" t="s">
        <v>6323</v>
      </c>
      <c r="D892" s="374">
        <v>1101110939326</v>
      </c>
      <c r="E892" s="372" t="s">
        <v>6324</v>
      </c>
      <c r="F892" s="375" t="s">
        <v>5275</v>
      </c>
      <c r="G892" s="375" t="s">
        <v>5275</v>
      </c>
      <c r="H892" s="375" t="s">
        <v>858</v>
      </c>
      <c r="I892" s="375" t="s">
        <v>859</v>
      </c>
      <c r="J892" s="375">
        <v>85617.676019999999</v>
      </c>
      <c r="K892" s="375">
        <v>2552.1877399999998</v>
      </c>
      <c r="L892" s="375">
        <v>874.56628000000001</v>
      </c>
      <c r="M892" s="375">
        <v>58623.70306</v>
      </c>
      <c r="N892" s="372" t="s">
        <v>1023</v>
      </c>
      <c r="O892" s="704">
        <v>21.434080787782499</v>
      </c>
      <c r="P892" s="375" t="s">
        <v>619</v>
      </c>
      <c r="Q892" s="372" t="s">
        <v>619</v>
      </c>
      <c r="R892" s="696">
        <v>19971103</v>
      </c>
      <c r="S892" s="372" t="s">
        <v>6325</v>
      </c>
      <c r="T892" s="697">
        <v>0.20900000000000002</v>
      </c>
      <c r="U892" s="372" t="s">
        <v>6326</v>
      </c>
      <c r="V892" s="722">
        <v>14.16</v>
      </c>
      <c r="W892" s="722">
        <v>1.06</v>
      </c>
      <c r="X892" s="722">
        <v>0.72</v>
      </c>
      <c r="Y892" s="722">
        <v>74.849999999999994</v>
      </c>
      <c r="Z892" s="382" t="s">
        <v>924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6327</v>
      </c>
      <c r="B893" s="373" t="s">
        <v>6328</v>
      </c>
      <c r="C893" s="372" t="s">
        <v>6329</v>
      </c>
      <c r="D893" s="374">
        <v>1101115535038</v>
      </c>
      <c r="E893" s="372" t="s">
        <v>6330</v>
      </c>
      <c r="F893" s="375" t="s">
        <v>3177</v>
      </c>
      <c r="G893" s="375" t="s">
        <v>3178</v>
      </c>
      <c r="H893" s="375" t="s">
        <v>1334</v>
      </c>
      <c r="I893" s="375" t="s">
        <v>859</v>
      </c>
      <c r="J893" s="375">
        <v>68764.187049999993</v>
      </c>
      <c r="K893" s="375">
        <v>-12053.48798</v>
      </c>
      <c r="L893" s="375">
        <v>-22351.572240000001</v>
      </c>
      <c r="M893" s="375">
        <v>67582.965809999994</v>
      </c>
      <c r="N893" s="372">
        <v>0.627</v>
      </c>
      <c r="O893" s="704">
        <v>9.8058548475859659</v>
      </c>
      <c r="P893" s="375" t="s">
        <v>619</v>
      </c>
      <c r="Q893" s="372" t="s">
        <v>619</v>
      </c>
      <c r="R893" s="696">
        <v>20141212</v>
      </c>
      <c r="S893" s="372" t="s">
        <v>6331</v>
      </c>
      <c r="T893" s="697" t="s">
        <v>768</v>
      </c>
      <c r="U893" s="372" t="s">
        <v>6332</v>
      </c>
      <c r="V893" s="722" t="s">
        <v>770</v>
      </c>
      <c r="W893" s="722">
        <v>1.7</v>
      </c>
      <c r="X893" s="722">
        <v>1.68</v>
      </c>
      <c r="Y893" s="722" t="s">
        <v>770</v>
      </c>
      <c r="Z893" s="382" t="s">
        <v>924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774</v>
      </c>
      <c r="AF893" s="372">
        <v>866</v>
      </c>
      <c r="AG893" s="372">
        <v>0</v>
      </c>
      <c r="AH893" s="372">
        <v>0</v>
      </c>
    </row>
    <row r="894" spans="1:34">
      <c r="A894" s="372" t="s">
        <v>6333</v>
      </c>
      <c r="B894" s="373" t="s">
        <v>6334</v>
      </c>
      <c r="C894" s="372" t="s">
        <v>6335</v>
      </c>
      <c r="D894" s="374">
        <v>1311110030335</v>
      </c>
      <c r="E894" s="372" t="s">
        <v>6336</v>
      </c>
      <c r="F894" s="375" t="s">
        <v>1182</v>
      </c>
      <c r="G894" s="375" t="s">
        <v>3112</v>
      </c>
      <c r="H894" s="375" t="s">
        <v>858</v>
      </c>
      <c r="I894" s="375" t="s">
        <v>859</v>
      </c>
      <c r="J894" s="375">
        <v>105048.15829000001</v>
      </c>
      <c r="K894" s="375">
        <v>-66637.897899999996</v>
      </c>
      <c r="L894" s="375">
        <v>8909.3289700000005</v>
      </c>
      <c r="M894" s="375">
        <v>286300.85794000002</v>
      </c>
      <c r="N894" s="372">
        <v>1.0049999999999999</v>
      </c>
      <c r="O894" s="704">
        <v>20.871805309199555</v>
      </c>
      <c r="P894" s="375" t="s">
        <v>619</v>
      </c>
      <c r="Q894" s="375" t="s">
        <v>619</v>
      </c>
      <c r="R894" s="696">
        <v>20041206</v>
      </c>
      <c r="S894" s="375" t="s">
        <v>6337</v>
      </c>
      <c r="T894" s="697">
        <v>0.20900000000000002</v>
      </c>
      <c r="U894" s="375" t="s">
        <v>6338</v>
      </c>
      <c r="V894" s="722" t="s">
        <v>770</v>
      </c>
      <c r="W894" s="722">
        <v>0.82</v>
      </c>
      <c r="X894" s="722">
        <v>2.29</v>
      </c>
      <c r="Y894" s="722">
        <v>10.4</v>
      </c>
      <c r="Z894" s="382" t="s">
        <v>924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1680</v>
      </c>
      <c r="AF894" s="372">
        <v>2348</v>
      </c>
      <c r="AG894" s="372">
        <v>0</v>
      </c>
      <c r="AH894" s="372">
        <v>0</v>
      </c>
    </row>
    <row r="895" spans="1:34">
      <c r="A895" s="372" t="s">
        <v>6339</v>
      </c>
      <c r="B895" s="373" t="s">
        <v>6340</v>
      </c>
      <c r="C895" s="372" t="s">
        <v>6341</v>
      </c>
      <c r="D895" s="374">
        <v>1501110120399</v>
      </c>
      <c r="E895" s="372" t="s">
        <v>6342</v>
      </c>
      <c r="F895" s="375" t="s">
        <v>2219</v>
      </c>
      <c r="G895" s="375" t="s">
        <v>2219</v>
      </c>
      <c r="H895" s="375" t="s">
        <v>858</v>
      </c>
      <c r="I895" s="375" t="s">
        <v>859</v>
      </c>
      <c r="J895" s="375">
        <v>291968.55789</v>
      </c>
      <c r="K895" s="375">
        <v>22089.997200000002</v>
      </c>
      <c r="L895" s="375">
        <v>22347.027719999998</v>
      </c>
      <c r="M895" s="375">
        <v>211334.44177999999</v>
      </c>
      <c r="N895" s="372">
        <v>0.54300000000000004</v>
      </c>
      <c r="O895" s="704">
        <v>18.8279821752059</v>
      </c>
      <c r="P895" s="375" t="s">
        <v>619</v>
      </c>
      <c r="Q895" s="375" t="s">
        <v>619</v>
      </c>
      <c r="R895" s="696">
        <v>20181114</v>
      </c>
      <c r="S895" s="375" t="s">
        <v>6343</v>
      </c>
      <c r="T895" s="697">
        <v>0.23100000000000001</v>
      </c>
      <c r="U895" s="375" t="s">
        <v>6344</v>
      </c>
      <c r="V895" s="722">
        <v>6.14</v>
      </c>
      <c r="W895" s="722">
        <v>0.87</v>
      </c>
      <c r="X895" s="722">
        <v>0.63</v>
      </c>
      <c r="Y895" s="722">
        <v>9.82</v>
      </c>
      <c r="Z895" s="382">
        <v>2.9930363498426704E-2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3064</v>
      </c>
      <c r="AF895" s="372">
        <v>3318</v>
      </c>
      <c r="AG895" s="372">
        <v>3400</v>
      </c>
      <c r="AH895" s="372">
        <v>0</v>
      </c>
    </row>
    <row r="896" spans="1:34">
      <c r="A896" s="372" t="s">
        <v>6345</v>
      </c>
      <c r="B896" s="373" t="s">
        <v>6346</v>
      </c>
      <c r="C896" s="372" t="s">
        <v>6347</v>
      </c>
      <c r="D896" s="374">
        <v>1201110397241</v>
      </c>
      <c r="E896" s="372" t="s">
        <v>6348</v>
      </c>
      <c r="F896" s="372" t="s">
        <v>2831</v>
      </c>
      <c r="G896" s="375" t="s">
        <v>2831</v>
      </c>
      <c r="H896" s="375" t="s">
        <v>858</v>
      </c>
      <c r="I896" s="375" t="s">
        <v>859</v>
      </c>
      <c r="J896" s="375">
        <v>130348.84376</v>
      </c>
      <c r="K896" s="375">
        <v>-40013.823109999998</v>
      </c>
      <c r="L896" s="375">
        <v>-47647.812870000002</v>
      </c>
      <c r="M896" s="375">
        <v>30693.275239999999</v>
      </c>
      <c r="N896" s="372">
        <v>0.55600000000000005</v>
      </c>
      <c r="O896" s="704">
        <v>81.270877773580239</v>
      </c>
      <c r="P896" s="375" t="s">
        <v>619</v>
      </c>
      <c r="Q896" s="375" t="s">
        <v>619</v>
      </c>
      <c r="R896" s="696">
        <v>20060327</v>
      </c>
      <c r="S896" s="375" t="s">
        <v>6349</v>
      </c>
      <c r="T896" s="697" t="s">
        <v>768</v>
      </c>
      <c r="U896" s="372" t="s">
        <v>6350</v>
      </c>
      <c r="V896" s="722" t="s">
        <v>770</v>
      </c>
      <c r="W896" s="722">
        <v>4.12</v>
      </c>
      <c r="X896" s="722">
        <v>0.61</v>
      </c>
      <c r="Y896" s="722" t="s">
        <v>770</v>
      </c>
      <c r="Z896" s="382" t="s">
        <v>924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6351</v>
      </c>
      <c r="B897" s="373" t="s">
        <v>6352</v>
      </c>
      <c r="C897" s="372" t="s">
        <v>6353</v>
      </c>
      <c r="D897" s="374">
        <v>1545110029242</v>
      </c>
      <c r="E897" s="372" t="s">
        <v>6354</v>
      </c>
      <c r="F897" s="372" t="s">
        <v>1354</v>
      </c>
      <c r="G897" s="375" t="s">
        <v>1354</v>
      </c>
      <c r="H897" s="375" t="s">
        <v>823</v>
      </c>
      <c r="I897" s="375" t="s">
        <v>751</v>
      </c>
      <c r="J897" s="375">
        <v>148502.64485000001</v>
      </c>
      <c r="K897" s="375">
        <v>-3512.2552300000002</v>
      </c>
      <c r="L897" s="375">
        <v>8296.6366999999991</v>
      </c>
      <c r="M897" s="375">
        <v>535724.21704000002</v>
      </c>
      <c r="N897" s="372">
        <v>1.1539999999999999</v>
      </c>
      <c r="O897" s="704">
        <v>9.3665469169567235</v>
      </c>
      <c r="P897" s="375" t="s">
        <v>619</v>
      </c>
      <c r="Q897" s="372" t="s">
        <v>619</v>
      </c>
      <c r="R897" s="696">
        <v>20041222</v>
      </c>
      <c r="S897" s="372" t="s">
        <v>6355</v>
      </c>
      <c r="T897" s="697">
        <v>0.20900000000000002</v>
      </c>
      <c r="U897" s="372" t="s">
        <v>6356</v>
      </c>
      <c r="V897" s="722">
        <v>44.85</v>
      </c>
      <c r="W897" s="722">
        <v>0.46</v>
      </c>
      <c r="X897" s="722">
        <v>1.26</v>
      </c>
      <c r="Y897" s="722">
        <v>21.21</v>
      </c>
      <c r="Z897" s="382" t="s">
        <v>924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6357</v>
      </c>
      <c r="B898" s="373" t="s">
        <v>6358</v>
      </c>
      <c r="C898" s="372" t="s">
        <v>6359</v>
      </c>
      <c r="D898" s="374">
        <v>1101112559411</v>
      </c>
      <c r="E898" s="372" t="s">
        <v>6360</v>
      </c>
      <c r="F898" s="375" t="s">
        <v>6361</v>
      </c>
      <c r="G898" s="375" t="s">
        <v>6361</v>
      </c>
      <c r="H898" s="375" t="s">
        <v>814</v>
      </c>
      <c r="I898" s="375" t="s">
        <v>751</v>
      </c>
      <c r="J898" s="375">
        <v>40879.939729999998</v>
      </c>
      <c r="K898" s="375">
        <v>-756.90156999999999</v>
      </c>
      <c r="L898" s="375">
        <v>8994.4415800000006</v>
      </c>
      <c r="M898" s="375">
        <v>174442.97289999999</v>
      </c>
      <c r="N898" s="372">
        <v>0.67300000000000004</v>
      </c>
      <c r="O898" s="704">
        <v>7.9927427356484768E-2</v>
      </c>
      <c r="P898" s="375" t="s">
        <v>619</v>
      </c>
      <c r="Q898" s="375" t="s">
        <v>619</v>
      </c>
      <c r="R898" s="696">
        <v>20020805</v>
      </c>
      <c r="S898" s="375" t="s">
        <v>6362</v>
      </c>
      <c r="T898" s="697">
        <v>0.20900000000000002</v>
      </c>
      <c r="U898" s="372" t="s">
        <v>6363</v>
      </c>
      <c r="V898" s="722">
        <v>0</v>
      </c>
      <c r="W898" s="722">
        <v>0</v>
      </c>
      <c r="X898" s="722">
        <v>0</v>
      </c>
      <c r="Y898" s="722">
        <v>0</v>
      </c>
      <c r="Z898" s="382" t="s">
        <v>924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6364</v>
      </c>
      <c r="B899" s="373" t="s">
        <v>6365</v>
      </c>
      <c r="C899" s="372" t="s">
        <v>6366</v>
      </c>
      <c r="D899" s="374">
        <v>1101114045848</v>
      </c>
      <c r="E899" s="372" t="s">
        <v>6367</v>
      </c>
      <c r="F899" s="375" t="s">
        <v>5511</v>
      </c>
      <c r="G899" s="375" t="s">
        <v>5511</v>
      </c>
      <c r="H899" s="375" t="s">
        <v>858</v>
      </c>
      <c r="I899" s="375" t="s">
        <v>859</v>
      </c>
      <c r="J899" s="375">
        <v>469299.19912</v>
      </c>
      <c r="K899" s="375">
        <v>25833.868210000001</v>
      </c>
      <c r="L899" s="375">
        <v>36785.503490000003</v>
      </c>
      <c r="M899" s="375">
        <v>488589.70288</v>
      </c>
      <c r="N899" s="372">
        <v>0.71299999999999997</v>
      </c>
      <c r="O899" s="704">
        <v>1.7391664997839891</v>
      </c>
      <c r="P899" s="375" t="s">
        <v>619</v>
      </c>
      <c r="Q899" s="372" t="s">
        <v>619</v>
      </c>
      <c r="R899" s="696">
        <v>20141105</v>
      </c>
      <c r="S899" s="372" t="s">
        <v>6368</v>
      </c>
      <c r="T899" s="697">
        <v>0.23100000000000001</v>
      </c>
      <c r="U899" s="372" t="s">
        <v>6369</v>
      </c>
      <c r="V899" s="722">
        <v>3.84</v>
      </c>
      <c r="W899" s="722">
        <v>0.28999999999999998</v>
      </c>
      <c r="X899" s="722">
        <v>0.3</v>
      </c>
      <c r="Y899" s="722">
        <v>5.32</v>
      </c>
      <c r="Z899" s="382" t="s">
        <v>924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4630</v>
      </c>
      <c r="AF899" s="372">
        <v>4840</v>
      </c>
      <c r="AG899" s="372">
        <v>0</v>
      </c>
      <c r="AH899" s="372">
        <v>0</v>
      </c>
    </row>
    <row r="900" spans="1:34">
      <c r="A900" s="372" t="s">
        <v>6370</v>
      </c>
      <c r="B900" s="373" t="s">
        <v>6371</v>
      </c>
      <c r="C900" s="372" t="s">
        <v>6372</v>
      </c>
      <c r="D900" s="374">
        <v>1101110191562</v>
      </c>
      <c r="E900" s="372" t="s">
        <v>6373</v>
      </c>
      <c r="F900" s="372" t="s">
        <v>1246</v>
      </c>
      <c r="G900" s="375" t="s">
        <v>1246</v>
      </c>
      <c r="H900" s="375" t="s">
        <v>781</v>
      </c>
      <c r="I900" s="375" t="s">
        <v>751</v>
      </c>
      <c r="J900" s="375">
        <v>37969.421719999998</v>
      </c>
      <c r="K900" s="375">
        <v>-44450.147830000002</v>
      </c>
      <c r="L900" s="375">
        <v>-72557.203380000006</v>
      </c>
      <c r="M900" s="375">
        <v>88279.389169999995</v>
      </c>
      <c r="N900" s="372">
        <v>0.49299999999999999</v>
      </c>
      <c r="O900" s="704">
        <v>11.684091520421674</v>
      </c>
      <c r="P900" s="375" t="s">
        <v>619</v>
      </c>
      <c r="Q900" s="375" t="s">
        <v>619</v>
      </c>
      <c r="R900" s="696">
        <v>19871116</v>
      </c>
      <c r="S900" s="375" t="s">
        <v>6374</v>
      </c>
      <c r="T900" s="697" t="s">
        <v>768</v>
      </c>
      <c r="U900" s="375" t="s">
        <v>6375</v>
      </c>
      <c r="V900" s="722" t="s">
        <v>770</v>
      </c>
      <c r="W900" s="722">
        <v>2.29</v>
      </c>
      <c r="X900" s="722">
        <v>5.46</v>
      </c>
      <c r="Y900" s="722" t="s">
        <v>770</v>
      </c>
      <c r="Z900" s="382" t="s">
        <v>924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6376</v>
      </c>
      <c r="B901" s="373" t="s">
        <v>6377</v>
      </c>
      <c r="C901" s="372" t="s">
        <v>6378</v>
      </c>
      <c r="D901" s="374">
        <v>1101116250940</v>
      </c>
      <c r="E901" s="372" t="s">
        <v>6379</v>
      </c>
      <c r="F901" s="375" t="s">
        <v>1113</v>
      </c>
      <c r="G901" s="375" t="s">
        <v>1333</v>
      </c>
      <c r="H901" s="375" t="s">
        <v>1334</v>
      </c>
      <c r="I901" s="375" t="s">
        <v>859</v>
      </c>
      <c r="J901" s="375">
        <v>7670.6927800000003</v>
      </c>
      <c r="K901" s="375">
        <v>-18082.430380000002</v>
      </c>
      <c r="L901" s="375">
        <v>-22390.388940000001</v>
      </c>
      <c r="M901" s="375">
        <v>44143.617539999999</v>
      </c>
      <c r="N901" s="372">
        <v>0.78800000000000003</v>
      </c>
      <c r="O901" s="704">
        <v>28.198946566591086</v>
      </c>
      <c r="P901" s="375" t="s">
        <v>619</v>
      </c>
      <c r="Q901" s="375" t="s">
        <v>619</v>
      </c>
      <c r="R901" s="696">
        <v>20191122</v>
      </c>
      <c r="S901" s="375" t="s">
        <v>6380</v>
      </c>
      <c r="T901" s="697" t="s">
        <v>768</v>
      </c>
      <c r="U901" s="372" t="s">
        <v>6381</v>
      </c>
      <c r="V901" s="722" t="s">
        <v>770</v>
      </c>
      <c r="W901" s="722">
        <v>4.18</v>
      </c>
      <c r="X901" s="722">
        <v>24</v>
      </c>
      <c r="Y901" s="722" t="s">
        <v>770</v>
      </c>
      <c r="Z901" s="382" t="s">
        <v>924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6382</v>
      </c>
      <c r="B902" s="373" t="s">
        <v>6383</v>
      </c>
      <c r="C902" s="372" t="s">
        <v>6384</v>
      </c>
      <c r="D902" s="374">
        <v>1101117608502</v>
      </c>
      <c r="E902" s="372" t="s">
        <v>6385</v>
      </c>
      <c r="F902" s="375" t="s">
        <v>890</v>
      </c>
      <c r="G902" s="375" t="s">
        <v>891</v>
      </c>
      <c r="H902" s="375" t="s">
        <v>852</v>
      </c>
      <c r="I902" s="375" t="s">
        <v>751</v>
      </c>
      <c r="J902" s="375">
        <v>321938.32326999999</v>
      </c>
      <c r="K902" s="375">
        <v>-379337.19169000001</v>
      </c>
      <c r="L902" s="375">
        <v>-687112.24815999996</v>
      </c>
      <c r="M902" s="375">
        <v>901750.55374</v>
      </c>
      <c r="N902" s="372">
        <v>0.68300000000000005</v>
      </c>
      <c r="O902" s="704">
        <v>560.53821937336102</v>
      </c>
      <c r="P902" s="375" t="s">
        <v>619</v>
      </c>
      <c r="Q902" s="372" t="s">
        <v>619</v>
      </c>
      <c r="R902" s="696">
        <v>20200922</v>
      </c>
      <c r="S902" s="372" t="s">
        <v>2635</v>
      </c>
      <c r="T902" s="697" t="s">
        <v>768</v>
      </c>
      <c r="U902" s="372" t="s">
        <v>6386</v>
      </c>
      <c r="V902" s="722" t="s">
        <v>770</v>
      </c>
      <c r="W902" s="722">
        <v>0.2</v>
      </c>
      <c r="X902" s="722">
        <v>0.56999999999999995</v>
      </c>
      <c r="Y902" s="722" t="s">
        <v>770</v>
      </c>
      <c r="Z902" s="382" t="s">
        <v>924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6387</v>
      </c>
      <c r="B903" s="373" t="s">
        <v>6388</v>
      </c>
      <c r="C903" s="372" t="s">
        <v>6389</v>
      </c>
      <c r="D903" s="374">
        <v>1741110000618</v>
      </c>
      <c r="E903" s="372" t="s">
        <v>6390</v>
      </c>
      <c r="F903" s="375" t="s">
        <v>7209</v>
      </c>
      <c r="G903" s="375" t="s">
        <v>16119</v>
      </c>
      <c r="H903" s="375" t="s">
        <v>3954</v>
      </c>
      <c r="I903" s="375" t="s">
        <v>751</v>
      </c>
      <c r="J903" s="375">
        <v>809667.02127999999</v>
      </c>
      <c r="K903" s="375">
        <v>34734.390339999998</v>
      </c>
      <c r="L903" s="375">
        <v>-6564.8947099999996</v>
      </c>
      <c r="M903" s="375">
        <v>450210.84869000001</v>
      </c>
      <c r="N903" s="372">
        <v>0.67600000000000005</v>
      </c>
      <c r="O903" s="704">
        <v>108.79452768817559</v>
      </c>
      <c r="P903" s="375" t="s">
        <v>619</v>
      </c>
      <c r="Q903" s="372" t="s">
        <v>619</v>
      </c>
      <c r="R903" s="696">
        <v>19960703</v>
      </c>
      <c r="S903" s="372" t="s">
        <v>6391</v>
      </c>
      <c r="T903" s="697" t="s">
        <v>768</v>
      </c>
      <c r="U903" s="375" t="s">
        <v>6392</v>
      </c>
      <c r="V903" s="722">
        <v>8.26</v>
      </c>
      <c r="W903" s="722">
        <v>0.45</v>
      </c>
      <c r="X903" s="722">
        <v>0.25</v>
      </c>
      <c r="Y903" s="722" t="s">
        <v>770</v>
      </c>
      <c r="Z903" s="382" t="s">
        <v>924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6393</v>
      </c>
      <c r="B904" s="373" t="s">
        <v>6394</v>
      </c>
      <c r="C904" s="372" t="s">
        <v>6395</v>
      </c>
      <c r="D904" s="374">
        <v>1311110237931</v>
      </c>
      <c r="E904" s="372" t="s">
        <v>6396</v>
      </c>
      <c r="F904" s="375" t="s">
        <v>821</v>
      </c>
      <c r="G904" s="375" t="s">
        <v>16105</v>
      </c>
      <c r="H904" s="375" t="s">
        <v>858</v>
      </c>
      <c r="I904" s="375" t="s">
        <v>859</v>
      </c>
      <c r="J904" s="375">
        <v>37048.472750000001</v>
      </c>
      <c r="K904" s="375">
        <v>4668.2289700000001</v>
      </c>
      <c r="L904" s="375">
        <v>4728.1929600000003</v>
      </c>
      <c r="M904" s="375">
        <v>52244.742250000003</v>
      </c>
      <c r="N904" s="372">
        <v>0.625</v>
      </c>
      <c r="O904" s="704">
        <v>15.71130105872521</v>
      </c>
      <c r="P904" s="375" t="s">
        <v>619</v>
      </c>
      <c r="Q904" s="375" t="s">
        <v>619</v>
      </c>
      <c r="R904" s="696">
        <v>20160816</v>
      </c>
      <c r="S904" s="375" t="s">
        <v>6397</v>
      </c>
      <c r="T904" s="697">
        <v>0.20900000000000002</v>
      </c>
      <c r="U904" s="372" t="s">
        <v>6398</v>
      </c>
      <c r="V904" s="722">
        <v>0</v>
      </c>
      <c r="W904" s="722">
        <v>0</v>
      </c>
      <c r="X904" s="722">
        <v>0</v>
      </c>
      <c r="Y904" s="722">
        <v>0</v>
      </c>
      <c r="Z904" s="382" t="s">
        <v>924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6399</v>
      </c>
      <c r="B905" s="373" t="s">
        <v>6400</v>
      </c>
      <c r="C905" s="372" t="s">
        <v>6401</v>
      </c>
      <c r="D905" s="374">
        <v>1101111911050</v>
      </c>
      <c r="E905" s="372" t="s">
        <v>6402</v>
      </c>
      <c r="F905" s="375" t="s">
        <v>1367</v>
      </c>
      <c r="G905" s="375" t="s">
        <v>1367</v>
      </c>
      <c r="H905" s="375" t="s">
        <v>858</v>
      </c>
      <c r="I905" s="375" t="s">
        <v>859</v>
      </c>
      <c r="J905" s="375">
        <v>287220.71885</v>
      </c>
      <c r="K905" s="375">
        <v>10678.251109999999</v>
      </c>
      <c r="L905" s="375">
        <v>35009.65612</v>
      </c>
      <c r="M905" s="375">
        <v>344873.00169</v>
      </c>
      <c r="N905" s="372">
        <v>0.78300000000000003</v>
      </c>
      <c r="O905" s="704">
        <v>33.863526400881369</v>
      </c>
      <c r="P905" s="375" t="s">
        <v>619</v>
      </c>
      <c r="Q905" s="372" t="s">
        <v>619</v>
      </c>
      <c r="R905" s="696">
        <v>20041210</v>
      </c>
      <c r="S905" s="372" t="s">
        <v>6403</v>
      </c>
      <c r="T905" s="697">
        <v>0.23100000000000001</v>
      </c>
      <c r="U905" s="372" t="s">
        <v>6404</v>
      </c>
      <c r="V905" s="722">
        <v>9.61</v>
      </c>
      <c r="W905" s="722">
        <v>0.5</v>
      </c>
      <c r="X905" s="722">
        <v>0.61</v>
      </c>
      <c r="Y905" s="722">
        <v>6.42</v>
      </c>
      <c r="Z905" s="382">
        <v>5.2285881806055423E-2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3187</v>
      </c>
      <c r="AF905" s="372">
        <v>3202</v>
      </c>
      <c r="AG905" s="372">
        <v>3428</v>
      </c>
      <c r="AH905" s="372">
        <v>0</v>
      </c>
    </row>
    <row r="906" spans="1:34">
      <c r="A906" s="372" t="s">
        <v>6405</v>
      </c>
      <c r="B906" s="373" t="s">
        <v>6406</v>
      </c>
      <c r="C906" s="372" t="s">
        <v>6407</v>
      </c>
      <c r="D906" s="374">
        <v>1701110179623</v>
      </c>
      <c r="E906" s="372" t="s">
        <v>6408</v>
      </c>
      <c r="F906" s="375" t="s">
        <v>1174</v>
      </c>
      <c r="G906" s="375" t="s">
        <v>1175</v>
      </c>
      <c r="H906" s="375" t="s">
        <v>858</v>
      </c>
      <c r="I906" s="375" t="s">
        <v>859</v>
      </c>
      <c r="J906" s="375">
        <v>87006.771470000007</v>
      </c>
      <c r="K906" s="375">
        <v>9737.4748099999997</v>
      </c>
      <c r="L906" s="375">
        <v>11435.453369999999</v>
      </c>
      <c r="M906" s="375">
        <v>151040.12075</v>
      </c>
      <c r="N906" s="372">
        <v>0.86299999999999999</v>
      </c>
      <c r="O906" s="704">
        <v>0</v>
      </c>
      <c r="P906" s="375" t="s">
        <v>619</v>
      </c>
      <c r="Q906" s="375" t="s">
        <v>619</v>
      </c>
      <c r="R906" s="696">
        <v>20121106</v>
      </c>
      <c r="S906" s="372" t="s">
        <v>6409</v>
      </c>
      <c r="T906" s="697">
        <v>0.20900000000000002</v>
      </c>
      <c r="U906" s="372" t="s">
        <v>6410</v>
      </c>
      <c r="V906" s="722">
        <v>0</v>
      </c>
      <c r="W906" s="722">
        <v>0</v>
      </c>
      <c r="X906" s="722">
        <v>0</v>
      </c>
      <c r="Y906" s="722">
        <v>0</v>
      </c>
      <c r="Z906" s="382" t="s">
        <v>924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6411</v>
      </c>
      <c r="B907" s="373" t="s">
        <v>6412</v>
      </c>
      <c r="C907" s="372" t="s">
        <v>6413</v>
      </c>
      <c r="D907" s="374">
        <v>1101110086169</v>
      </c>
      <c r="E907" s="372" t="s">
        <v>6414</v>
      </c>
      <c r="F907" s="375" t="s">
        <v>890</v>
      </c>
      <c r="G907" s="375" t="s">
        <v>891</v>
      </c>
      <c r="H907" s="375" t="s">
        <v>892</v>
      </c>
      <c r="I907" s="375" t="s">
        <v>859</v>
      </c>
      <c r="J907" s="375">
        <v>383563.23454999999</v>
      </c>
      <c r="K907" s="375">
        <v>35794.096140000001</v>
      </c>
      <c r="L907" s="375">
        <v>36937.715459999999</v>
      </c>
      <c r="M907" s="375">
        <v>394674.31001999998</v>
      </c>
      <c r="N907" s="372">
        <v>0.59899999999999998</v>
      </c>
      <c r="O907" s="704">
        <v>22.890507286661631</v>
      </c>
      <c r="P907" s="375" t="s">
        <v>619</v>
      </c>
      <c r="Q907" s="375" t="s">
        <v>619</v>
      </c>
      <c r="R907" s="696">
        <v>20000801</v>
      </c>
      <c r="S907" s="375" t="s">
        <v>6415</v>
      </c>
      <c r="T907" s="697">
        <v>0.23100000000000001</v>
      </c>
      <c r="U907" s="372" t="s">
        <v>6416</v>
      </c>
      <c r="V907" s="722">
        <v>6.37</v>
      </c>
      <c r="W907" s="722">
        <v>0.85</v>
      </c>
      <c r="X907" s="722">
        <v>0.5</v>
      </c>
      <c r="Y907" s="722">
        <v>204.82</v>
      </c>
      <c r="Z907" s="382" t="s">
        <v>924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6417</v>
      </c>
      <c r="B908" s="373" t="s">
        <v>6418</v>
      </c>
      <c r="C908" s="372" t="s">
        <v>6419</v>
      </c>
      <c r="D908" s="374">
        <v>1201110038639</v>
      </c>
      <c r="E908" s="372" t="s">
        <v>6420</v>
      </c>
      <c r="F908" s="375" t="s">
        <v>6421</v>
      </c>
      <c r="G908" s="375" t="s">
        <v>6422</v>
      </c>
      <c r="H908" s="375" t="s">
        <v>858</v>
      </c>
      <c r="I908" s="375" t="s">
        <v>859</v>
      </c>
      <c r="J908" s="375">
        <v>561703.69085000001</v>
      </c>
      <c r="K908" s="375">
        <v>49372.8986</v>
      </c>
      <c r="L908" s="375">
        <v>22267.732639999998</v>
      </c>
      <c r="M908" s="375">
        <v>387446.80742000003</v>
      </c>
      <c r="N908" s="372">
        <v>0.81200000000000006</v>
      </c>
      <c r="O908" s="704">
        <v>337.04652286751571</v>
      </c>
      <c r="P908" s="375" t="s">
        <v>619</v>
      </c>
      <c r="Q908" s="375" t="s">
        <v>619</v>
      </c>
      <c r="R908" s="696">
        <v>19970806</v>
      </c>
      <c r="S908" s="375" t="s">
        <v>6423</v>
      </c>
      <c r="T908" s="697">
        <v>0.23100000000000001</v>
      </c>
      <c r="U908" s="372" t="s">
        <v>6424</v>
      </c>
      <c r="V908" s="722">
        <v>7.41</v>
      </c>
      <c r="W908" s="722">
        <v>0.52</v>
      </c>
      <c r="X908" s="722">
        <v>0.34</v>
      </c>
      <c r="Y908" s="722">
        <v>12.81</v>
      </c>
      <c r="Z908" s="382" t="s">
        <v>924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6425</v>
      </c>
      <c r="B909" s="373" t="s">
        <v>6426</v>
      </c>
      <c r="C909" s="372" t="s">
        <v>6427</v>
      </c>
      <c r="D909" s="374">
        <v>1812110000443</v>
      </c>
      <c r="E909" s="372" t="s">
        <v>6428</v>
      </c>
      <c r="F909" s="375" t="s">
        <v>2004</v>
      </c>
      <c r="G909" s="375" t="s">
        <v>2004</v>
      </c>
      <c r="H909" s="375" t="s">
        <v>789</v>
      </c>
      <c r="I909" s="375" t="s">
        <v>751</v>
      </c>
      <c r="J909" s="375">
        <v>1541021.38882</v>
      </c>
      <c r="K909" s="375">
        <v>52928.338389999997</v>
      </c>
      <c r="L909" s="375">
        <v>62128.083740000002</v>
      </c>
      <c r="M909" s="375">
        <v>382018.83558000001</v>
      </c>
      <c r="N909" s="372">
        <v>0.82399999999999995</v>
      </c>
      <c r="O909" s="704">
        <v>159.89841560078</v>
      </c>
      <c r="P909" s="375" t="s">
        <v>619</v>
      </c>
      <c r="Q909" s="375" t="s">
        <v>619</v>
      </c>
      <c r="R909" s="696">
        <v>19871002</v>
      </c>
      <c r="S909" s="375" t="s">
        <v>6429</v>
      </c>
      <c r="T909" s="697">
        <v>0.23100000000000001</v>
      </c>
      <c r="U909" s="372" t="s">
        <v>6430</v>
      </c>
      <c r="V909" s="722">
        <v>3.08</v>
      </c>
      <c r="W909" s="722">
        <v>0.33</v>
      </c>
      <c r="X909" s="722">
        <v>0.08</v>
      </c>
      <c r="Y909" s="722">
        <v>3.14</v>
      </c>
      <c r="Z909" s="382" t="s">
        <v>924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6431</v>
      </c>
      <c r="B910" s="373" t="s">
        <v>6432</v>
      </c>
      <c r="C910" s="372" t="s">
        <v>6433</v>
      </c>
      <c r="D910" s="374">
        <v>1101110072928</v>
      </c>
      <c r="E910" s="372" t="s">
        <v>6434</v>
      </c>
      <c r="F910" s="372" t="s">
        <v>1463</v>
      </c>
      <c r="G910" s="375" t="s">
        <v>1464</v>
      </c>
      <c r="H910" s="375" t="s">
        <v>1465</v>
      </c>
      <c r="I910" s="375" t="s">
        <v>751</v>
      </c>
      <c r="J910" s="375">
        <v>1177131.7402300001</v>
      </c>
      <c r="K910" s="375">
        <v>92291.411670000001</v>
      </c>
      <c r="L910" s="375">
        <v>85403.108630000002</v>
      </c>
      <c r="M910" s="375">
        <v>567979.22843999998</v>
      </c>
      <c r="N910" s="372">
        <v>0.80400000000000005</v>
      </c>
      <c r="O910" s="704">
        <v>258.07817600012498</v>
      </c>
      <c r="P910" s="375" t="s">
        <v>619</v>
      </c>
      <c r="Q910" s="372" t="s">
        <v>619</v>
      </c>
      <c r="R910" s="696">
        <v>19760630</v>
      </c>
      <c r="S910" s="372" t="s">
        <v>6435</v>
      </c>
      <c r="T910" s="697">
        <v>0.23100000000000001</v>
      </c>
      <c r="U910" s="372" t="s">
        <v>6436</v>
      </c>
      <c r="V910" s="722">
        <v>4.5199999999999996</v>
      </c>
      <c r="W910" s="722">
        <v>0.36</v>
      </c>
      <c r="X910" s="722">
        <v>0.17</v>
      </c>
      <c r="Y910" s="722">
        <v>2.63</v>
      </c>
      <c r="Z910" s="382">
        <v>3.5906818042912958E-2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11830</v>
      </c>
      <c r="AF910" s="372">
        <v>12100</v>
      </c>
      <c r="AG910" s="372">
        <v>12820</v>
      </c>
      <c r="AH910" s="372">
        <v>0</v>
      </c>
    </row>
    <row r="911" spans="1:34">
      <c r="A911" s="372" t="s">
        <v>6437</v>
      </c>
      <c r="B911" s="373" t="s">
        <v>6438</v>
      </c>
      <c r="C911" s="372" t="s">
        <v>6439</v>
      </c>
      <c r="D911" s="374">
        <v>1101114179457</v>
      </c>
      <c r="E911" s="372" t="s">
        <v>6440</v>
      </c>
      <c r="F911" s="375" t="s">
        <v>1367</v>
      </c>
      <c r="G911" s="375" t="s">
        <v>1367</v>
      </c>
      <c r="H911" s="375" t="s">
        <v>858</v>
      </c>
      <c r="I911" s="375" t="s">
        <v>859</v>
      </c>
      <c r="J911" s="375">
        <v>122.33404</v>
      </c>
      <c r="K911" s="375">
        <v>-13494.37451</v>
      </c>
      <c r="L911" s="375">
        <v>-16377.4918</v>
      </c>
      <c r="M911" s="375">
        <v>29081.272229999999</v>
      </c>
      <c r="N911" s="372">
        <v>0.98299999999999998</v>
      </c>
      <c r="O911" s="704">
        <v>10.691679079902674</v>
      </c>
      <c r="P911" s="375" t="s">
        <v>619</v>
      </c>
      <c r="Q911" s="375" t="s">
        <v>619</v>
      </c>
      <c r="R911" s="696">
        <v>20191217</v>
      </c>
      <c r="S911" s="375" t="s">
        <v>6441</v>
      </c>
      <c r="T911" s="697" t="s">
        <v>768</v>
      </c>
      <c r="U911" s="375" t="s">
        <v>6442</v>
      </c>
      <c r="V911" s="722" t="s">
        <v>770</v>
      </c>
      <c r="W911" s="722">
        <v>3.01</v>
      </c>
      <c r="X911" s="722">
        <v>715.43</v>
      </c>
      <c r="Y911" s="722" t="s">
        <v>770</v>
      </c>
      <c r="Z911" s="382" t="s">
        <v>924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6443</v>
      </c>
      <c r="B912" s="373" t="s">
        <v>6444</v>
      </c>
      <c r="C912" s="372" t="s">
        <v>6445</v>
      </c>
      <c r="D912" s="374">
        <v>1311110000205</v>
      </c>
      <c r="E912" s="372" t="s">
        <v>6446</v>
      </c>
      <c r="F912" s="375" t="s">
        <v>1273</v>
      </c>
      <c r="G912" s="375" t="s">
        <v>1715</v>
      </c>
      <c r="H912" s="375" t="s">
        <v>750</v>
      </c>
      <c r="I912" s="375" t="s">
        <v>751</v>
      </c>
      <c r="J912" s="375">
        <v>160388.76921</v>
      </c>
      <c r="K912" s="375">
        <v>4190.0633399999997</v>
      </c>
      <c r="L912" s="375">
        <v>14661.609990000001</v>
      </c>
      <c r="M912" s="375">
        <v>536811.37918000005</v>
      </c>
      <c r="N912" s="372">
        <v>0.68600000000000005</v>
      </c>
      <c r="O912" s="704">
        <v>6.2141191473047636E-3</v>
      </c>
      <c r="P912" s="375" t="s">
        <v>619</v>
      </c>
      <c r="Q912" s="375" t="s">
        <v>619</v>
      </c>
      <c r="R912" s="696">
        <v>19761228</v>
      </c>
      <c r="S912" s="375" t="s">
        <v>6447</v>
      </c>
      <c r="T912" s="697">
        <v>0.20900000000000002</v>
      </c>
      <c r="U912" s="372" t="s">
        <v>6448</v>
      </c>
      <c r="V912" s="722">
        <v>16.989999999999998</v>
      </c>
      <c r="W912" s="722">
        <v>0.35</v>
      </c>
      <c r="X912" s="722">
        <v>1.18</v>
      </c>
      <c r="Y912" s="722">
        <v>16.84</v>
      </c>
      <c r="Z912" s="382">
        <v>2.605300744939143E-2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1717</v>
      </c>
      <c r="AF912" s="372">
        <v>1833</v>
      </c>
      <c r="AG912" s="372">
        <v>1965</v>
      </c>
      <c r="AH912" s="372">
        <v>2108</v>
      </c>
    </row>
    <row r="913" spans="1:34">
      <c r="A913" s="372" t="s">
        <v>6449</v>
      </c>
      <c r="B913" s="373" t="s">
        <v>6450</v>
      </c>
      <c r="C913" s="372" t="s">
        <v>6451</v>
      </c>
      <c r="D913" s="374">
        <v>1301110026228</v>
      </c>
      <c r="E913" s="372" t="s">
        <v>6452</v>
      </c>
      <c r="F913" s="372" t="s">
        <v>1707</v>
      </c>
      <c r="G913" s="375" t="s">
        <v>1708</v>
      </c>
      <c r="H913" s="375" t="s">
        <v>858</v>
      </c>
      <c r="I913" s="375" t="s">
        <v>859</v>
      </c>
      <c r="J913" s="375">
        <v>148287.57021000001</v>
      </c>
      <c r="K913" s="375">
        <v>-8223.3331300000009</v>
      </c>
      <c r="L913" s="375">
        <v>-8238.3382999999994</v>
      </c>
      <c r="M913" s="375">
        <v>96816.943039999998</v>
      </c>
      <c r="N913" s="372">
        <v>0.77800000000000002</v>
      </c>
      <c r="O913" s="704">
        <v>9.7592761125650824</v>
      </c>
      <c r="P913" s="375" t="s">
        <v>619</v>
      </c>
      <c r="Q913" s="372" t="s">
        <v>619</v>
      </c>
      <c r="R913" s="696">
        <v>19991229</v>
      </c>
      <c r="S913" s="372" t="s">
        <v>6453</v>
      </c>
      <c r="T913" s="697" t="s">
        <v>768</v>
      </c>
      <c r="U913" s="372" t="s">
        <v>6454</v>
      </c>
      <c r="V913" s="722">
        <v>0</v>
      </c>
      <c r="W913" s="722">
        <v>0</v>
      </c>
      <c r="X913" s="722">
        <v>0</v>
      </c>
      <c r="Y913" s="722">
        <v>0</v>
      </c>
      <c r="Z913" s="382" t="s">
        <v>924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6455</v>
      </c>
      <c r="B914" s="373" t="s">
        <v>6456</v>
      </c>
      <c r="C914" s="372" t="s">
        <v>6457</v>
      </c>
      <c r="D914" s="374">
        <v>1351110074800</v>
      </c>
      <c r="E914" s="372" t="s">
        <v>6458</v>
      </c>
      <c r="F914" s="375" t="s">
        <v>1761</v>
      </c>
      <c r="G914" s="375" t="s">
        <v>2235</v>
      </c>
      <c r="H914" s="375" t="s">
        <v>858</v>
      </c>
      <c r="I914" s="375" t="s">
        <v>859</v>
      </c>
      <c r="J914" s="375">
        <v>48885.216099999998</v>
      </c>
      <c r="K914" s="375">
        <v>9463.3151500000004</v>
      </c>
      <c r="L914" s="375">
        <v>9677.4809299999997</v>
      </c>
      <c r="M914" s="375">
        <v>54612.842570000001</v>
      </c>
      <c r="N914" s="372" t="s">
        <v>1023</v>
      </c>
      <c r="O914" s="704">
        <v>11.57739489109651</v>
      </c>
      <c r="P914" s="375" t="s">
        <v>619</v>
      </c>
      <c r="Q914" s="372" t="s">
        <v>619</v>
      </c>
      <c r="R914" s="696">
        <v>20231128</v>
      </c>
      <c r="S914" s="372" t="s">
        <v>6459</v>
      </c>
      <c r="T914" s="697">
        <v>0.20900000000000002</v>
      </c>
      <c r="U914" s="372" t="s">
        <v>6460</v>
      </c>
      <c r="V914" s="722">
        <v>0</v>
      </c>
      <c r="W914" s="722">
        <v>0</v>
      </c>
      <c r="X914" s="722">
        <v>0</v>
      </c>
      <c r="Y914" s="722">
        <v>0</v>
      </c>
      <c r="Z914" s="382" t="s">
        <v>924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6461</v>
      </c>
      <c r="B915" s="373" t="s">
        <v>6462</v>
      </c>
      <c r="C915" s="372" t="s">
        <v>6463</v>
      </c>
      <c r="D915" s="374">
        <v>1101118651659</v>
      </c>
      <c r="E915" s="372" t="s">
        <v>6464</v>
      </c>
      <c r="F915" s="375" t="s">
        <v>2744</v>
      </c>
      <c r="G915" s="375" t="s">
        <v>2745</v>
      </c>
      <c r="H915" s="375" t="s">
        <v>809</v>
      </c>
      <c r="I915" s="375" t="s">
        <v>751</v>
      </c>
      <c r="J915" s="375">
        <v>2182014.3056000001</v>
      </c>
      <c r="K915" s="375">
        <v>64293.581319999998</v>
      </c>
      <c r="L915" s="375">
        <v>48442.828509999999</v>
      </c>
      <c r="M915" s="375">
        <v>1015108.42658</v>
      </c>
      <c r="N915" s="372" t="s">
        <v>1023</v>
      </c>
      <c r="O915" s="704">
        <v>213.45956358151471</v>
      </c>
      <c r="P915" s="375" t="s">
        <v>619</v>
      </c>
      <c r="Q915" s="375" t="s">
        <v>619</v>
      </c>
      <c r="R915" s="696">
        <v>20230616</v>
      </c>
      <c r="S915" s="375" t="s">
        <v>6465</v>
      </c>
      <c r="T915" s="697">
        <v>0.23100000000000001</v>
      </c>
      <c r="U915" s="375">
        <v>0</v>
      </c>
      <c r="V915" s="722">
        <v>0</v>
      </c>
      <c r="W915" s="722">
        <v>0</v>
      </c>
      <c r="X915" s="722">
        <v>0</v>
      </c>
      <c r="Y915" s="722">
        <v>0</v>
      </c>
      <c r="Z915" s="382" t="s">
        <v>924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6466</v>
      </c>
      <c r="B916" s="373" t="s">
        <v>6467</v>
      </c>
      <c r="C916" s="372" t="s">
        <v>6468</v>
      </c>
      <c r="D916" s="374">
        <v>1101110013766</v>
      </c>
      <c r="E916" s="372" t="s">
        <v>6469</v>
      </c>
      <c r="F916" s="375" t="s">
        <v>890</v>
      </c>
      <c r="G916" s="375" t="s">
        <v>891</v>
      </c>
      <c r="H916" s="375" t="s">
        <v>852</v>
      </c>
      <c r="I916" s="375" t="s">
        <v>751</v>
      </c>
      <c r="J916" s="375">
        <v>2578664.9669400002</v>
      </c>
      <c r="K916" s="375">
        <v>231917.43956999999</v>
      </c>
      <c r="L916" s="375">
        <v>143144.34349999999</v>
      </c>
      <c r="M916" s="375">
        <v>1167708.45524</v>
      </c>
      <c r="N916" s="372">
        <v>0.63900000000000001</v>
      </c>
      <c r="O916" s="704">
        <v>796.60638553104513</v>
      </c>
      <c r="P916" s="375" t="s">
        <v>619</v>
      </c>
      <c r="Q916" s="372" t="s">
        <v>619</v>
      </c>
      <c r="R916" s="696">
        <v>19730919</v>
      </c>
      <c r="S916" s="372" t="s">
        <v>851</v>
      </c>
      <c r="T916" s="697">
        <v>0.23100000000000001</v>
      </c>
      <c r="U916" s="372" t="s">
        <v>6470</v>
      </c>
      <c r="V916" s="722">
        <v>5.83</v>
      </c>
      <c r="W916" s="722">
        <v>0.33</v>
      </c>
      <c r="X916" s="722">
        <v>0.09</v>
      </c>
      <c r="Y916" s="722">
        <v>5.73</v>
      </c>
      <c r="Z916" s="382" t="s">
        <v>924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6471</v>
      </c>
      <c r="B917" s="373" t="s">
        <v>6472</v>
      </c>
      <c r="C917" s="372" t="s">
        <v>6473</v>
      </c>
      <c r="D917" s="374">
        <v>1101110342496</v>
      </c>
      <c r="E917" s="372" t="s">
        <v>6474</v>
      </c>
      <c r="F917" s="372" t="s">
        <v>6475</v>
      </c>
      <c r="G917" s="375" t="s">
        <v>6475</v>
      </c>
      <c r="H917" s="375" t="s">
        <v>858</v>
      </c>
      <c r="I917" s="375" t="s">
        <v>859</v>
      </c>
      <c r="J917" s="375">
        <v>114713.045</v>
      </c>
      <c r="K917" s="375">
        <v>16954.383989999998</v>
      </c>
      <c r="L917" s="375">
        <v>25994.409830000001</v>
      </c>
      <c r="M917" s="375">
        <v>391350.66477999999</v>
      </c>
      <c r="N917" s="372">
        <v>1.0329999999999999</v>
      </c>
      <c r="O917" s="704">
        <v>0.1422012764207583</v>
      </c>
      <c r="P917" s="375" t="s">
        <v>619</v>
      </c>
      <c r="Q917" s="372" t="s">
        <v>619</v>
      </c>
      <c r="R917" s="696">
        <v>19991224</v>
      </c>
      <c r="S917" s="372" t="s">
        <v>6476</v>
      </c>
      <c r="T917" s="697">
        <v>0.23100000000000001</v>
      </c>
      <c r="U917" s="372" t="s">
        <v>6477</v>
      </c>
      <c r="V917" s="722">
        <v>0</v>
      </c>
      <c r="W917" s="722">
        <v>0</v>
      </c>
      <c r="X917" s="722">
        <v>0</v>
      </c>
      <c r="Y917" s="722">
        <v>0</v>
      </c>
      <c r="Z917" s="382" t="s">
        <v>924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6478</v>
      </c>
      <c r="B918" s="373" t="s">
        <v>6479</v>
      </c>
      <c r="C918" s="372" t="s">
        <v>6480</v>
      </c>
      <c r="D918" s="374">
        <v>1101111775365</v>
      </c>
      <c r="E918" s="372" t="s">
        <v>6481</v>
      </c>
      <c r="F918" s="375" t="s">
        <v>1933</v>
      </c>
      <c r="G918" s="375" t="s">
        <v>6482</v>
      </c>
      <c r="H918" s="375" t="s">
        <v>1383</v>
      </c>
      <c r="I918" s="375" t="s">
        <v>751</v>
      </c>
      <c r="J918" s="375">
        <v>621869.75996000005</v>
      </c>
      <c r="K918" s="375">
        <v>7711.47775</v>
      </c>
      <c r="L918" s="375">
        <v>15037.008330000001</v>
      </c>
      <c r="M918" s="375">
        <v>253910.89314</v>
      </c>
      <c r="N918" s="372">
        <v>0.60799999999999998</v>
      </c>
      <c r="O918" s="704">
        <v>3.9882876856783538</v>
      </c>
      <c r="P918" s="375" t="s">
        <v>619</v>
      </c>
      <c r="Q918" s="372" t="s">
        <v>619</v>
      </c>
      <c r="R918" s="696">
        <v>20150924</v>
      </c>
      <c r="S918" s="372" t="s">
        <v>6483</v>
      </c>
      <c r="T918" s="697">
        <v>0.20900000000000002</v>
      </c>
      <c r="U918" s="372" t="s">
        <v>6484</v>
      </c>
      <c r="V918" s="722">
        <v>13.91</v>
      </c>
      <c r="W918" s="722">
        <v>0.75</v>
      </c>
      <c r="X918" s="722">
        <v>0.34</v>
      </c>
      <c r="Y918" s="722">
        <v>18.28</v>
      </c>
      <c r="Z918" s="382">
        <v>9.6398614120924986E-3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6224</v>
      </c>
      <c r="AF918" s="372">
        <v>6298</v>
      </c>
      <c r="AG918" s="372">
        <v>6300</v>
      </c>
      <c r="AH918" s="372">
        <v>0</v>
      </c>
    </row>
    <row r="919" spans="1:34">
      <c r="A919" s="372" t="s">
        <v>6485</v>
      </c>
      <c r="B919" s="373" t="s">
        <v>6486</v>
      </c>
      <c r="C919" s="372" t="s">
        <v>6487</v>
      </c>
      <c r="D919" s="374">
        <v>1812110002548</v>
      </c>
      <c r="E919" s="372" t="s">
        <v>6488</v>
      </c>
      <c r="F919" s="375" t="s">
        <v>7209</v>
      </c>
      <c r="G919" s="375" t="s">
        <v>6489</v>
      </c>
      <c r="H919" s="375" t="s">
        <v>3954</v>
      </c>
      <c r="I919" s="375" t="s">
        <v>751</v>
      </c>
      <c r="J919" s="375">
        <v>811596.47472000006</v>
      </c>
      <c r="K919" s="375">
        <v>35564.209580000002</v>
      </c>
      <c r="L919" s="375">
        <v>501.39157999999998</v>
      </c>
      <c r="M919" s="375">
        <v>642680.05148999998</v>
      </c>
      <c r="N919" s="372">
        <v>0.624</v>
      </c>
      <c r="O919" s="704">
        <v>492.3165013919691</v>
      </c>
      <c r="P919" s="375" t="s">
        <v>619</v>
      </c>
      <c r="Q919" s="372" t="s">
        <v>619</v>
      </c>
      <c r="R919" s="696">
        <v>19890620</v>
      </c>
      <c r="S919" s="372" t="s">
        <v>6490</v>
      </c>
      <c r="T919" s="697">
        <v>0.20900000000000002</v>
      </c>
      <c r="U919" s="372" t="s">
        <v>6491</v>
      </c>
      <c r="V919" s="722">
        <v>8.07</v>
      </c>
      <c r="W919" s="722">
        <v>0.28999999999999998</v>
      </c>
      <c r="X919" s="722">
        <v>0.22</v>
      </c>
      <c r="Y919" s="722">
        <v>80.16</v>
      </c>
      <c r="Z919" s="382">
        <v>3.209826287581552E-2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8250</v>
      </c>
      <c r="AF919" s="372">
        <v>8530</v>
      </c>
      <c r="AG919" s="372">
        <v>8725</v>
      </c>
      <c r="AH919" s="372">
        <v>0</v>
      </c>
    </row>
    <row r="920" spans="1:34">
      <c r="A920" s="372" t="s">
        <v>6492</v>
      </c>
      <c r="B920" s="373" t="s">
        <v>6493</v>
      </c>
      <c r="C920" s="372" t="s">
        <v>6494</v>
      </c>
      <c r="D920" s="374">
        <v>1101111118656</v>
      </c>
      <c r="E920" s="372" t="s">
        <v>6495</v>
      </c>
      <c r="F920" s="375" t="s">
        <v>1753</v>
      </c>
      <c r="G920" s="375" t="s">
        <v>6496</v>
      </c>
      <c r="H920" s="375" t="s">
        <v>858</v>
      </c>
      <c r="I920" s="375" t="s">
        <v>859</v>
      </c>
      <c r="J920" s="375">
        <v>63327.373760000002</v>
      </c>
      <c r="K920" s="375">
        <v>-1038.37201</v>
      </c>
      <c r="L920" s="375">
        <v>-1030.0775699999999</v>
      </c>
      <c r="M920" s="375">
        <v>110586.26011</v>
      </c>
      <c r="N920" s="372">
        <v>0.90200000000000002</v>
      </c>
      <c r="O920" s="704">
        <v>25.135701997591912</v>
      </c>
      <c r="P920" s="375" t="s">
        <v>619</v>
      </c>
      <c r="Q920" s="372" t="s">
        <v>619</v>
      </c>
      <c r="R920" s="696">
        <v>20000620</v>
      </c>
      <c r="S920" s="372" t="s">
        <v>6497</v>
      </c>
      <c r="T920" s="697" t="s">
        <v>768</v>
      </c>
      <c r="U920" s="372" t="s">
        <v>6498</v>
      </c>
      <c r="V920" s="722">
        <v>126.72</v>
      </c>
      <c r="W920" s="722">
        <v>3.22</v>
      </c>
      <c r="X920" s="722">
        <v>5.62</v>
      </c>
      <c r="Y920" s="722">
        <v>1095.54</v>
      </c>
      <c r="Z920" s="382" t="s">
        <v>924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566</v>
      </c>
      <c r="AF920" s="372">
        <v>0</v>
      </c>
      <c r="AG920" s="372">
        <v>0</v>
      </c>
      <c r="AH920" s="372">
        <v>0</v>
      </c>
    </row>
    <row r="921" spans="1:34">
      <c r="A921" s="372" t="s">
        <v>6499</v>
      </c>
      <c r="B921" s="373" t="s">
        <v>6500</v>
      </c>
      <c r="C921" s="372" t="s">
        <v>6501</v>
      </c>
      <c r="D921" s="374">
        <v>1101113108465</v>
      </c>
      <c r="E921" s="372" t="s">
        <v>6502</v>
      </c>
      <c r="F921" s="372" t="s">
        <v>1367</v>
      </c>
      <c r="G921" s="375" t="s">
        <v>1367</v>
      </c>
      <c r="H921" s="375" t="s">
        <v>858</v>
      </c>
      <c r="I921" s="375" t="s">
        <v>859</v>
      </c>
      <c r="J921" s="375">
        <v>12292.53125</v>
      </c>
      <c r="K921" s="375">
        <v>-1805.98658</v>
      </c>
      <c r="L921" s="375">
        <v>-562.69271000000003</v>
      </c>
      <c r="M921" s="375">
        <v>47473.603629999998</v>
      </c>
      <c r="N921" s="372" t="s">
        <v>1023</v>
      </c>
      <c r="O921" s="704">
        <v>2.9694406357782758E-2</v>
      </c>
      <c r="P921" s="375" t="s">
        <v>619</v>
      </c>
      <c r="Q921" s="375" t="s">
        <v>619</v>
      </c>
      <c r="R921" s="696">
        <v>20230215</v>
      </c>
      <c r="S921" s="375" t="s">
        <v>6503</v>
      </c>
      <c r="T921" s="697" t="s">
        <v>768</v>
      </c>
      <c r="U921" s="372" t="s">
        <v>6504</v>
      </c>
      <c r="V921" s="722">
        <v>0</v>
      </c>
      <c r="W921" s="722">
        <v>0</v>
      </c>
      <c r="X921" s="722">
        <v>0</v>
      </c>
      <c r="Y921" s="722">
        <v>0</v>
      </c>
      <c r="Z921" s="382" t="s">
        <v>924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6505</v>
      </c>
      <c r="B922" s="373" t="s">
        <v>6506</v>
      </c>
      <c r="C922" s="372" t="s">
        <v>6507</v>
      </c>
      <c r="D922" s="374">
        <v>1801110054659</v>
      </c>
      <c r="E922" s="372" t="s">
        <v>6508</v>
      </c>
      <c r="F922" s="375" t="s">
        <v>2744</v>
      </c>
      <c r="G922" s="375" t="s">
        <v>6509</v>
      </c>
      <c r="H922" s="375" t="s">
        <v>809</v>
      </c>
      <c r="I922" s="375" t="s">
        <v>751</v>
      </c>
      <c r="J922" s="375">
        <v>174168.11679</v>
      </c>
      <c r="K922" s="375">
        <v>-42365.231809999997</v>
      </c>
      <c r="L922" s="375">
        <v>-47820.150739999997</v>
      </c>
      <c r="M922" s="375">
        <v>228242.16318999999</v>
      </c>
      <c r="N922" s="372">
        <v>0.40200000000000002</v>
      </c>
      <c r="O922" s="704">
        <v>0.31076270008339146</v>
      </c>
      <c r="P922" s="375" t="s">
        <v>619</v>
      </c>
      <c r="Q922" s="372" t="s">
        <v>619</v>
      </c>
      <c r="R922" s="696">
        <v>19770618</v>
      </c>
      <c r="S922" s="375" t="s">
        <v>6510</v>
      </c>
      <c r="T922" s="697" t="s">
        <v>768</v>
      </c>
      <c r="U922" s="372" t="s">
        <v>6511</v>
      </c>
      <c r="V922" s="722">
        <v>0</v>
      </c>
      <c r="W922" s="722">
        <v>0</v>
      </c>
      <c r="X922" s="722">
        <v>0</v>
      </c>
      <c r="Y922" s="722">
        <v>0</v>
      </c>
      <c r="Z922" s="382" t="s">
        <v>924</v>
      </c>
      <c r="AA922" s="372">
        <v>1964.1961673999999</v>
      </c>
      <c r="AB922" s="372">
        <v>1961.2392331000001</v>
      </c>
      <c r="AC922" s="372">
        <v>2537.0501736000001</v>
      </c>
      <c r="AD922" s="372">
        <v>2193.3987065000001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6512</v>
      </c>
      <c r="B923" s="373" t="s">
        <v>6513</v>
      </c>
      <c r="C923" s="372" t="s">
        <v>6514</v>
      </c>
      <c r="D923" s="374">
        <v>1601110024284</v>
      </c>
      <c r="E923" s="372" t="s">
        <v>6515</v>
      </c>
      <c r="F923" s="375" t="s">
        <v>16116</v>
      </c>
      <c r="G923" s="375" t="s">
        <v>16116</v>
      </c>
      <c r="H923" s="375" t="s">
        <v>1528</v>
      </c>
      <c r="I923" s="375" t="s">
        <v>859</v>
      </c>
      <c r="J923" s="375">
        <v>301246.26358000003</v>
      </c>
      <c r="K923" s="375">
        <v>14735.38055</v>
      </c>
      <c r="L923" s="375">
        <v>14926.01496</v>
      </c>
      <c r="M923" s="375">
        <v>244771.04848</v>
      </c>
      <c r="N923" s="372">
        <v>0.91300000000000003</v>
      </c>
      <c r="O923" s="704">
        <v>23.440291958362206</v>
      </c>
      <c r="P923" s="375" t="s">
        <v>619</v>
      </c>
      <c r="Q923" s="372" t="s">
        <v>619</v>
      </c>
      <c r="R923" s="696">
        <v>20000718</v>
      </c>
      <c r="S923" s="372" t="s">
        <v>6516</v>
      </c>
      <c r="T923" s="697">
        <v>0.20900000000000002</v>
      </c>
      <c r="U923" s="372" t="s">
        <v>6517</v>
      </c>
      <c r="V923" s="722">
        <v>8.74</v>
      </c>
      <c r="W923" s="722">
        <v>0.75</v>
      </c>
      <c r="X923" s="722">
        <v>0.46</v>
      </c>
      <c r="Y923" s="722">
        <v>21.14</v>
      </c>
      <c r="Z923" s="382" t="s">
        <v>924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3181</v>
      </c>
      <c r="AF923" s="372">
        <v>3554</v>
      </c>
      <c r="AG923" s="372">
        <v>0</v>
      </c>
      <c r="AH923" s="372">
        <v>0</v>
      </c>
    </row>
    <row r="924" spans="1:34">
      <c r="A924" s="372" t="s">
        <v>6518</v>
      </c>
      <c r="B924" s="373" t="s">
        <v>6519</v>
      </c>
      <c r="C924" s="372" t="s">
        <v>6520</v>
      </c>
      <c r="D924" s="374">
        <v>1350110057395</v>
      </c>
      <c r="E924" s="372" t="s">
        <v>6521</v>
      </c>
      <c r="F924" s="375" t="s">
        <v>1320</v>
      </c>
      <c r="G924" s="375" t="s">
        <v>16103</v>
      </c>
      <c r="H924" s="375" t="s">
        <v>781</v>
      </c>
      <c r="I924" s="375" t="s">
        <v>751</v>
      </c>
      <c r="J924" s="375">
        <v>221320.74148</v>
      </c>
      <c r="K924" s="375">
        <v>34251.528550000003</v>
      </c>
      <c r="L924" s="375">
        <v>34965.527549999999</v>
      </c>
      <c r="M924" s="375">
        <v>170202.74338</v>
      </c>
      <c r="N924" s="372">
        <v>0.66300000000000003</v>
      </c>
      <c r="O924" s="704">
        <v>26.508298663951948</v>
      </c>
      <c r="P924" s="375" t="s">
        <v>619</v>
      </c>
      <c r="Q924" s="372" t="s">
        <v>619</v>
      </c>
      <c r="R924" s="696">
        <v>20161027</v>
      </c>
      <c r="S924" s="372" t="s">
        <v>6522</v>
      </c>
      <c r="T924" s="697">
        <v>0.23100000000000001</v>
      </c>
      <c r="U924" s="372" t="s">
        <v>6523</v>
      </c>
      <c r="V924" s="722">
        <v>3.45</v>
      </c>
      <c r="W924" s="722">
        <v>0.97</v>
      </c>
      <c r="X924" s="722">
        <v>0.78</v>
      </c>
      <c r="Y924" s="722">
        <v>5.98</v>
      </c>
      <c r="Z924" s="382">
        <v>5.5448730702545079E-2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2239</v>
      </c>
      <c r="AF924" s="372">
        <v>2400</v>
      </c>
      <c r="AG924" s="372">
        <v>2567</v>
      </c>
      <c r="AH924" s="372">
        <v>0</v>
      </c>
    </row>
    <row r="925" spans="1:34">
      <c r="A925" s="372" t="s">
        <v>6524</v>
      </c>
      <c r="B925" s="373" t="s">
        <v>6525</v>
      </c>
      <c r="C925" s="372" t="s">
        <v>6526</v>
      </c>
      <c r="D925" s="374">
        <v>1348110105579</v>
      </c>
      <c r="E925" s="372" t="s">
        <v>6527</v>
      </c>
      <c r="F925" s="375" t="s">
        <v>1182</v>
      </c>
      <c r="G925" s="375" t="s">
        <v>1183</v>
      </c>
      <c r="H925" s="375" t="s">
        <v>858</v>
      </c>
      <c r="I925" s="375" t="s">
        <v>859</v>
      </c>
      <c r="J925" s="375">
        <v>0</v>
      </c>
      <c r="K925" s="375">
        <v>0</v>
      </c>
      <c r="L925" s="375">
        <v>0</v>
      </c>
      <c r="M925" s="375">
        <v>108067.96943</v>
      </c>
      <c r="N925" s="372">
        <v>0.81100000000000005</v>
      </c>
      <c r="O925" s="704">
        <v>13.063893975460585</v>
      </c>
      <c r="P925" s="375" t="s">
        <v>619</v>
      </c>
      <c r="Q925" s="375" t="s">
        <v>619</v>
      </c>
      <c r="R925" s="696">
        <v>20211029</v>
      </c>
      <c r="S925" s="375" t="s">
        <v>6528</v>
      </c>
      <c r="T925" s="697" t="s">
        <v>768</v>
      </c>
      <c r="U925" s="372" t="s">
        <v>6529</v>
      </c>
      <c r="V925" s="722">
        <v>0</v>
      </c>
      <c r="W925" s="722">
        <v>1.08</v>
      </c>
      <c r="X925" s="722">
        <v>0</v>
      </c>
      <c r="Y925" s="722">
        <v>0</v>
      </c>
      <c r="Z925" s="382" t="s">
        <v>924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6530</v>
      </c>
      <c r="B926" s="373" t="s">
        <v>6531</v>
      </c>
      <c r="C926" s="372" t="s">
        <v>6532</v>
      </c>
      <c r="D926" s="374">
        <v>1701110262452</v>
      </c>
      <c r="E926" s="372" t="s">
        <v>6533</v>
      </c>
      <c r="F926" s="375" t="s">
        <v>995</v>
      </c>
      <c r="G926" s="375" t="s">
        <v>996</v>
      </c>
      <c r="H926" s="375" t="s">
        <v>858</v>
      </c>
      <c r="I926" s="375" t="s">
        <v>859</v>
      </c>
      <c r="J926" s="375">
        <v>76207.177299999996</v>
      </c>
      <c r="K926" s="375">
        <v>168.7817</v>
      </c>
      <c r="L926" s="375">
        <v>-4141.0290599999998</v>
      </c>
      <c r="M926" s="375">
        <v>127915.34589</v>
      </c>
      <c r="N926" s="372">
        <v>1.4550000000000001</v>
      </c>
      <c r="O926" s="704">
        <v>0.44188617286644177</v>
      </c>
      <c r="P926" s="375" t="s">
        <v>619</v>
      </c>
      <c r="Q926" s="375" t="s">
        <v>619</v>
      </c>
      <c r="R926" s="696">
        <v>20101227</v>
      </c>
      <c r="S926" s="375" t="s">
        <v>6534</v>
      </c>
      <c r="T926" s="697" t="s">
        <v>768</v>
      </c>
      <c r="U926" s="372" t="s">
        <v>15878</v>
      </c>
      <c r="V926" s="722">
        <v>35.39</v>
      </c>
      <c r="W926" s="722">
        <v>1.1200000000000001</v>
      </c>
      <c r="X926" s="722">
        <v>1.88</v>
      </c>
      <c r="Y926" s="722" t="s">
        <v>770</v>
      </c>
      <c r="Z926" s="382" t="s">
        <v>924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6535</v>
      </c>
      <c r="B927" s="373" t="s">
        <v>6536</v>
      </c>
      <c r="C927" s="372" t="s">
        <v>6537</v>
      </c>
      <c r="D927" s="374">
        <v>1101110089395</v>
      </c>
      <c r="E927" s="372" t="s">
        <v>6538</v>
      </c>
      <c r="F927" s="375" t="s">
        <v>16120</v>
      </c>
      <c r="G927" s="375" t="s">
        <v>16120</v>
      </c>
      <c r="H927" s="375" t="s">
        <v>823</v>
      </c>
      <c r="I927" s="375" t="s">
        <v>751</v>
      </c>
      <c r="J927" s="375">
        <v>329811.49505999999</v>
      </c>
      <c r="K927" s="375">
        <v>33012.855929999998</v>
      </c>
      <c r="L927" s="375">
        <v>30690.276450000001</v>
      </c>
      <c r="M927" s="375">
        <v>294858.84073</v>
      </c>
      <c r="N927" s="372">
        <v>0.69499999999999995</v>
      </c>
      <c r="O927" s="704">
        <v>84.636800546224052</v>
      </c>
      <c r="P927" s="375" t="s">
        <v>619</v>
      </c>
      <c r="Q927" s="372" t="s">
        <v>619</v>
      </c>
      <c r="R927" s="696">
        <v>19770630</v>
      </c>
      <c r="S927" s="372" t="s">
        <v>6539</v>
      </c>
      <c r="T927" s="697">
        <v>0.23100000000000001</v>
      </c>
      <c r="U927" s="375" t="s">
        <v>6540</v>
      </c>
      <c r="V927" s="722">
        <v>7.82</v>
      </c>
      <c r="W927" s="722">
        <v>0.67</v>
      </c>
      <c r="X927" s="722">
        <v>0.55000000000000004</v>
      </c>
      <c r="Y927" s="722">
        <v>8.3699999999999992</v>
      </c>
      <c r="Z927" s="382" t="s">
        <v>924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6541</v>
      </c>
      <c r="B928" s="373" t="s">
        <v>6542</v>
      </c>
      <c r="C928" s="372" t="s">
        <v>6543</v>
      </c>
      <c r="D928" s="374">
        <v>1301110011807</v>
      </c>
      <c r="E928" s="372" t="s">
        <v>6544</v>
      </c>
      <c r="F928" s="372" t="s">
        <v>4296</v>
      </c>
      <c r="G928" s="375" t="s">
        <v>4296</v>
      </c>
      <c r="H928" s="375" t="s">
        <v>965</v>
      </c>
      <c r="I928" s="375" t="s">
        <v>751</v>
      </c>
      <c r="J928" s="375">
        <v>74368.407370000001</v>
      </c>
      <c r="K928" s="375">
        <v>-2709.4173700000001</v>
      </c>
      <c r="L928" s="375">
        <v>-3472.2292200000002</v>
      </c>
      <c r="M928" s="375">
        <v>126697.11702999999</v>
      </c>
      <c r="N928" s="372">
        <v>0.84499999999999997</v>
      </c>
      <c r="O928" s="704">
        <v>39.189940192201448</v>
      </c>
      <c r="P928" s="375" t="s">
        <v>619</v>
      </c>
      <c r="Q928" s="375" t="s">
        <v>619</v>
      </c>
      <c r="R928" s="696">
        <v>19891214</v>
      </c>
      <c r="S928" s="375" t="s">
        <v>6545</v>
      </c>
      <c r="T928" s="697" t="s">
        <v>768</v>
      </c>
      <c r="U928" s="375" t="s">
        <v>6546</v>
      </c>
      <c r="V928" s="722">
        <v>0</v>
      </c>
      <c r="W928" s="722">
        <v>0</v>
      </c>
      <c r="X928" s="722">
        <v>0</v>
      </c>
      <c r="Y928" s="722">
        <v>0</v>
      </c>
      <c r="Z928" s="382" t="s">
        <v>924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6547</v>
      </c>
      <c r="B929" s="373" t="s">
        <v>6548</v>
      </c>
      <c r="C929" s="372" t="s">
        <v>6549</v>
      </c>
      <c r="D929" s="374">
        <v>1101110032568</v>
      </c>
      <c r="E929" s="372" t="s">
        <v>6550</v>
      </c>
      <c r="F929" s="375" t="s">
        <v>1320</v>
      </c>
      <c r="G929" s="375" t="s">
        <v>16103</v>
      </c>
      <c r="H929" s="375" t="s">
        <v>781</v>
      </c>
      <c r="I929" s="375" t="s">
        <v>751</v>
      </c>
      <c r="J929" s="375">
        <v>45847.420330000001</v>
      </c>
      <c r="K929" s="375">
        <v>-17132.621579999999</v>
      </c>
      <c r="L929" s="375">
        <v>-7783.3136199999999</v>
      </c>
      <c r="M929" s="375">
        <v>120472.59884000001</v>
      </c>
      <c r="N929" s="372">
        <v>0.71899999999999997</v>
      </c>
      <c r="O929" s="704">
        <v>3.6378749923529483</v>
      </c>
      <c r="P929" s="375" t="s">
        <v>619</v>
      </c>
      <c r="Q929" s="372" t="s">
        <v>619</v>
      </c>
      <c r="R929" s="696">
        <v>19750704</v>
      </c>
      <c r="S929" s="372" t="s">
        <v>6551</v>
      </c>
      <c r="T929" s="697" t="s">
        <v>768</v>
      </c>
      <c r="U929" s="372" t="s">
        <v>6552</v>
      </c>
      <c r="V929" s="722">
        <v>0</v>
      </c>
      <c r="W929" s="722">
        <v>0</v>
      </c>
      <c r="X929" s="722">
        <v>0</v>
      </c>
      <c r="Y929" s="722">
        <v>0</v>
      </c>
      <c r="Z929" s="382" t="s">
        <v>924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6553</v>
      </c>
      <c r="B930" s="373" t="s">
        <v>6554</v>
      </c>
      <c r="C930" s="372" t="s">
        <v>6555</v>
      </c>
      <c r="D930" s="374">
        <v>1101112203951</v>
      </c>
      <c r="E930" s="372" t="s">
        <v>6556</v>
      </c>
      <c r="F930" s="375" t="s">
        <v>1052</v>
      </c>
      <c r="G930" s="375" t="s">
        <v>1052</v>
      </c>
      <c r="H930" s="375" t="s">
        <v>858</v>
      </c>
      <c r="I930" s="375" t="s">
        <v>859</v>
      </c>
      <c r="J930" s="375">
        <v>56176.178169999999</v>
      </c>
      <c r="K930" s="375">
        <v>12562.876490000001</v>
      </c>
      <c r="L930" s="375">
        <v>-4673.9618600000003</v>
      </c>
      <c r="M930" s="375">
        <v>73060.528760000001</v>
      </c>
      <c r="N930" s="372">
        <v>0.82899999999999996</v>
      </c>
      <c r="O930" s="704">
        <v>11.925340573026979</v>
      </c>
      <c r="P930" s="375" t="s">
        <v>619</v>
      </c>
      <c r="Q930" s="372" t="s">
        <v>619</v>
      </c>
      <c r="R930" s="696">
        <v>20090203</v>
      </c>
      <c r="S930" s="375" t="s">
        <v>6557</v>
      </c>
      <c r="T930" s="697" t="s">
        <v>768</v>
      </c>
      <c r="U930" s="375" t="s">
        <v>6558</v>
      </c>
      <c r="V930" s="722">
        <v>0</v>
      </c>
      <c r="W930" s="722">
        <v>0</v>
      </c>
      <c r="X930" s="722">
        <v>0</v>
      </c>
      <c r="Y930" s="722">
        <v>0</v>
      </c>
      <c r="Z930" s="382" t="s">
        <v>924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6559</v>
      </c>
      <c r="B931" s="373" t="s">
        <v>6560</v>
      </c>
      <c r="C931" s="372" t="s">
        <v>6561</v>
      </c>
      <c r="D931" s="374">
        <v>1101110037005</v>
      </c>
      <c r="E931" s="372" t="s">
        <v>6562</v>
      </c>
      <c r="F931" s="375" t="s">
        <v>1320</v>
      </c>
      <c r="G931" s="375" t="s">
        <v>16103</v>
      </c>
      <c r="H931" s="375" t="s">
        <v>781</v>
      </c>
      <c r="I931" s="375" t="s">
        <v>751</v>
      </c>
      <c r="J931" s="375">
        <v>512660.04706999997</v>
      </c>
      <c r="K931" s="375">
        <v>1230.51973</v>
      </c>
      <c r="L931" s="375">
        <v>-40074.311139999998</v>
      </c>
      <c r="M931" s="375">
        <v>320354.99481</v>
      </c>
      <c r="N931" s="372">
        <v>0.8</v>
      </c>
      <c r="O931" s="704">
        <v>189.29434535433867</v>
      </c>
      <c r="P931" s="375" t="s">
        <v>619</v>
      </c>
      <c r="Q931" s="372" t="s">
        <v>619</v>
      </c>
      <c r="R931" s="696">
        <v>19760630</v>
      </c>
      <c r="S931" s="372" t="s">
        <v>6563</v>
      </c>
      <c r="T931" s="697" t="s">
        <v>768</v>
      </c>
      <c r="U931" s="372" t="s">
        <v>6564</v>
      </c>
      <c r="V931" s="722">
        <v>21.24</v>
      </c>
      <c r="W931" s="722">
        <v>0.59</v>
      </c>
      <c r="X931" s="722">
        <v>0.37</v>
      </c>
      <c r="Y931" s="722" t="s">
        <v>770</v>
      </c>
      <c r="Z931" s="382" t="s">
        <v>924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6565</v>
      </c>
      <c r="B932" s="373" t="s">
        <v>6566</v>
      </c>
      <c r="C932" s="372" t="s">
        <v>6567</v>
      </c>
      <c r="D932" s="374">
        <v>1752110009005</v>
      </c>
      <c r="E932" s="372" t="s">
        <v>6568</v>
      </c>
      <c r="F932" s="375" t="s">
        <v>6569</v>
      </c>
      <c r="G932" s="375" t="s">
        <v>6570</v>
      </c>
      <c r="H932" s="375" t="s">
        <v>843</v>
      </c>
      <c r="I932" s="375" t="s">
        <v>751</v>
      </c>
      <c r="J932" s="375">
        <v>465910.80063999997</v>
      </c>
      <c r="K932" s="375">
        <v>16856.504509999999</v>
      </c>
      <c r="L932" s="375">
        <v>7942.1440000000002</v>
      </c>
      <c r="M932" s="375">
        <v>183612.03187999999</v>
      </c>
      <c r="N932" s="372">
        <v>0.57699999999999996</v>
      </c>
      <c r="O932" s="704">
        <v>38.059055233200404</v>
      </c>
      <c r="P932" s="375" t="s">
        <v>619</v>
      </c>
      <c r="Q932" s="375" t="s">
        <v>619</v>
      </c>
      <c r="R932" s="696">
        <v>20201112</v>
      </c>
      <c r="S932" s="375" t="s">
        <v>6571</v>
      </c>
      <c r="T932" s="697">
        <v>0.20900000000000002</v>
      </c>
      <c r="U932" s="372" t="s">
        <v>6572</v>
      </c>
      <c r="V932" s="722">
        <v>8.61</v>
      </c>
      <c r="W932" s="722">
        <v>1.17</v>
      </c>
      <c r="X932" s="722">
        <v>0.46</v>
      </c>
      <c r="Y932" s="722">
        <v>33.840000000000003</v>
      </c>
      <c r="Z932" s="382">
        <v>5.6853462419998335E-2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4746.6499999999996</v>
      </c>
      <c r="AF932" s="372">
        <v>5137.28</v>
      </c>
      <c r="AG932" s="372">
        <v>5551</v>
      </c>
      <c r="AH932" s="372">
        <v>0</v>
      </c>
    </row>
    <row r="933" spans="1:34">
      <c r="A933" s="372" t="s">
        <v>6573</v>
      </c>
      <c r="B933" s="373" t="s">
        <v>6574</v>
      </c>
      <c r="C933" s="372" t="s">
        <v>6575</v>
      </c>
      <c r="D933" s="374">
        <v>1101110134877</v>
      </c>
      <c r="E933" s="372" t="s">
        <v>6576</v>
      </c>
      <c r="F933" s="375" t="s">
        <v>1846</v>
      </c>
      <c r="G933" s="375" t="s">
        <v>1847</v>
      </c>
      <c r="H933" s="375" t="s">
        <v>1383</v>
      </c>
      <c r="I933" s="375" t="s">
        <v>751</v>
      </c>
      <c r="J933" s="375">
        <v>2004981.74597</v>
      </c>
      <c r="K933" s="375">
        <v>-182224.96354999999</v>
      </c>
      <c r="L933" s="375">
        <v>-309450.13916999998</v>
      </c>
      <c r="M933" s="375">
        <v>209758.22834999999</v>
      </c>
      <c r="N933" s="372">
        <v>0.75700000000000001</v>
      </c>
      <c r="O933" s="704">
        <v>312.18503203387525</v>
      </c>
      <c r="P933" s="375" t="s">
        <v>619</v>
      </c>
      <c r="Q933" s="375" t="s">
        <v>619</v>
      </c>
      <c r="R933" s="696">
        <v>19760626</v>
      </c>
      <c r="S933" s="375" t="s">
        <v>6577</v>
      </c>
      <c r="T933" s="697" t="s">
        <v>768</v>
      </c>
      <c r="U933" s="372" t="s">
        <v>6578</v>
      </c>
      <c r="V933" s="722" t="s">
        <v>770</v>
      </c>
      <c r="W933" s="722">
        <v>0.54</v>
      </c>
      <c r="X933" s="722">
        <v>0.06</v>
      </c>
      <c r="Y933" s="722" t="s">
        <v>770</v>
      </c>
      <c r="Z933" s="382">
        <v>-1.7612316964391916E-2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18714.75</v>
      </c>
      <c r="AF933" s="372">
        <v>19702</v>
      </c>
      <c r="AG933" s="372">
        <v>20654.75</v>
      </c>
      <c r="AH933" s="372">
        <v>22730</v>
      </c>
    </row>
    <row r="934" spans="1:34">
      <c r="A934" s="372" t="s">
        <v>6579</v>
      </c>
      <c r="B934" s="373" t="s">
        <v>6580</v>
      </c>
      <c r="C934" s="372" t="s">
        <v>6581</v>
      </c>
      <c r="D934" s="374">
        <v>1345110044939</v>
      </c>
      <c r="E934" s="372" t="s">
        <v>6582</v>
      </c>
      <c r="F934" s="375" t="s">
        <v>2423</v>
      </c>
      <c r="G934" s="375" t="s">
        <v>2424</v>
      </c>
      <c r="H934" s="375" t="s">
        <v>858</v>
      </c>
      <c r="I934" s="375" t="s">
        <v>859</v>
      </c>
      <c r="J934" s="375">
        <v>9307.4713599999995</v>
      </c>
      <c r="K934" s="375">
        <v>-2082.36364</v>
      </c>
      <c r="L934" s="375">
        <v>-2300.9196499999998</v>
      </c>
      <c r="M934" s="375">
        <v>31175.593290000001</v>
      </c>
      <c r="N934" s="372" t="s">
        <v>1023</v>
      </c>
      <c r="O934" s="704">
        <v>11.608890635044503</v>
      </c>
      <c r="P934" s="375" t="s">
        <v>619</v>
      </c>
      <c r="Q934" s="372" t="s">
        <v>619</v>
      </c>
      <c r="R934" s="696">
        <v>20231010</v>
      </c>
      <c r="S934" s="372" t="s">
        <v>6583</v>
      </c>
      <c r="T934" s="697" t="s">
        <v>768</v>
      </c>
      <c r="U934" s="372" t="s">
        <v>6584</v>
      </c>
      <c r="V934" s="722" t="s">
        <v>770</v>
      </c>
      <c r="W934" s="722">
        <v>2.4300000000000002</v>
      </c>
      <c r="X934" s="722">
        <v>8.18</v>
      </c>
      <c r="Y934" s="722" t="s">
        <v>770</v>
      </c>
      <c r="Z934" s="382" t="s">
        <v>924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135</v>
      </c>
      <c r="AF934" s="372">
        <v>0</v>
      </c>
      <c r="AG934" s="372">
        <v>0</v>
      </c>
      <c r="AH934" s="372">
        <v>0</v>
      </c>
    </row>
    <row r="935" spans="1:34">
      <c r="A935" s="372" t="s">
        <v>6585</v>
      </c>
      <c r="B935" s="373" t="s">
        <v>6586</v>
      </c>
      <c r="C935" s="372" t="s">
        <v>6587</v>
      </c>
      <c r="D935" s="374">
        <v>1246110260311</v>
      </c>
      <c r="E935" s="372" t="s">
        <v>6588</v>
      </c>
      <c r="F935" s="375" t="s">
        <v>1246</v>
      </c>
      <c r="G935" s="375" t="s">
        <v>1246</v>
      </c>
      <c r="H935" s="375" t="s">
        <v>858</v>
      </c>
      <c r="I935" s="375" t="s">
        <v>859</v>
      </c>
      <c r="J935" s="375">
        <v>15733.5044</v>
      </c>
      <c r="K935" s="375">
        <v>-9199.6407999999992</v>
      </c>
      <c r="L935" s="375">
        <v>-10563.914769999999</v>
      </c>
      <c r="M935" s="375">
        <v>55057.362860000001</v>
      </c>
      <c r="N935" s="372">
        <v>0.48</v>
      </c>
      <c r="O935" s="704">
        <v>2.5659531588911286</v>
      </c>
      <c r="P935" s="375" t="s">
        <v>619</v>
      </c>
      <c r="Q935" s="375" t="s">
        <v>619</v>
      </c>
      <c r="R935" s="696">
        <v>20150813</v>
      </c>
      <c r="S935" s="375" t="s">
        <v>6589</v>
      </c>
      <c r="T935" s="697" t="s">
        <v>768</v>
      </c>
      <c r="U935" s="375" t="s">
        <v>6590</v>
      </c>
      <c r="V935" s="722" t="s">
        <v>770</v>
      </c>
      <c r="W935" s="722">
        <v>11</v>
      </c>
      <c r="X935" s="722">
        <v>37.950000000000003</v>
      </c>
      <c r="Y935" s="722" t="s">
        <v>770</v>
      </c>
      <c r="Z935" s="382" t="s">
        <v>924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6591</v>
      </c>
      <c r="B936" s="373" t="s">
        <v>6592</v>
      </c>
      <c r="C936" s="372" t="s">
        <v>6593</v>
      </c>
      <c r="D936" s="374">
        <v>1201110003765</v>
      </c>
      <c r="E936" s="372" t="s">
        <v>6594</v>
      </c>
      <c r="F936" s="375" t="s">
        <v>1320</v>
      </c>
      <c r="G936" s="375" t="s">
        <v>16103</v>
      </c>
      <c r="H936" s="375" t="s">
        <v>858</v>
      </c>
      <c r="I936" s="375" t="s">
        <v>859</v>
      </c>
      <c r="J936" s="375">
        <v>189187.80041</v>
      </c>
      <c r="K936" s="375">
        <v>-15278.620360000001</v>
      </c>
      <c r="L936" s="375">
        <v>-13320.49019</v>
      </c>
      <c r="M936" s="375">
        <v>218550.69208000001</v>
      </c>
      <c r="N936" s="372">
        <v>0.57799999999999996</v>
      </c>
      <c r="O936" s="704">
        <v>23.644102715418843</v>
      </c>
      <c r="P936" s="375" t="s">
        <v>619</v>
      </c>
      <c r="Q936" s="375" t="s">
        <v>619</v>
      </c>
      <c r="R936" s="696">
        <v>19921211</v>
      </c>
      <c r="S936" s="375" t="s">
        <v>6595</v>
      </c>
      <c r="T936" s="697" t="s">
        <v>768</v>
      </c>
      <c r="U936" s="375" t="s">
        <v>6596</v>
      </c>
      <c r="V936" s="722" t="s">
        <v>770</v>
      </c>
      <c r="W936" s="722">
        <v>0.77</v>
      </c>
      <c r="X936" s="722">
        <v>1.01</v>
      </c>
      <c r="Y936" s="722" t="s">
        <v>770</v>
      </c>
      <c r="Z936" s="382" t="s">
        <v>924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6597</v>
      </c>
      <c r="B937" s="373" t="s">
        <v>6598</v>
      </c>
      <c r="C937" s="372" t="s">
        <v>6599</v>
      </c>
      <c r="D937" s="374">
        <v>1101111627011</v>
      </c>
      <c r="E937" s="372" t="s">
        <v>6600</v>
      </c>
      <c r="F937" s="375" t="s">
        <v>1066</v>
      </c>
      <c r="G937" s="375" t="s">
        <v>2328</v>
      </c>
      <c r="H937" s="375" t="s">
        <v>3096</v>
      </c>
      <c r="I937" s="375" t="s">
        <v>859</v>
      </c>
      <c r="J937" s="375">
        <v>21167.212009999999</v>
      </c>
      <c r="K937" s="375">
        <v>-2592.47588</v>
      </c>
      <c r="L937" s="375">
        <v>-8165.9316799999997</v>
      </c>
      <c r="M937" s="375">
        <v>112158.91325</v>
      </c>
      <c r="N937" s="372">
        <v>0.64200000000000002</v>
      </c>
      <c r="O937" s="704">
        <v>70.531616386987665</v>
      </c>
      <c r="P937" s="375" t="s">
        <v>619</v>
      </c>
      <c r="Q937" s="375" t="s">
        <v>619</v>
      </c>
      <c r="R937" s="696">
        <v>20080701</v>
      </c>
      <c r="S937" s="375" t="s">
        <v>6601</v>
      </c>
      <c r="T937" s="697" t="s">
        <v>768</v>
      </c>
      <c r="U937" s="375" t="s">
        <v>6602</v>
      </c>
      <c r="V937" s="722" t="s">
        <v>770</v>
      </c>
      <c r="W937" s="722">
        <v>1.1000000000000001</v>
      </c>
      <c r="X937" s="722">
        <v>6.07</v>
      </c>
      <c r="Y937" s="722" t="s">
        <v>770</v>
      </c>
      <c r="Z937" s="382" t="s">
        <v>924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6603</v>
      </c>
      <c r="B938" s="373" t="s">
        <v>6604</v>
      </c>
      <c r="C938" s="372" t="s">
        <v>6605</v>
      </c>
      <c r="D938" s="374">
        <v>1311110433589</v>
      </c>
      <c r="E938" s="372" t="s">
        <v>6606</v>
      </c>
      <c r="F938" s="375" t="s">
        <v>6607</v>
      </c>
      <c r="G938" s="375" t="s">
        <v>6607</v>
      </c>
      <c r="H938" s="375" t="s">
        <v>858</v>
      </c>
      <c r="I938" s="375" t="s">
        <v>859</v>
      </c>
      <c r="J938" s="375">
        <v>103921.85122</v>
      </c>
      <c r="K938" s="375">
        <v>23405.331630000001</v>
      </c>
      <c r="L938" s="375">
        <v>30676.051660000001</v>
      </c>
      <c r="M938" s="375">
        <v>223496.20705</v>
      </c>
      <c r="N938" s="372">
        <v>0.65</v>
      </c>
      <c r="O938" s="704">
        <v>6.2589897281369572E-2</v>
      </c>
      <c r="P938" s="375" t="s">
        <v>619</v>
      </c>
      <c r="Q938" s="375" t="s">
        <v>619</v>
      </c>
      <c r="R938" s="696">
        <v>20160205</v>
      </c>
      <c r="S938" s="375" t="s">
        <v>6608</v>
      </c>
      <c r="T938" s="697">
        <v>0.23100000000000001</v>
      </c>
      <c r="U938" s="375" t="s">
        <v>6609</v>
      </c>
      <c r="V938" s="722">
        <v>6.67</v>
      </c>
      <c r="W938" s="722">
        <v>0.78</v>
      </c>
      <c r="X938" s="722">
        <v>1.73</v>
      </c>
      <c r="Y938" s="722">
        <v>6.56</v>
      </c>
      <c r="Z938" s="382">
        <v>0.10561731709509137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1091</v>
      </c>
      <c r="AF938" s="372">
        <v>1239</v>
      </c>
      <c r="AG938" s="372">
        <v>1414</v>
      </c>
      <c r="AH938" s="372">
        <v>0</v>
      </c>
    </row>
    <row r="939" spans="1:34">
      <c r="A939" s="372" t="s">
        <v>6610</v>
      </c>
      <c r="B939" s="373" t="s">
        <v>6611</v>
      </c>
      <c r="C939" s="372" t="s">
        <v>6612</v>
      </c>
      <c r="D939" s="374">
        <v>1101111468093</v>
      </c>
      <c r="E939" s="372" t="s">
        <v>6613</v>
      </c>
      <c r="F939" s="375" t="s">
        <v>6614</v>
      </c>
      <c r="G939" s="375" t="s">
        <v>6614</v>
      </c>
      <c r="H939" s="375" t="s">
        <v>3096</v>
      </c>
      <c r="I939" s="375" t="s">
        <v>859</v>
      </c>
      <c r="J939" s="375">
        <v>3426670.9841</v>
      </c>
      <c r="K939" s="375">
        <v>-5537.7425300000004</v>
      </c>
      <c r="L939" s="375">
        <v>-23694.262060000001</v>
      </c>
      <c r="M939" s="375">
        <v>794222.24395999999</v>
      </c>
      <c r="N939" s="372">
        <v>1.234</v>
      </c>
      <c r="O939" s="704">
        <v>96.062189952879478</v>
      </c>
      <c r="P939" s="375" t="s">
        <v>619</v>
      </c>
      <c r="Q939" s="372" t="s">
        <v>619</v>
      </c>
      <c r="R939" s="696">
        <v>19990701</v>
      </c>
      <c r="S939" s="372" t="s">
        <v>6615</v>
      </c>
      <c r="T939" s="697" t="s">
        <v>768</v>
      </c>
      <c r="U939" s="372" t="s">
        <v>6616</v>
      </c>
      <c r="V939" s="722">
        <v>11.16</v>
      </c>
      <c r="W939" s="722">
        <v>0.33</v>
      </c>
      <c r="X939" s="722">
        <v>0.05</v>
      </c>
      <c r="Y939" s="722" t="s">
        <v>770</v>
      </c>
      <c r="Z939" s="382" t="s">
        <v>924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6617</v>
      </c>
      <c r="B940" s="373" t="s">
        <v>6618</v>
      </c>
      <c r="C940" s="372" t="s">
        <v>6619</v>
      </c>
      <c r="D940" s="374">
        <v>1101110244965</v>
      </c>
      <c r="E940" s="372" t="s">
        <v>6620</v>
      </c>
      <c r="F940" s="375" t="s">
        <v>6621</v>
      </c>
      <c r="G940" s="375" t="s">
        <v>6622</v>
      </c>
      <c r="H940" s="375" t="s">
        <v>858</v>
      </c>
      <c r="I940" s="375" t="s">
        <v>859</v>
      </c>
      <c r="J940" s="375">
        <v>58363.402459999998</v>
      </c>
      <c r="K940" s="375">
        <v>-1108.9818</v>
      </c>
      <c r="L940" s="375">
        <v>2439.93174</v>
      </c>
      <c r="M940" s="375">
        <v>189350.59323999999</v>
      </c>
      <c r="N940" s="372">
        <v>0.55900000000000005</v>
      </c>
      <c r="O940" s="704">
        <v>0</v>
      </c>
      <c r="P940" s="375" t="s">
        <v>619</v>
      </c>
      <c r="Q940" s="372" t="s">
        <v>619</v>
      </c>
      <c r="R940" s="696">
        <v>19961024</v>
      </c>
      <c r="S940" s="372" t="s">
        <v>6623</v>
      </c>
      <c r="T940" s="697">
        <v>0.20900000000000002</v>
      </c>
      <c r="U940" s="372" t="s">
        <v>6624</v>
      </c>
      <c r="V940" s="722">
        <v>0</v>
      </c>
      <c r="W940" s="722">
        <v>0</v>
      </c>
      <c r="X940" s="722">
        <v>0</v>
      </c>
      <c r="Y940" s="722">
        <v>0</v>
      </c>
      <c r="Z940" s="382" t="s">
        <v>924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6625</v>
      </c>
      <c r="B941" s="373" t="s">
        <v>6626</v>
      </c>
      <c r="C941" s="372" t="s">
        <v>6627</v>
      </c>
      <c r="D941" s="374">
        <v>1358110266776</v>
      </c>
      <c r="E941" s="372" t="s">
        <v>6628</v>
      </c>
      <c r="F941" s="375" t="s">
        <v>842</v>
      </c>
      <c r="G941" s="375" t="s">
        <v>842</v>
      </c>
      <c r="H941" s="375" t="s">
        <v>3096</v>
      </c>
      <c r="I941" s="375" t="s">
        <v>859</v>
      </c>
      <c r="J941" s="375">
        <v>0</v>
      </c>
      <c r="K941" s="375">
        <v>0</v>
      </c>
      <c r="L941" s="375">
        <v>0</v>
      </c>
      <c r="M941" s="375">
        <v>49235.343860000001</v>
      </c>
      <c r="N941" s="372" t="s">
        <v>1023</v>
      </c>
      <c r="O941" s="704">
        <v>18.12857781353711</v>
      </c>
      <c r="P941" s="375" t="s">
        <v>619</v>
      </c>
      <c r="Q941" s="375" t="s">
        <v>619</v>
      </c>
      <c r="R941" s="696">
        <v>20231213</v>
      </c>
      <c r="S941" s="375" t="s">
        <v>6629</v>
      </c>
      <c r="T941" s="697" t="s">
        <v>768</v>
      </c>
      <c r="U941" s="375" t="s">
        <v>6630</v>
      </c>
      <c r="V941" s="722">
        <v>0</v>
      </c>
      <c r="W941" s="722">
        <v>5.51</v>
      </c>
      <c r="X941" s="722">
        <v>0</v>
      </c>
      <c r="Y941" s="722">
        <v>0</v>
      </c>
      <c r="Z941" s="382" t="s">
        <v>924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6631</v>
      </c>
      <c r="B942" s="373" t="s">
        <v>6632</v>
      </c>
      <c r="C942" s="372" t="s">
        <v>6633</v>
      </c>
      <c r="D942" s="374">
        <v>1101110529747</v>
      </c>
      <c r="E942" s="372" t="s">
        <v>6634</v>
      </c>
      <c r="F942" s="375" t="s">
        <v>6635</v>
      </c>
      <c r="G942" s="375" t="s">
        <v>6635</v>
      </c>
      <c r="H942" s="375" t="s">
        <v>858</v>
      </c>
      <c r="I942" s="375" t="s">
        <v>4410</v>
      </c>
      <c r="J942" s="375">
        <v>6431.8893399999997</v>
      </c>
      <c r="K942" s="375">
        <v>372.11950000000002</v>
      </c>
      <c r="L942" s="375">
        <v>-9344.4817700000003</v>
      </c>
      <c r="M942" s="375">
        <v>38847.364459999997</v>
      </c>
      <c r="N942" s="372" t="s">
        <v>1023</v>
      </c>
      <c r="O942" s="704" t="e">
        <v>#DIV/0!</v>
      </c>
      <c r="P942" s="375" t="s">
        <v>619</v>
      </c>
      <c r="Q942" s="372" t="s">
        <v>619</v>
      </c>
      <c r="R942" s="696">
        <v>20030627</v>
      </c>
      <c r="S942" s="372" t="e">
        <v>#N/A</v>
      </c>
      <c r="T942" s="697" t="s">
        <v>768</v>
      </c>
      <c r="U942" s="372" t="s">
        <v>6636</v>
      </c>
      <c r="V942" s="722">
        <v>3.57</v>
      </c>
      <c r="W942" s="722">
        <v>0.17</v>
      </c>
      <c r="X942" s="722">
        <v>0</v>
      </c>
      <c r="Y942" s="722">
        <v>0</v>
      </c>
      <c r="Z942" s="382" t="s">
        <v>924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6637</v>
      </c>
      <c r="B943" s="373" t="s">
        <v>6638</v>
      </c>
      <c r="C943" s="372" t="s">
        <v>6639</v>
      </c>
      <c r="D943" s="374">
        <v>1701110166737</v>
      </c>
      <c r="E943" s="372" t="s">
        <v>6640</v>
      </c>
      <c r="F943" s="375" t="s">
        <v>1182</v>
      </c>
      <c r="G943" s="375" t="s">
        <v>3112</v>
      </c>
      <c r="H943" s="375" t="s">
        <v>858</v>
      </c>
      <c r="I943" s="375" t="s">
        <v>859</v>
      </c>
      <c r="J943" s="375">
        <v>282273.99917000002</v>
      </c>
      <c r="K943" s="375">
        <v>26272.233759999999</v>
      </c>
      <c r="L943" s="375">
        <v>21300.043369999999</v>
      </c>
      <c r="M943" s="375">
        <v>189155.87640000001</v>
      </c>
      <c r="N943" s="372">
        <v>1.0369999999999999</v>
      </c>
      <c r="O943" s="704">
        <v>8.0380984733605061</v>
      </c>
      <c r="P943" s="375" t="s">
        <v>619</v>
      </c>
      <c r="Q943" s="375" t="s">
        <v>619</v>
      </c>
      <c r="R943" s="696">
        <v>20051011</v>
      </c>
      <c r="S943" s="375" t="s">
        <v>6641</v>
      </c>
      <c r="T943" s="697">
        <v>0.23100000000000001</v>
      </c>
      <c r="U943" s="372" t="s">
        <v>6642</v>
      </c>
      <c r="V943" s="722">
        <v>7.65</v>
      </c>
      <c r="W943" s="722">
        <v>1.0900000000000001</v>
      </c>
      <c r="X943" s="722">
        <v>0.75</v>
      </c>
      <c r="Y943" s="722">
        <v>12.48</v>
      </c>
      <c r="Z943" s="382">
        <v>0.32435576213013206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3119</v>
      </c>
      <c r="AF943" s="372">
        <v>4445</v>
      </c>
      <c r="AG943" s="372">
        <v>5748</v>
      </c>
      <c r="AH943" s="372">
        <v>0</v>
      </c>
    </row>
    <row r="944" spans="1:34">
      <c r="A944" s="372" t="s">
        <v>6643</v>
      </c>
      <c r="B944" s="373" t="s">
        <v>6644</v>
      </c>
      <c r="C944" s="372" t="s">
        <v>6645</v>
      </c>
      <c r="D944" s="374">
        <v>1101111846174</v>
      </c>
      <c r="E944" s="372" t="s">
        <v>6646</v>
      </c>
      <c r="F944" s="375" t="s">
        <v>1093</v>
      </c>
      <c r="G944" s="375" t="s">
        <v>1094</v>
      </c>
      <c r="H944" s="375" t="s">
        <v>823</v>
      </c>
      <c r="I944" s="375" t="s">
        <v>751</v>
      </c>
      <c r="J944" s="375">
        <v>266044.12313000002</v>
      </c>
      <c r="K944" s="375">
        <v>16319.150589999999</v>
      </c>
      <c r="L944" s="375">
        <v>13623.382879999999</v>
      </c>
      <c r="M944" s="375">
        <v>92055.85901</v>
      </c>
      <c r="N944" s="372">
        <v>0.61</v>
      </c>
      <c r="O944" s="704">
        <v>7.6717580268988881</v>
      </c>
      <c r="P944" s="375" t="s">
        <v>619</v>
      </c>
      <c r="Q944" s="375" t="s">
        <v>619</v>
      </c>
      <c r="R944" s="696">
        <v>20050202</v>
      </c>
      <c r="S944" s="375" t="s">
        <v>6647</v>
      </c>
      <c r="T944" s="697">
        <v>0.20900000000000002</v>
      </c>
      <c r="U944" s="372" t="s">
        <v>6648</v>
      </c>
      <c r="V944" s="722">
        <v>7.36</v>
      </c>
      <c r="W944" s="722">
        <v>2.19</v>
      </c>
      <c r="X944" s="722">
        <v>0.76</v>
      </c>
      <c r="Y944" s="722">
        <v>16.86</v>
      </c>
      <c r="Z944" s="382" t="s">
        <v>924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6649</v>
      </c>
      <c r="B945" s="373" t="s">
        <v>6650</v>
      </c>
      <c r="C945" s="372" t="s">
        <v>6651</v>
      </c>
      <c r="D945" s="374">
        <v>1101110212699</v>
      </c>
      <c r="E945" s="372" t="s">
        <v>6651</v>
      </c>
      <c r="F945" s="372" t="s">
        <v>2839</v>
      </c>
      <c r="G945" s="375" t="s">
        <v>4675</v>
      </c>
      <c r="H945" s="375" t="s">
        <v>823</v>
      </c>
      <c r="I945" s="375" t="s">
        <v>751</v>
      </c>
      <c r="J945" s="375">
        <v>466603.53785999998</v>
      </c>
      <c r="K945" s="375">
        <v>22706.73762</v>
      </c>
      <c r="L945" s="375">
        <v>122825.32909</v>
      </c>
      <c r="M945" s="375">
        <v>450105.92317000002</v>
      </c>
      <c r="N945" s="372">
        <v>0.86099999999999999</v>
      </c>
      <c r="O945" s="704">
        <v>43.956497833272472</v>
      </c>
      <c r="P945" s="375" t="s">
        <v>619</v>
      </c>
      <c r="Q945" s="375" t="s">
        <v>619</v>
      </c>
      <c r="R945" s="696">
        <v>19690908</v>
      </c>
      <c r="S945" s="375" t="s">
        <v>6652</v>
      </c>
      <c r="T945" s="697">
        <v>0.23100000000000001</v>
      </c>
      <c r="U945" s="372" t="s">
        <v>6653</v>
      </c>
      <c r="V945" s="722">
        <v>3.19</v>
      </c>
      <c r="W945" s="722">
        <v>0.45</v>
      </c>
      <c r="X945" s="722">
        <v>0.45</v>
      </c>
      <c r="Y945" s="722">
        <v>2.2999999999999998</v>
      </c>
      <c r="Z945" s="382" t="s">
        <v>924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6654</v>
      </c>
      <c r="B946" s="373" t="s">
        <v>6655</v>
      </c>
      <c r="C946" s="372" t="s">
        <v>6656</v>
      </c>
      <c r="D946" s="374">
        <v>1101110565163</v>
      </c>
      <c r="E946" s="372" t="s">
        <v>6657</v>
      </c>
      <c r="F946" s="375" t="s">
        <v>5298</v>
      </c>
      <c r="G946" s="375" t="s">
        <v>5298</v>
      </c>
      <c r="H946" s="375" t="s">
        <v>858</v>
      </c>
      <c r="I946" s="375" t="s">
        <v>859</v>
      </c>
      <c r="J946" s="375">
        <v>3235677.82815</v>
      </c>
      <c r="K946" s="375">
        <v>135056.57558999999</v>
      </c>
      <c r="L946" s="375">
        <v>110097.97356</v>
      </c>
      <c r="M946" s="375">
        <v>1080926.3649899999</v>
      </c>
      <c r="N946" s="372">
        <v>0.86299999999999999</v>
      </c>
      <c r="O946" s="704">
        <v>730.48956054491941</v>
      </c>
      <c r="P946" s="375" t="s">
        <v>619</v>
      </c>
      <c r="Q946" s="372" t="s">
        <v>619</v>
      </c>
      <c r="R946" s="696">
        <v>19991120</v>
      </c>
      <c r="S946" s="372" t="s">
        <v>851</v>
      </c>
      <c r="T946" s="697">
        <v>0.23100000000000001</v>
      </c>
      <c r="U946" s="372" t="s">
        <v>6658</v>
      </c>
      <c r="V946" s="722">
        <v>6.82</v>
      </c>
      <c r="W946" s="722">
        <v>0.28000000000000003</v>
      </c>
      <c r="X946" s="722">
        <v>0.05</v>
      </c>
      <c r="Y946" s="722">
        <v>3.25</v>
      </c>
      <c r="Z946" s="382" t="s">
        <v>924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6659</v>
      </c>
      <c r="B947" s="373" t="s">
        <v>6660</v>
      </c>
      <c r="C947" s="372" t="s">
        <v>6661</v>
      </c>
      <c r="D947" s="374">
        <v>1101115487437</v>
      </c>
      <c r="E947" s="372" t="s">
        <v>6662</v>
      </c>
      <c r="F947" s="375" t="s">
        <v>1113</v>
      </c>
      <c r="G947" s="375" t="s">
        <v>1333</v>
      </c>
      <c r="H947" s="375" t="s">
        <v>1334</v>
      </c>
      <c r="I947" s="375" t="s">
        <v>859</v>
      </c>
      <c r="J947" s="375">
        <v>61320.364229999999</v>
      </c>
      <c r="K947" s="375">
        <v>-11302.07777</v>
      </c>
      <c r="L947" s="375">
        <v>-8510.5234999999993</v>
      </c>
      <c r="M947" s="375">
        <v>58279.579940000003</v>
      </c>
      <c r="N947" s="372">
        <v>0.88900000000000001</v>
      </c>
      <c r="O947" s="704">
        <v>12.453153884236585</v>
      </c>
      <c r="P947" s="375" t="s">
        <v>619</v>
      </c>
      <c r="Q947" s="375" t="s">
        <v>619</v>
      </c>
      <c r="R947" s="696">
        <v>20201118</v>
      </c>
      <c r="S947" s="375" t="s">
        <v>6663</v>
      </c>
      <c r="T947" s="697" t="s">
        <v>768</v>
      </c>
      <c r="U947" s="375" t="s">
        <v>6664</v>
      </c>
      <c r="V947" s="722" t="s">
        <v>770</v>
      </c>
      <c r="W947" s="722">
        <v>3.13</v>
      </c>
      <c r="X947" s="722">
        <v>2.08</v>
      </c>
      <c r="Y947" s="722" t="s">
        <v>770</v>
      </c>
      <c r="Z947" s="382" t="s">
        <v>924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6665</v>
      </c>
      <c r="B948" s="373" t="s">
        <v>6666</v>
      </c>
      <c r="C948" s="372" t="s">
        <v>6667</v>
      </c>
      <c r="D948" s="374">
        <v>1201110050104</v>
      </c>
      <c r="E948" s="372" t="s">
        <v>6668</v>
      </c>
      <c r="F948" s="375" t="s">
        <v>5766</v>
      </c>
      <c r="G948" s="375" t="s">
        <v>5766</v>
      </c>
      <c r="H948" s="375" t="s">
        <v>1334</v>
      </c>
      <c r="I948" s="375" t="s">
        <v>859</v>
      </c>
      <c r="J948" s="375">
        <v>919404.78821999999</v>
      </c>
      <c r="K948" s="375">
        <v>-229812.22969000001</v>
      </c>
      <c r="L948" s="375">
        <v>-164974.84966000001</v>
      </c>
      <c r="M948" s="375">
        <v>665071.96687</v>
      </c>
      <c r="N948" s="372">
        <v>0.995</v>
      </c>
      <c r="O948" s="704">
        <v>1232.4273945446346</v>
      </c>
      <c r="P948" s="375" t="s">
        <v>619</v>
      </c>
      <c r="Q948" s="375" t="s">
        <v>619</v>
      </c>
      <c r="R948" s="696">
        <v>20000816</v>
      </c>
      <c r="S948" s="375" t="s">
        <v>6669</v>
      </c>
      <c r="T948" s="697" t="s">
        <v>768</v>
      </c>
      <c r="U948" s="372" t="s">
        <v>6670</v>
      </c>
      <c r="V948" s="722" t="s">
        <v>770</v>
      </c>
      <c r="W948" s="722">
        <v>0.18</v>
      </c>
      <c r="X948" s="722">
        <v>0.11</v>
      </c>
      <c r="Y948" s="722" t="s">
        <v>770</v>
      </c>
      <c r="Z948" s="382" t="s">
        <v>924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6671</v>
      </c>
      <c r="B949" s="373" t="s">
        <v>6672</v>
      </c>
      <c r="C949" s="372" t="s">
        <v>6673</v>
      </c>
      <c r="D949" s="374">
        <v>1801110004323</v>
      </c>
      <c r="E949" s="372" t="s">
        <v>6674</v>
      </c>
      <c r="F949" s="372" t="s">
        <v>2861</v>
      </c>
      <c r="G949" s="375" t="s">
        <v>2862</v>
      </c>
      <c r="H949" s="375" t="s">
        <v>823</v>
      </c>
      <c r="I949" s="375" t="s">
        <v>751</v>
      </c>
      <c r="J949" s="375">
        <v>1711295.7737499999</v>
      </c>
      <c r="K949" s="375">
        <v>81403.955749999994</v>
      </c>
      <c r="L949" s="375">
        <v>26418.2752</v>
      </c>
      <c r="M949" s="375">
        <v>597828.51960999996</v>
      </c>
      <c r="N949" s="372">
        <v>0.57699999999999996</v>
      </c>
      <c r="O949" s="704">
        <v>396.89143006423222</v>
      </c>
      <c r="P949" s="375" t="s">
        <v>619</v>
      </c>
      <c r="Q949" s="375" t="s">
        <v>619</v>
      </c>
      <c r="R949" s="696">
        <v>19910204</v>
      </c>
      <c r="S949" s="375" t="s">
        <v>6675</v>
      </c>
      <c r="T949" s="697">
        <v>0.23100000000000001</v>
      </c>
      <c r="U949" s="372" t="s">
        <v>6676</v>
      </c>
      <c r="V949" s="722">
        <v>6.88</v>
      </c>
      <c r="W949" s="722">
        <v>0.62</v>
      </c>
      <c r="X949" s="722">
        <v>0.13</v>
      </c>
      <c r="Y949" s="722">
        <v>18.66</v>
      </c>
      <c r="Z949" s="382" t="s">
        <v>924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6677</v>
      </c>
      <c r="B950" s="373" t="s">
        <v>6678</v>
      </c>
      <c r="C950" s="372" t="s">
        <v>6679</v>
      </c>
      <c r="D950" s="374">
        <v>1101112422379</v>
      </c>
      <c r="E950" s="372" t="s">
        <v>6680</v>
      </c>
      <c r="F950" s="375" t="s">
        <v>1959</v>
      </c>
      <c r="G950" s="375" t="s">
        <v>1959</v>
      </c>
      <c r="H950" s="375" t="s">
        <v>858</v>
      </c>
      <c r="I950" s="375" t="s">
        <v>859</v>
      </c>
      <c r="J950" s="375">
        <v>61925.953609999997</v>
      </c>
      <c r="K950" s="375">
        <v>-1718.91173</v>
      </c>
      <c r="L950" s="375">
        <v>-1918.0571199999999</v>
      </c>
      <c r="M950" s="375">
        <v>29581.17957</v>
      </c>
      <c r="N950" s="372">
        <v>1.4059999999999999</v>
      </c>
      <c r="O950" s="704">
        <v>15.125371869593952</v>
      </c>
      <c r="P950" s="375" t="s">
        <v>619</v>
      </c>
      <c r="Q950" s="375" t="s">
        <v>619</v>
      </c>
      <c r="R950" s="696">
        <v>20221124</v>
      </c>
      <c r="S950" s="375" t="s">
        <v>6681</v>
      </c>
      <c r="T950" s="697" t="s">
        <v>768</v>
      </c>
      <c r="U950" s="372" t="s">
        <v>6682</v>
      </c>
      <c r="V950" s="722" t="s">
        <v>770</v>
      </c>
      <c r="W950" s="722">
        <v>3.56</v>
      </c>
      <c r="X950" s="722">
        <v>1.7</v>
      </c>
      <c r="Y950" s="722" t="s">
        <v>770</v>
      </c>
      <c r="Z950" s="382" t="s">
        <v>924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916</v>
      </c>
      <c r="AF950" s="372">
        <v>1264</v>
      </c>
      <c r="AG950" s="372">
        <v>0</v>
      </c>
      <c r="AH950" s="372">
        <v>0</v>
      </c>
    </row>
    <row r="951" spans="1:34">
      <c r="A951" s="372" t="s">
        <v>6683</v>
      </c>
      <c r="B951" s="373" t="s">
        <v>6684</v>
      </c>
      <c r="C951" s="372" t="s">
        <v>6685</v>
      </c>
      <c r="D951" s="374">
        <v>1101113773094</v>
      </c>
      <c r="E951" s="372" t="s">
        <v>6686</v>
      </c>
      <c r="F951" s="375" t="s">
        <v>6687</v>
      </c>
      <c r="G951" s="375" t="s">
        <v>6688</v>
      </c>
      <c r="H951" s="375" t="s">
        <v>892</v>
      </c>
      <c r="I951" s="375" t="s">
        <v>859</v>
      </c>
      <c r="J951" s="375">
        <v>795878.85981000005</v>
      </c>
      <c r="K951" s="375">
        <v>84683.461030000006</v>
      </c>
      <c r="L951" s="375">
        <v>78036.146229999998</v>
      </c>
      <c r="M951" s="375">
        <v>135524.67061999999</v>
      </c>
      <c r="N951" s="372">
        <v>0.67800000000000005</v>
      </c>
      <c r="O951" s="704">
        <v>23.729234361014143</v>
      </c>
      <c r="P951" s="375" t="s">
        <v>619</v>
      </c>
      <c r="Q951" s="375" t="s">
        <v>619</v>
      </c>
      <c r="R951" s="696">
        <v>20151116</v>
      </c>
      <c r="S951" s="375" t="s">
        <v>6689</v>
      </c>
      <c r="T951" s="697">
        <v>0.23100000000000001</v>
      </c>
      <c r="U951" s="372" t="s">
        <v>6690</v>
      </c>
      <c r="V951" s="722">
        <v>2.4300000000000002</v>
      </c>
      <c r="W951" s="722">
        <v>1.65</v>
      </c>
      <c r="X951" s="722">
        <v>0.3</v>
      </c>
      <c r="Y951" s="722">
        <v>4.0999999999999996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8051</v>
      </c>
      <c r="AF951" s="372">
        <v>9251</v>
      </c>
      <c r="AG951" s="372">
        <v>9709</v>
      </c>
      <c r="AH951" s="372">
        <v>0</v>
      </c>
    </row>
    <row r="952" spans="1:34">
      <c r="A952" s="372" t="s">
        <v>6691</v>
      </c>
      <c r="B952" s="373" t="s">
        <v>6692</v>
      </c>
      <c r="C952" s="372" t="s">
        <v>6693</v>
      </c>
      <c r="D952" s="374">
        <v>1760110038073</v>
      </c>
      <c r="E952" s="372" t="s">
        <v>6694</v>
      </c>
      <c r="F952" s="375" t="s">
        <v>1653</v>
      </c>
      <c r="G952" s="375" t="s">
        <v>1653</v>
      </c>
      <c r="H952" s="375" t="s">
        <v>858</v>
      </c>
      <c r="I952" s="375" t="s">
        <v>859</v>
      </c>
      <c r="J952" s="375">
        <v>176798.43953999999</v>
      </c>
      <c r="K952" s="375">
        <v>-380.86399</v>
      </c>
      <c r="L952" s="375">
        <v>512.84216000000004</v>
      </c>
      <c r="M952" s="375">
        <v>205646.32461000001</v>
      </c>
      <c r="N952" s="372">
        <v>0.81299999999999994</v>
      </c>
      <c r="O952" s="704">
        <v>2.0856861295885687</v>
      </c>
      <c r="P952" s="375" t="s">
        <v>619</v>
      </c>
      <c r="Q952" s="375" t="s">
        <v>619</v>
      </c>
      <c r="R952" s="696">
        <v>20210611</v>
      </c>
      <c r="S952" s="375" t="s">
        <v>6695</v>
      </c>
      <c r="T952" s="697">
        <v>0.20900000000000002</v>
      </c>
      <c r="U952" s="375" t="s">
        <v>6696</v>
      </c>
      <c r="V952" s="722">
        <v>0</v>
      </c>
      <c r="W952" s="722">
        <v>0</v>
      </c>
      <c r="X952" s="722">
        <v>0</v>
      </c>
      <c r="Y952" s="722">
        <v>0</v>
      </c>
      <c r="Z952" s="382" t="s">
        <v>924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6697</v>
      </c>
      <c r="B953" s="373" t="s">
        <v>6698</v>
      </c>
      <c r="C953" s="372" t="s">
        <v>6699</v>
      </c>
      <c r="D953" s="374">
        <v>1311110058402</v>
      </c>
      <c r="E953" s="372" t="s">
        <v>6700</v>
      </c>
      <c r="F953" s="375" t="s">
        <v>1182</v>
      </c>
      <c r="G953" s="375" t="s">
        <v>1183</v>
      </c>
      <c r="H953" s="375" t="s">
        <v>858</v>
      </c>
      <c r="I953" s="375" t="s">
        <v>859</v>
      </c>
      <c r="J953" s="375">
        <v>29864.20336</v>
      </c>
      <c r="K953" s="375">
        <v>-19194.461360000001</v>
      </c>
      <c r="L953" s="375">
        <v>-9681.4342500000002</v>
      </c>
      <c r="M953" s="375">
        <v>175008.11502</v>
      </c>
      <c r="N953" s="372">
        <v>1.1639999999999999</v>
      </c>
      <c r="O953" s="704">
        <v>4.8816613046998638</v>
      </c>
      <c r="P953" s="375" t="s">
        <v>619</v>
      </c>
      <c r="Q953" s="375" t="s">
        <v>619</v>
      </c>
      <c r="R953" s="696">
        <v>20141224</v>
      </c>
      <c r="S953" s="375" t="s">
        <v>3485</v>
      </c>
      <c r="T953" s="697" t="s">
        <v>768</v>
      </c>
      <c r="U953" s="372" t="s">
        <v>6701</v>
      </c>
      <c r="V953" s="722" t="s">
        <v>770</v>
      </c>
      <c r="W953" s="722">
        <v>0.94</v>
      </c>
      <c r="X953" s="722">
        <v>5.13</v>
      </c>
      <c r="Y953" s="722" t="s">
        <v>770</v>
      </c>
      <c r="Z953" s="382" t="s">
        <v>924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6702</v>
      </c>
      <c r="B954" s="373" t="s">
        <v>6703</v>
      </c>
      <c r="C954" s="372" t="s">
        <v>6704</v>
      </c>
      <c r="D954" s="374">
        <v>1701110007098</v>
      </c>
      <c r="E954" s="372" t="s">
        <v>6705</v>
      </c>
      <c r="F954" s="375" t="s">
        <v>1052</v>
      </c>
      <c r="G954" s="375" t="s">
        <v>16101</v>
      </c>
      <c r="H954" s="375" t="s">
        <v>858</v>
      </c>
      <c r="I954" s="375" t="s">
        <v>859</v>
      </c>
      <c r="J954" s="375">
        <v>0</v>
      </c>
      <c r="K954" s="375">
        <v>0</v>
      </c>
      <c r="L954" s="375">
        <v>0</v>
      </c>
      <c r="M954" s="375">
        <v>72576.721569999994</v>
      </c>
      <c r="N954" s="372">
        <v>0.55600000000000005</v>
      </c>
      <c r="O954" s="704">
        <v>22.420688429768475</v>
      </c>
      <c r="P954" s="375" t="s">
        <v>619</v>
      </c>
      <c r="Q954" s="375" t="s">
        <v>619</v>
      </c>
      <c r="R954" s="696">
        <v>20000811</v>
      </c>
      <c r="S954" s="375" t="s">
        <v>6706</v>
      </c>
      <c r="T954" s="697" t="s">
        <v>768</v>
      </c>
      <c r="U954" s="372" t="s">
        <v>6707</v>
      </c>
      <c r="V954" s="722">
        <v>0</v>
      </c>
      <c r="W954" s="722">
        <v>1.84</v>
      </c>
      <c r="X954" s="722">
        <v>0</v>
      </c>
      <c r="Y954" s="722">
        <v>0</v>
      </c>
      <c r="Z954" s="382" t="s">
        <v>924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6708</v>
      </c>
      <c r="B955" s="373" t="s">
        <v>6709</v>
      </c>
      <c r="C955" s="372" t="s">
        <v>6710</v>
      </c>
      <c r="D955" s="374">
        <v>1101111216757</v>
      </c>
      <c r="E955" s="372" t="s">
        <v>6711</v>
      </c>
      <c r="F955" s="375" t="s">
        <v>5129</v>
      </c>
      <c r="G955" s="375" t="s">
        <v>5130</v>
      </c>
      <c r="H955" s="375" t="s">
        <v>843</v>
      </c>
      <c r="I955" s="375" t="s">
        <v>751</v>
      </c>
      <c r="J955" s="375">
        <v>696074.71487000003</v>
      </c>
      <c r="K955" s="375">
        <v>32555.88708</v>
      </c>
      <c r="L955" s="375">
        <v>19321.416099999999</v>
      </c>
      <c r="M955" s="375">
        <v>227761.99757000001</v>
      </c>
      <c r="N955" s="372">
        <v>0.92600000000000005</v>
      </c>
      <c r="O955" s="704">
        <v>132.29260500931468</v>
      </c>
      <c r="P955" s="375" t="s">
        <v>619</v>
      </c>
      <c r="Q955" s="372" t="s">
        <v>619</v>
      </c>
      <c r="R955" s="696">
        <v>20040805</v>
      </c>
      <c r="S955" s="372" t="s">
        <v>6712</v>
      </c>
      <c r="T955" s="697">
        <v>0.20900000000000002</v>
      </c>
      <c r="U955" s="372" t="s">
        <v>6713</v>
      </c>
      <c r="V955" s="722">
        <v>3.56</v>
      </c>
      <c r="W955" s="722">
        <v>0.46</v>
      </c>
      <c r="X955" s="722">
        <v>0.15</v>
      </c>
      <c r="Y955" s="722">
        <v>8.42</v>
      </c>
      <c r="Z955" s="382" t="s">
        <v>924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6714</v>
      </c>
      <c r="B956" s="373" t="s">
        <v>6715</v>
      </c>
      <c r="C956" s="372" t="s">
        <v>6716</v>
      </c>
      <c r="D956" s="374">
        <v>1101114063535</v>
      </c>
      <c r="E956" s="372" t="s">
        <v>6717</v>
      </c>
      <c r="F956" s="375" t="s">
        <v>3177</v>
      </c>
      <c r="G956" s="375" t="s">
        <v>3178</v>
      </c>
      <c r="H956" s="375" t="s">
        <v>1334</v>
      </c>
      <c r="I956" s="375" t="s">
        <v>859</v>
      </c>
      <c r="J956" s="375">
        <v>305110.95577</v>
      </c>
      <c r="K956" s="375">
        <v>42244.625390000001</v>
      </c>
      <c r="L956" s="375">
        <v>47399.630949999999</v>
      </c>
      <c r="M956" s="375">
        <v>323190.52828000003</v>
      </c>
      <c r="N956" s="372">
        <v>0.56999999999999995</v>
      </c>
      <c r="O956" s="704">
        <v>16.763401565907284</v>
      </c>
      <c r="P956" s="375" t="s">
        <v>619</v>
      </c>
      <c r="Q956" s="375" t="s">
        <v>619</v>
      </c>
      <c r="R956" s="696">
        <v>20150630</v>
      </c>
      <c r="S956" s="375" t="s">
        <v>6718</v>
      </c>
      <c r="T956" s="697">
        <v>0.23100000000000001</v>
      </c>
      <c r="U956" s="372" t="s">
        <v>15879</v>
      </c>
      <c r="V956" s="722">
        <v>5.03</v>
      </c>
      <c r="W956" s="722">
        <v>0.78</v>
      </c>
      <c r="X956" s="722">
        <v>0.55000000000000004</v>
      </c>
      <c r="Y956" s="722">
        <v>5.42</v>
      </c>
      <c r="Z956" s="382">
        <v>7.2009904134944458E-2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3131</v>
      </c>
      <c r="AF956" s="372">
        <v>3450</v>
      </c>
      <c r="AG956" s="372">
        <v>3810</v>
      </c>
      <c r="AH956" s="372">
        <v>0</v>
      </c>
    </row>
    <row r="957" spans="1:34">
      <c r="A957" s="372" t="s">
        <v>6719</v>
      </c>
      <c r="B957" s="373" t="s">
        <v>6720</v>
      </c>
      <c r="C957" s="372" t="s">
        <v>6721</v>
      </c>
      <c r="D957" s="374">
        <v>1648110001961</v>
      </c>
      <c r="E957" s="372" t="s">
        <v>6722</v>
      </c>
      <c r="F957" s="375" t="s">
        <v>16098</v>
      </c>
      <c r="G957" s="375" t="s">
        <v>16098</v>
      </c>
      <c r="H957" s="375" t="s">
        <v>781</v>
      </c>
      <c r="I957" s="375" t="s">
        <v>751</v>
      </c>
      <c r="J957" s="375">
        <v>240510.03784</v>
      </c>
      <c r="K957" s="375">
        <v>10308.41231</v>
      </c>
      <c r="L957" s="375">
        <v>5325.0405300000002</v>
      </c>
      <c r="M957" s="375">
        <v>145730.62067999999</v>
      </c>
      <c r="N957" s="372">
        <v>0.57199999999999995</v>
      </c>
      <c r="O957" s="704">
        <v>50.714885181334424</v>
      </c>
      <c r="P957" s="375" t="s">
        <v>16112</v>
      </c>
      <c r="Q957" s="375" t="s">
        <v>619</v>
      </c>
      <c r="R957" s="696">
        <v>20150629</v>
      </c>
      <c r="S957" s="375" t="s">
        <v>6723</v>
      </c>
      <c r="T957" s="697">
        <v>0.20900000000000002</v>
      </c>
      <c r="U957" s="372" t="s">
        <v>6724</v>
      </c>
      <c r="V957" s="722">
        <v>0</v>
      </c>
      <c r="W957" s="722">
        <v>0</v>
      </c>
      <c r="X957" s="722">
        <v>0</v>
      </c>
      <c r="Y957" s="722">
        <v>0</v>
      </c>
      <c r="Z957" s="382" t="s">
        <v>924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6725</v>
      </c>
      <c r="B958" s="373" t="s">
        <v>6726</v>
      </c>
      <c r="C958" s="372" t="s">
        <v>6727</v>
      </c>
      <c r="D958" s="374">
        <v>1101112541575</v>
      </c>
      <c r="E958" s="372" t="s">
        <v>6728</v>
      </c>
      <c r="F958" s="375" t="s">
        <v>2853</v>
      </c>
      <c r="G958" s="375" t="s">
        <v>6729</v>
      </c>
      <c r="H958" s="375" t="s">
        <v>1334</v>
      </c>
      <c r="I958" s="375" t="s">
        <v>859</v>
      </c>
      <c r="J958" s="375">
        <v>228362.00104999999</v>
      </c>
      <c r="K958" s="375">
        <v>13159.6358</v>
      </c>
      <c r="L958" s="375">
        <v>6930.1672500000004</v>
      </c>
      <c r="M958" s="375">
        <v>36907.608690000001</v>
      </c>
      <c r="N958" s="372">
        <v>0.61199999999999999</v>
      </c>
      <c r="O958" s="704">
        <v>57.266494430552108</v>
      </c>
      <c r="P958" s="375" t="s">
        <v>619</v>
      </c>
      <c r="Q958" s="375" t="s">
        <v>619</v>
      </c>
      <c r="R958" s="696">
        <v>20080627</v>
      </c>
      <c r="S958" s="375" t="s">
        <v>6730</v>
      </c>
      <c r="T958" s="697">
        <v>0.20900000000000002</v>
      </c>
      <c r="U958" s="375" t="s">
        <v>15880</v>
      </c>
      <c r="V958" s="722">
        <v>5.98</v>
      </c>
      <c r="W958" s="722">
        <v>1.74</v>
      </c>
      <c r="X958" s="722">
        <v>0.79</v>
      </c>
      <c r="Y958" s="722">
        <v>29.15</v>
      </c>
      <c r="Z958" s="382" t="s">
        <v>924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6731</v>
      </c>
      <c r="B959" s="373" t="s">
        <v>6732</v>
      </c>
      <c r="C959" s="372" t="s">
        <v>6733</v>
      </c>
      <c r="D959" s="374">
        <v>1355110249041</v>
      </c>
      <c r="E959" s="372" t="s">
        <v>6734</v>
      </c>
      <c r="F959" s="375" t="s">
        <v>16098</v>
      </c>
      <c r="G959" s="375" t="s">
        <v>16098</v>
      </c>
      <c r="H959" s="375" t="s">
        <v>858</v>
      </c>
      <c r="I959" s="375" t="s">
        <v>859</v>
      </c>
      <c r="J959" s="375">
        <v>5080.8702499999999</v>
      </c>
      <c r="K959" s="375">
        <v>-14585.31997</v>
      </c>
      <c r="L959" s="375">
        <v>-13739.943649999999</v>
      </c>
      <c r="M959" s="375">
        <v>18356.067179999998</v>
      </c>
      <c r="N959" s="372">
        <v>0.67400000000000004</v>
      </c>
      <c r="O959" s="704">
        <v>26.722304750538374</v>
      </c>
      <c r="P959" s="375" t="s">
        <v>619</v>
      </c>
      <c r="Q959" s="372" t="s">
        <v>619</v>
      </c>
      <c r="R959" s="696">
        <v>20181128</v>
      </c>
      <c r="S959" s="372" t="s">
        <v>6735</v>
      </c>
      <c r="T959" s="697" t="s">
        <v>768</v>
      </c>
      <c r="U959" s="375" t="s">
        <v>6736</v>
      </c>
      <c r="V959" s="722">
        <v>0</v>
      </c>
      <c r="W959" s="722">
        <v>0</v>
      </c>
      <c r="X959" s="722">
        <v>0</v>
      </c>
      <c r="Y959" s="722">
        <v>0</v>
      </c>
      <c r="Z959" s="382" t="s">
        <v>924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6737</v>
      </c>
      <c r="B960" s="373" t="s">
        <v>6738</v>
      </c>
      <c r="C960" s="372" t="s">
        <v>6739</v>
      </c>
      <c r="D960" s="374">
        <v>1712110001253</v>
      </c>
      <c r="E960" s="372" t="s">
        <v>6740</v>
      </c>
      <c r="F960" s="375" t="s">
        <v>2989</v>
      </c>
      <c r="G960" s="375" t="s">
        <v>2989</v>
      </c>
      <c r="H960" s="375" t="s">
        <v>858</v>
      </c>
      <c r="I960" s="375" t="s">
        <v>859</v>
      </c>
      <c r="J960" s="375">
        <v>2330838.09191</v>
      </c>
      <c r="K960" s="375">
        <v>57900.337570000003</v>
      </c>
      <c r="L960" s="375">
        <v>31472.221809999999</v>
      </c>
      <c r="M960" s="375">
        <v>227723.20673999999</v>
      </c>
      <c r="N960" s="372">
        <v>1.2030000000000001</v>
      </c>
      <c r="O960" s="704">
        <v>464.49066682998017</v>
      </c>
      <c r="P960" s="375" t="s">
        <v>619</v>
      </c>
      <c r="Q960" s="375" t="s">
        <v>619</v>
      </c>
      <c r="R960" s="696">
        <v>20000321</v>
      </c>
      <c r="S960" s="375" t="s">
        <v>6741</v>
      </c>
      <c r="T960" s="697">
        <v>0.23100000000000001</v>
      </c>
      <c r="U960" s="375" t="s">
        <v>6742</v>
      </c>
      <c r="V960" s="722">
        <v>5.08</v>
      </c>
      <c r="W960" s="722">
        <v>0.56000000000000005</v>
      </c>
      <c r="X960" s="722">
        <v>0.05</v>
      </c>
      <c r="Y960" s="722">
        <v>5.7</v>
      </c>
      <c r="Z960" s="382" t="s">
        <v>924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6743</v>
      </c>
      <c r="B961" s="373" t="s">
        <v>6744</v>
      </c>
      <c r="C961" s="372" t="s">
        <v>6745</v>
      </c>
      <c r="D961" s="374">
        <v>1201110019382</v>
      </c>
      <c r="E961" s="372" t="s">
        <v>6746</v>
      </c>
      <c r="F961" s="375" t="s">
        <v>2665</v>
      </c>
      <c r="G961" s="375" t="s">
        <v>2665</v>
      </c>
      <c r="H961" s="375" t="s">
        <v>1536</v>
      </c>
      <c r="I961" s="375" t="s">
        <v>751</v>
      </c>
      <c r="J961" s="375">
        <v>2769664.20627</v>
      </c>
      <c r="K961" s="375">
        <v>164774.29037</v>
      </c>
      <c r="L961" s="375">
        <v>109498.33262</v>
      </c>
      <c r="M961" s="375">
        <v>985480.03663999995</v>
      </c>
      <c r="N961" s="372">
        <v>0.75</v>
      </c>
      <c r="O961" s="704">
        <v>441.65421128096688</v>
      </c>
      <c r="P961" s="375" t="s">
        <v>619</v>
      </c>
      <c r="Q961" s="375" t="s">
        <v>619</v>
      </c>
      <c r="R961" s="696">
        <v>19951113</v>
      </c>
      <c r="S961" s="375" t="s">
        <v>6747</v>
      </c>
      <c r="T961" s="697">
        <v>0.23100000000000001</v>
      </c>
      <c r="U961" s="372" t="s">
        <v>6748</v>
      </c>
      <c r="V961" s="722">
        <v>5.3</v>
      </c>
      <c r="W961" s="722">
        <v>0.35</v>
      </c>
      <c r="X961" s="722">
        <v>7.0000000000000007E-2</v>
      </c>
      <c r="Y961" s="722">
        <v>5.15</v>
      </c>
      <c r="Z961" s="382">
        <v>1.9680038590877302E-2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27722</v>
      </c>
      <c r="AF961" s="372">
        <v>28369</v>
      </c>
      <c r="AG961" s="372">
        <v>30062</v>
      </c>
      <c r="AH961" s="372">
        <v>0</v>
      </c>
    </row>
    <row r="962" spans="1:34">
      <c r="A962" s="372" t="s">
        <v>6749</v>
      </c>
      <c r="B962" s="373" t="s">
        <v>6750</v>
      </c>
      <c r="C962" s="372" t="s">
        <v>15881</v>
      </c>
      <c r="D962" s="374">
        <v>1101112072330</v>
      </c>
      <c r="E962" s="372" t="s">
        <v>6751</v>
      </c>
      <c r="F962" s="375" t="s">
        <v>6607</v>
      </c>
      <c r="G962" s="375" t="s">
        <v>6607</v>
      </c>
      <c r="H962" s="375" t="s">
        <v>858</v>
      </c>
      <c r="I962" s="375" t="s">
        <v>859</v>
      </c>
      <c r="J962" s="375">
        <v>24047.066849999999</v>
      </c>
      <c r="K962" s="375">
        <v>-8537.2956699999995</v>
      </c>
      <c r="L962" s="375">
        <v>-18506.875970000001</v>
      </c>
      <c r="M962" s="375">
        <v>39567.671119999999</v>
      </c>
      <c r="N962" s="372">
        <v>0.995</v>
      </c>
      <c r="O962" s="704">
        <v>90.157744236383593</v>
      </c>
      <c r="P962" s="375" t="s">
        <v>619</v>
      </c>
      <c r="Q962" s="372" t="s">
        <v>619</v>
      </c>
      <c r="R962" s="696">
        <v>20080201</v>
      </c>
      <c r="S962" s="375" t="s">
        <v>6752</v>
      </c>
      <c r="T962" s="697" t="s">
        <v>768</v>
      </c>
      <c r="U962" s="372" t="s">
        <v>6753</v>
      </c>
      <c r="V962" s="722" t="s">
        <v>770</v>
      </c>
      <c r="W962" s="722">
        <v>2.4700000000000002</v>
      </c>
      <c r="X962" s="722">
        <v>3.31</v>
      </c>
      <c r="Y962" s="722" t="s">
        <v>770</v>
      </c>
      <c r="Z962" s="382" t="s">
        <v>924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6754</v>
      </c>
      <c r="B963" s="373" t="s">
        <v>6755</v>
      </c>
      <c r="C963" s="372" t="s">
        <v>6756</v>
      </c>
      <c r="D963" s="374">
        <v>1101111572612</v>
      </c>
      <c r="E963" s="372" t="s">
        <v>6757</v>
      </c>
      <c r="F963" s="375" t="s">
        <v>2665</v>
      </c>
      <c r="G963" s="375" t="s">
        <v>2665</v>
      </c>
      <c r="H963" s="375" t="s">
        <v>858</v>
      </c>
      <c r="I963" s="375" t="s">
        <v>859</v>
      </c>
      <c r="J963" s="375">
        <v>345890.31255999999</v>
      </c>
      <c r="K963" s="375">
        <v>23081.041990000002</v>
      </c>
      <c r="L963" s="375">
        <v>7505.6086400000004</v>
      </c>
      <c r="M963" s="375">
        <v>374701.59892000002</v>
      </c>
      <c r="N963" s="372">
        <v>0.752</v>
      </c>
      <c r="O963" s="704">
        <v>189.34976025605431</v>
      </c>
      <c r="P963" s="375" t="s">
        <v>619</v>
      </c>
      <c r="Q963" s="375" t="s">
        <v>619</v>
      </c>
      <c r="R963" s="696">
        <v>20181001</v>
      </c>
      <c r="S963" s="375" t="s">
        <v>6758</v>
      </c>
      <c r="T963" s="697">
        <v>0.20900000000000002</v>
      </c>
      <c r="U963" s="372" t="s">
        <v>6759</v>
      </c>
      <c r="V963" s="722">
        <v>10.81</v>
      </c>
      <c r="W963" s="722">
        <v>0.36</v>
      </c>
      <c r="X963" s="722">
        <v>0.43</v>
      </c>
      <c r="Y963" s="722">
        <v>43.48</v>
      </c>
      <c r="Z963" s="382">
        <v>2.6799990820979724E-2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3590</v>
      </c>
      <c r="AF963" s="372">
        <v>3846</v>
      </c>
      <c r="AG963" s="372">
        <v>4080</v>
      </c>
      <c r="AH963" s="372">
        <v>0</v>
      </c>
    </row>
    <row r="964" spans="1:34">
      <c r="A964" s="372" t="s">
        <v>6760</v>
      </c>
      <c r="B964" s="373" t="s">
        <v>6761</v>
      </c>
      <c r="C964" s="372" t="s">
        <v>6762</v>
      </c>
      <c r="D964" s="374">
        <v>1345110004008</v>
      </c>
      <c r="E964" s="372" t="s">
        <v>6763</v>
      </c>
      <c r="F964" s="375" t="s">
        <v>5298</v>
      </c>
      <c r="G964" s="375" t="s">
        <v>5298</v>
      </c>
      <c r="H964" s="375" t="s">
        <v>858</v>
      </c>
      <c r="I964" s="375" t="s">
        <v>859</v>
      </c>
      <c r="J964" s="375">
        <v>417136.22094999999</v>
      </c>
      <c r="K964" s="375">
        <v>1259.73398</v>
      </c>
      <c r="L964" s="375">
        <v>2098.7498900000001</v>
      </c>
      <c r="M964" s="375">
        <v>156934.35595</v>
      </c>
      <c r="N964" s="372">
        <v>0.83899999999999997</v>
      </c>
      <c r="O964" s="704">
        <v>14.588638334516052</v>
      </c>
      <c r="P964" s="375" t="s">
        <v>619</v>
      </c>
      <c r="Q964" s="372" t="s">
        <v>619</v>
      </c>
      <c r="R964" s="696">
        <v>19941031</v>
      </c>
      <c r="S964" s="372" t="s">
        <v>6764</v>
      </c>
      <c r="T964" s="697">
        <v>0.20900000000000002</v>
      </c>
      <c r="U964" s="372" t="s">
        <v>6765</v>
      </c>
      <c r="V964" s="722">
        <v>43.01</v>
      </c>
      <c r="W964" s="722">
        <v>1.1200000000000001</v>
      </c>
      <c r="X964" s="722">
        <v>0.42</v>
      </c>
      <c r="Y964" s="722">
        <v>148.72</v>
      </c>
      <c r="Z964" s="382" t="s">
        <v>924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6766</v>
      </c>
      <c r="B965" s="373" t="s">
        <v>6767</v>
      </c>
      <c r="C965" s="372" t="s">
        <v>6768</v>
      </c>
      <c r="D965" s="374">
        <v>1101116496172</v>
      </c>
      <c r="E965" s="372" t="s">
        <v>6769</v>
      </c>
      <c r="F965" s="375" t="s">
        <v>3545</v>
      </c>
      <c r="G965" s="375" t="s">
        <v>3545</v>
      </c>
      <c r="H965" s="375" t="s">
        <v>1334</v>
      </c>
      <c r="I965" s="375" t="s">
        <v>859</v>
      </c>
      <c r="J965" s="375">
        <v>264393.66125</v>
      </c>
      <c r="K965" s="375">
        <v>24635.098419999998</v>
      </c>
      <c r="L965" s="375">
        <v>23470.197680000001</v>
      </c>
      <c r="M965" s="375">
        <v>112636.13404999999</v>
      </c>
      <c r="N965" s="372">
        <v>0.38900000000000001</v>
      </c>
      <c r="O965" s="704">
        <v>11.372388000852412</v>
      </c>
      <c r="P965" s="375" t="s">
        <v>619</v>
      </c>
      <c r="Q965" s="375" t="s">
        <v>619</v>
      </c>
      <c r="R965" s="696">
        <v>20200813</v>
      </c>
      <c r="S965" s="375" t="s">
        <v>6770</v>
      </c>
      <c r="T965" s="697">
        <v>0.23100000000000001</v>
      </c>
      <c r="U965" s="372" t="s">
        <v>6771</v>
      </c>
      <c r="V965" s="722">
        <v>11.02</v>
      </c>
      <c r="W965" s="722">
        <v>3.37</v>
      </c>
      <c r="X965" s="722">
        <v>1.38</v>
      </c>
      <c r="Y965" s="722">
        <v>20.97</v>
      </c>
      <c r="Z965" s="382">
        <v>0.15184814927847601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2831.67</v>
      </c>
      <c r="AF965" s="372">
        <v>3437.67</v>
      </c>
      <c r="AG965" s="372">
        <v>4094</v>
      </c>
      <c r="AH965" s="372">
        <v>0</v>
      </c>
    </row>
    <row r="966" spans="1:34">
      <c r="A966" s="372" t="s">
        <v>6772</v>
      </c>
      <c r="B966" s="373" t="s">
        <v>6773</v>
      </c>
      <c r="C966" s="372" t="s">
        <v>6774</v>
      </c>
      <c r="D966" s="374">
        <v>1101115496868</v>
      </c>
      <c r="E966" s="372" t="s">
        <v>6775</v>
      </c>
      <c r="F966" s="375" t="s">
        <v>1793</v>
      </c>
      <c r="G966" s="375" t="s">
        <v>2794</v>
      </c>
      <c r="H966" s="375" t="s">
        <v>858</v>
      </c>
      <c r="I966" s="375" t="s">
        <v>859</v>
      </c>
      <c r="J966" s="375">
        <v>56239.017999999996</v>
      </c>
      <c r="K966" s="375">
        <v>3245.36942</v>
      </c>
      <c r="L966" s="375">
        <v>3012.7232399999998</v>
      </c>
      <c r="M966" s="375">
        <v>120852.09234</v>
      </c>
      <c r="N966" s="372">
        <v>0.48599999999999999</v>
      </c>
      <c r="O966" s="704">
        <v>0.54811045970294536</v>
      </c>
      <c r="P966" s="375" t="s">
        <v>619</v>
      </c>
      <c r="Q966" s="372" t="s">
        <v>619</v>
      </c>
      <c r="R966" s="696">
        <v>20141107</v>
      </c>
      <c r="S966" s="372" t="s">
        <v>6776</v>
      </c>
      <c r="T966" s="697">
        <v>0.20900000000000002</v>
      </c>
      <c r="U966" s="372" t="s">
        <v>6777</v>
      </c>
      <c r="V966" s="722">
        <v>22.57</v>
      </c>
      <c r="W966" s="722">
        <v>1.22</v>
      </c>
      <c r="X966" s="722">
        <v>2.31</v>
      </c>
      <c r="Y966" s="722">
        <v>48.38</v>
      </c>
      <c r="Z966" s="382" t="s">
        <v>924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6778</v>
      </c>
      <c r="B967" s="373" t="s">
        <v>6779</v>
      </c>
      <c r="C967" s="372" t="s">
        <v>6780</v>
      </c>
      <c r="D967" s="374">
        <v>1101110036502</v>
      </c>
      <c r="E967" s="372" t="s">
        <v>6781</v>
      </c>
      <c r="F967" s="375" t="s">
        <v>1381</v>
      </c>
      <c r="G967" s="375" t="s">
        <v>1382</v>
      </c>
      <c r="H967" s="375" t="s">
        <v>1383</v>
      </c>
      <c r="I967" s="375" t="s">
        <v>751</v>
      </c>
      <c r="J967" s="375">
        <v>2945950.68395</v>
      </c>
      <c r="K967" s="375">
        <v>-53383.319389999997</v>
      </c>
      <c r="L967" s="375">
        <v>-159936.75795</v>
      </c>
      <c r="M967" s="375">
        <v>453772.15623000002</v>
      </c>
      <c r="N967" s="372">
        <v>1.07</v>
      </c>
      <c r="O967" s="704">
        <v>815.55265899667256</v>
      </c>
      <c r="P967" s="375" t="s">
        <v>619</v>
      </c>
      <c r="Q967" s="372" t="s">
        <v>619</v>
      </c>
      <c r="R967" s="696">
        <v>19780915</v>
      </c>
      <c r="S967" s="372" t="s">
        <v>6782</v>
      </c>
      <c r="T967" s="697" t="s">
        <v>768</v>
      </c>
      <c r="U967" s="372" t="s">
        <v>6783</v>
      </c>
      <c r="V967" s="722" t="s">
        <v>770</v>
      </c>
      <c r="W967" s="722">
        <v>0.41</v>
      </c>
      <c r="X967" s="722">
        <v>0.06</v>
      </c>
      <c r="Y967" s="722" t="s">
        <v>770</v>
      </c>
      <c r="Z967" s="382">
        <v>4.6683493419532818E-2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29897.67</v>
      </c>
      <c r="AF967" s="372">
        <v>30859.33</v>
      </c>
      <c r="AG967" s="372">
        <v>31967.67</v>
      </c>
      <c r="AH967" s="372">
        <v>31990</v>
      </c>
    </row>
    <row r="968" spans="1:34">
      <c r="A968" s="372" t="s">
        <v>6784</v>
      </c>
      <c r="B968" s="373" t="s">
        <v>6785</v>
      </c>
      <c r="C968" s="372" t="s">
        <v>6786</v>
      </c>
      <c r="D968" s="374">
        <v>1244110014316</v>
      </c>
      <c r="E968" s="372" t="s">
        <v>6787</v>
      </c>
      <c r="F968" s="375" t="s">
        <v>6788</v>
      </c>
      <c r="G968" s="375" t="s">
        <v>6788</v>
      </c>
      <c r="H968" s="375" t="s">
        <v>965</v>
      </c>
      <c r="I968" s="375" t="s">
        <v>751</v>
      </c>
      <c r="J968" s="375">
        <v>222904.10178</v>
      </c>
      <c r="K968" s="375">
        <v>23134.184160000001</v>
      </c>
      <c r="L968" s="375">
        <v>17263.948779999999</v>
      </c>
      <c r="M968" s="375">
        <v>135303.90145</v>
      </c>
      <c r="N968" s="372" t="s">
        <v>1023</v>
      </c>
      <c r="O968" s="704">
        <v>91.220494712001639</v>
      </c>
      <c r="P968" s="375" t="s">
        <v>619</v>
      </c>
      <c r="Q968" s="375" t="s">
        <v>619</v>
      </c>
      <c r="R968" s="696">
        <v>20231121</v>
      </c>
      <c r="S968" s="375" t="s">
        <v>6789</v>
      </c>
      <c r="T968" s="697">
        <v>0.20900000000000002</v>
      </c>
      <c r="U968" s="372" t="s">
        <v>6790</v>
      </c>
      <c r="V968" s="722">
        <v>6.15</v>
      </c>
      <c r="W968" s="722">
        <v>0.86</v>
      </c>
      <c r="X968" s="722">
        <v>0.53</v>
      </c>
      <c r="Y968" s="722">
        <v>9.73</v>
      </c>
      <c r="Z968" s="382">
        <v>8.8822759129458806E-2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2439.75</v>
      </c>
      <c r="AF968" s="372">
        <v>2820.25</v>
      </c>
      <c r="AG968" s="372">
        <v>3036.67</v>
      </c>
      <c r="AH968" s="372">
        <v>0</v>
      </c>
    </row>
    <row r="969" spans="1:34">
      <c r="A969" s="372" t="s">
        <v>6791</v>
      </c>
      <c r="B969" s="373" t="s">
        <v>6792</v>
      </c>
      <c r="C969" s="372" t="s">
        <v>6793</v>
      </c>
      <c r="D969" s="374">
        <v>2101110063190</v>
      </c>
      <c r="E969" s="372" t="s">
        <v>6794</v>
      </c>
      <c r="F969" s="372" t="s">
        <v>2100</v>
      </c>
      <c r="G969" s="375" t="s">
        <v>2100</v>
      </c>
      <c r="H969" s="375" t="s">
        <v>852</v>
      </c>
      <c r="I969" s="375" t="s">
        <v>751</v>
      </c>
      <c r="J969" s="375">
        <v>472594.63318</v>
      </c>
      <c r="K969" s="375">
        <v>25660.189060000001</v>
      </c>
      <c r="L969" s="375">
        <v>30974.181840000001</v>
      </c>
      <c r="M969" s="375">
        <v>295006.18702000001</v>
      </c>
      <c r="N969" s="372">
        <v>0.251</v>
      </c>
      <c r="O969" s="704">
        <v>62.532757822453519</v>
      </c>
      <c r="P969" s="375" t="s">
        <v>619</v>
      </c>
      <c r="Q969" s="372" t="s">
        <v>619</v>
      </c>
      <c r="R969" s="696">
        <v>20090302</v>
      </c>
      <c r="S969" s="372" t="s">
        <v>6795</v>
      </c>
      <c r="T969" s="697">
        <v>0.23100000000000001</v>
      </c>
      <c r="U969" s="372" t="s">
        <v>15882</v>
      </c>
      <c r="V969" s="722">
        <v>9.42</v>
      </c>
      <c r="W969" s="722">
        <v>0.72</v>
      </c>
      <c r="X969" s="722">
        <v>0.39</v>
      </c>
      <c r="Y969" s="722">
        <v>6.77</v>
      </c>
      <c r="Z969" s="382" t="s">
        <v>924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6796</v>
      </c>
      <c r="B970" s="373" t="s">
        <v>6797</v>
      </c>
      <c r="C970" s="372" t="s">
        <v>6798</v>
      </c>
      <c r="D970" s="374">
        <v>1201110011990</v>
      </c>
      <c r="E970" s="372" t="s">
        <v>6799</v>
      </c>
      <c r="F970" s="375" t="s">
        <v>890</v>
      </c>
      <c r="G970" s="375" t="s">
        <v>891</v>
      </c>
      <c r="H970" s="375" t="s">
        <v>852</v>
      </c>
      <c r="I970" s="375" t="s">
        <v>751</v>
      </c>
      <c r="J970" s="375">
        <v>1678322.17555</v>
      </c>
      <c r="K970" s="375">
        <v>66795.993440000006</v>
      </c>
      <c r="L970" s="375">
        <v>69908.812850000002</v>
      </c>
      <c r="M970" s="375">
        <v>1038264.91944</v>
      </c>
      <c r="N970" s="372">
        <v>0.91500000000000004</v>
      </c>
      <c r="O970" s="704">
        <v>134.91979131697639</v>
      </c>
      <c r="P970" s="375" t="s">
        <v>619</v>
      </c>
      <c r="Q970" s="375" t="s">
        <v>619</v>
      </c>
      <c r="R970" s="696">
        <v>19900322</v>
      </c>
      <c r="S970" s="375" t="s">
        <v>6800</v>
      </c>
      <c r="T970" s="697">
        <v>0.23100000000000001</v>
      </c>
      <c r="U970" s="375" t="s">
        <v>6801</v>
      </c>
      <c r="V970" s="722">
        <v>8.14</v>
      </c>
      <c r="W970" s="722">
        <v>0.39</v>
      </c>
      <c r="X970" s="722">
        <v>0.11</v>
      </c>
      <c r="Y970" s="722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6802</v>
      </c>
      <c r="B971" s="373" t="s">
        <v>6803</v>
      </c>
      <c r="C971" s="372" t="s">
        <v>6804</v>
      </c>
      <c r="D971" s="374">
        <v>1760110020145</v>
      </c>
      <c r="E971" s="372" t="s">
        <v>6805</v>
      </c>
      <c r="F971" s="375" t="s">
        <v>2086</v>
      </c>
      <c r="G971" s="375" t="s">
        <v>2086</v>
      </c>
      <c r="H971" s="375" t="s">
        <v>809</v>
      </c>
      <c r="I971" s="375" t="s">
        <v>751</v>
      </c>
      <c r="J971" s="375">
        <v>999590.38615000003</v>
      </c>
      <c r="K971" s="375">
        <v>-42134.629269999998</v>
      </c>
      <c r="L971" s="375">
        <v>-84200.959170000002</v>
      </c>
      <c r="M971" s="375">
        <v>157316.87809000001</v>
      </c>
      <c r="N971" s="372">
        <v>0.77</v>
      </c>
      <c r="O971" s="704">
        <v>387.69050844471036</v>
      </c>
      <c r="P971" s="375" t="s">
        <v>619</v>
      </c>
      <c r="Q971" s="372" t="s">
        <v>619</v>
      </c>
      <c r="R971" s="696">
        <v>20210820</v>
      </c>
      <c r="S971" s="372" t="s">
        <v>6806</v>
      </c>
      <c r="T971" s="697" t="s">
        <v>768</v>
      </c>
      <c r="U971" s="372" t="s">
        <v>6807</v>
      </c>
      <c r="V971" s="722" t="s">
        <v>770</v>
      </c>
      <c r="W971" s="722">
        <v>0.89</v>
      </c>
      <c r="X971" s="722">
        <v>0.14000000000000001</v>
      </c>
      <c r="Y971" s="722" t="s">
        <v>770</v>
      </c>
      <c r="Z971" s="382">
        <v>0.13050060678017084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12095</v>
      </c>
      <c r="AF971" s="372">
        <v>14016</v>
      </c>
      <c r="AG971" s="372">
        <v>15429</v>
      </c>
      <c r="AH971" s="372">
        <v>0</v>
      </c>
    </row>
    <row r="972" spans="1:34">
      <c r="A972" s="372" t="s">
        <v>6808</v>
      </c>
      <c r="B972" s="373" t="s">
        <v>6809</v>
      </c>
      <c r="C972" s="372" t="s">
        <v>6810</v>
      </c>
      <c r="D972" s="374">
        <v>1812110002275</v>
      </c>
      <c r="E972" s="372" t="s">
        <v>6811</v>
      </c>
      <c r="F972" s="375" t="s">
        <v>1428</v>
      </c>
      <c r="G972" s="375" t="s">
        <v>5584</v>
      </c>
      <c r="H972" s="375" t="s">
        <v>1040</v>
      </c>
      <c r="I972" s="375" t="s">
        <v>751</v>
      </c>
      <c r="J972" s="375">
        <v>140571.22442000001</v>
      </c>
      <c r="K972" s="375">
        <v>7819.6557499999999</v>
      </c>
      <c r="L972" s="375">
        <v>-926.77445</v>
      </c>
      <c r="M972" s="375">
        <v>126072.88944</v>
      </c>
      <c r="N972" s="372">
        <v>0.20499999999999999</v>
      </c>
      <c r="O972" s="704">
        <v>41.579805187787912</v>
      </c>
      <c r="P972" s="375" t="s">
        <v>619</v>
      </c>
      <c r="Q972" s="375" t="s">
        <v>619</v>
      </c>
      <c r="R972" s="696">
        <v>19890527</v>
      </c>
      <c r="S972" s="375" t="s">
        <v>6812</v>
      </c>
      <c r="T972" s="697" t="s">
        <v>768</v>
      </c>
      <c r="U972" s="372" t="s">
        <v>15883</v>
      </c>
      <c r="V972" s="722">
        <v>11.44</v>
      </c>
      <c r="W972" s="722">
        <v>0.79</v>
      </c>
      <c r="X972" s="722">
        <v>0.71</v>
      </c>
      <c r="Y972" s="722" t="s">
        <v>770</v>
      </c>
      <c r="Z972" s="382" t="s">
        <v>924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6813</v>
      </c>
      <c r="B973" s="373" t="s">
        <v>6814</v>
      </c>
      <c r="C973" s="372" t="s">
        <v>6815</v>
      </c>
      <c r="D973" s="374">
        <v>1101112940933</v>
      </c>
      <c r="E973" s="372" t="s">
        <v>6816</v>
      </c>
      <c r="F973" s="375" t="s">
        <v>1052</v>
      </c>
      <c r="G973" s="375" t="s">
        <v>16101</v>
      </c>
      <c r="H973" s="375" t="s">
        <v>858</v>
      </c>
      <c r="I973" s="375" t="s">
        <v>859</v>
      </c>
      <c r="J973" s="375">
        <v>22812.356820000001</v>
      </c>
      <c r="K973" s="375">
        <v>658.01661000000001</v>
      </c>
      <c r="L973" s="375">
        <v>-7745.3578200000002</v>
      </c>
      <c r="M973" s="375">
        <v>24313.446820000001</v>
      </c>
      <c r="N973" s="372">
        <v>0.86599999999999999</v>
      </c>
      <c r="O973" s="704">
        <v>11.166427230889736</v>
      </c>
      <c r="P973" s="375" t="s">
        <v>619</v>
      </c>
      <c r="Q973" s="375" t="s">
        <v>619</v>
      </c>
      <c r="R973" s="696">
        <v>20110713</v>
      </c>
      <c r="S973" s="372" t="s">
        <v>6817</v>
      </c>
      <c r="T973" s="697" t="s">
        <v>768</v>
      </c>
      <c r="U973" s="372" t="s">
        <v>6818</v>
      </c>
      <c r="V973" s="722">
        <v>0</v>
      </c>
      <c r="W973" s="722">
        <v>0</v>
      </c>
      <c r="X973" s="722">
        <v>0</v>
      </c>
      <c r="Y973" s="722">
        <v>0</v>
      </c>
      <c r="Z973" s="382" t="s">
        <v>924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6819</v>
      </c>
      <c r="B974" s="373" t="s">
        <v>6820</v>
      </c>
      <c r="C974" s="372" t="s">
        <v>6821</v>
      </c>
      <c r="D974" s="374">
        <v>1743110003882</v>
      </c>
      <c r="E974" s="372" t="s">
        <v>6822</v>
      </c>
      <c r="F974" s="375" t="s">
        <v>4487</v>
      </c>
      <c r="G974" s="375" t="s">
        <v>4487</v>
      </c>
      <c r="H974" s="375" t="s">
        <v>858</v>
      </c>
      <c r="I974" s="375" t="s">
        <v>859</v>
      </c>
      <c r="J974" s="375">
        <v>70598.57187</v>
      </c>
      <c r="K974" s="375">
        <v>11520.07589</v>
      </c>
      <c r="L974" s="375">
        <v>13407.38535</v>
      </c>
      <c r="M974" s="375">
        <v>96955.711120000007</v>
      </c>
      <c r="N974" s="372">
        <v>0.72499999999999998</v>
      </c>
      <c r="O974" s="704">
        <v>32.877060505879236</v>
      </c>
      <c r="P974" s="375" t="s">
        <v>619</v>
      </c>
      <c r="Q974" s="375" t="s">
        <v>619</v>
      </c>
      <c r="R974" s="696">
        <v>20151217</v>
      </c>
      <c r="S974" s="375" t="s">
        <v>6823</v>
      </c>
      <c r="T974" s="697">
        <v>0.20900000000000002</v>
      </c>
      <c r="U974" s="372" t="s">
        <v>6824</v>
      </c>
      <c r="V974" s="722">
        <v>8.08</v>
      </c>
      <c r="W974" s="722">
        <v>1.72</v>
      </c>
      <c r="X974" s="722">
        <v>2.36</v>
      </c>
      <c r="Y974" s="722">
        <v>15.4</v>
      </c>
      <c r="Z974" s="382" t="s">
        <v>924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6825</v>
      </c>
      <c r="B975" s="373" t="s">
        <v>6826</v>
      </c>
      <c r="C975" s="372" t="s">
        <v>6827</v>
      </c>
      <c r="D975" s="374">
        <v>1348110260331</v>
      </c>
      <c r="E975" s="372" t="s">
        <v>6828</v>
      </c>
      <c r="F975" s="375" t="s">
        <v>2715</v>
      </c>
      <c r="G975" s="375" t="s">
        <v>2715</v>
      </c>
      <c r="H975" s="375" t="s">
        <v>1334</v>
      </c>
      <c r="I975" s="375" t="s">
        <v>859</v>
      </c>
      <c r="J975" s="375">
        <v>43060.297070000001</v>
      </c>
      <c r="K975" s="375">
        <v>4185.6864599999999</v>
      </c>
      <c r="L975" s="375">
        <v>4948.20388</v>
      </c>
      <c r="M975" s="375">
        <v>46131.345650000003</v>
      </c>
      <c r="N975" s="372" t="s">
        <v>1023</v>
      </c>
      <c r="O975" s="704">
        <v>0.33223148780064904</v>
      </c>
      <c r="P975" s="375" t="s">
        <v>619</v>
      </c>
      <c r="Q975" s="372" t="s">
        <v>619</v>
      </c>
      <c r="R975" s="696">
        <v>20240124</v>
      </c>
      <c r="S975" s="372" t="s">
        <v>6829</v>
      </c>
      <c r="T975" s="697">
        <v>0.20900000000000002</v>
      </c>
      <c r="U975" s="372" t="s">
        <v>6830</v>
      </c>
      <c r="V975" s="722">
        <v>0</v>
      </c>
      <c r="W975" s="722">
        <v>0</v>
      </c>
      <c r="X975" s="722">
        <v>0</v>
      </c>
      <c r="Y975" s="722">
        <v>0</v>
      </c>
      <c r="Z975" s="382" t="s">
        <v>924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6831</v>
      </c>
      <c r="B976" s="373" t="s">
        <v>6832</v>
      </c>
      <c r="C976" s="372" t="s">
        <v>6833</v>
      </c>
      <c r="D976" s="374">
        <v>1101111934557</v>
      </c>
      <c r="E976" s="372" t="s">
        <v>6834</v>
      </c>
      <c r="F976" s="375" t="s">
        <v>6835</v>
      </c>
      <c r="G976" s="375" t="s">
        <v>6835</v>
      </c>
      <c r="H976" s="375" t="s">
        <v>814</v>
      </c>
      <c r="I976" s="375" t="s">
        <v>751</v>
      </c>
      <c r="J976" s="375">
        <v>1683433.46957</v>
      </c>
      <c r="K976" s="375">
        <v>24135.492269999999</v>
      </c>
      <c r="L976" s="375">
        <v>26910.18449</v>
      </c>
      <c r="M976" s="375">
        <v>665144.79650000005</v>
      </c>
      <c r="N976" s="372">
        <v>0.73799999999999999</v>
      </c>
      <c r="O976" s="704">
        <v>114.40180943165134</v>
      </c>
      <c r="P976" s="375" t="s">
        <v>619</v>
      </c>
      <c r="Q976" s="375" t="s">
        <v>619</v>
      </c>
      <c r="R976" s="696">
        <v>20191106</v>
      </c>
      <c r="S976" s="375" t="s">
        <v>6836</v>
      </c>
      <c r="T976" s="697">
        <v>0.23100000000000001</v>
      </c>
      <c r="U976" s="372" t="s">
        <v>6837</v>
      </c>
      <c r="V976" s="722">
        <v>7.01</v>
      </c>
      <c r="W976" s="722">
        <v>0.38</v>
      </c>
      <c r="X976" s="722">
        <v>0.12</v>
      </c>
      <c r="Y976" s="722">
        <v>27.14</v>
      </c>
      <c r="Z976" s="382">
        <v>-5.1144428452158497E-2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16268</v>
      </c>
      <c r="AF976" s="372">
        <v>17912</v>
      </c>
      <c r="AG976" s="372">
        <v>19248.5</v>
      </c>
      <c r="AH976" s="372">
        <v>22570</v>
      </c>
    </row>
    <row r="977" spans="1:34">
      <c r="A977" s="372" t="s">
        <v>6838</v>
      </c>
      <c r="B977" s="373" t="s">
        <v>6839</v>
      </c>
      <c r="C977" s="372" t="s">
        <v>6840</v>
      </c>
      <c r="D977" s="374">
        <v>1601110019277</v>
      </c>
      <c r="E977" s="372" t="s">
        <v>6841</v>
      </c>
      <c r="F977" s="375" t="s">
        <v>1390</v>
      </c>
      <c r="G977" s="375" t="s">
        <v>6842</v>
      </c>
      <c r="H977" s="375" t="s">
        <v>892</v>
      </c>
      <c r="I977" s="375" t="s">
        <v>859</v>
      </c>
      <c r="J977" s="375">
        <v>0</v>
      </c>
      <c r="K977" s="375">
        <v>0</v>
      </c>
      <c r="L977" s="375">
        <v>0</v>
      </c>
      <c r="M977" s="375">
        <v>0</v>
      </c>
      <c r="N977" s="372">
        <v>0.60199999999999998</v>
      </c>
      <c r="O977" s="704" t="s">
        <v>16298</v>
      </c>
      <c r="P977" s="375" t="s">
        <v>619</v>
      </c>
      <c r="Q977" s="372" t="s">
        <v>619</v>
      </c>
      <c r="R977" s="696">
        <v>19941031</v>
      </c>
      <c r="S977" s="372" t="s">
        <v>6843</v>
      </c>
      <c r="T977" s="697" t="s">
        <v>768</v>
      </c>
      <c r="U977" s="372" t="s">
        <v>6844</v>
      </c>
      <c r="V977" s="722">
        <v>0</v>
      </c>
      <c r="W977" s="722">
        <v>0</v>
      </c>
      <c r="X977" s="722">
        <v>0</v>
      </c>
      <c r="Y977" s="722">
        <v>0</v>
      </c>
      <c r="Z977" s="382" t="s">
        <v>924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6845</v>
      </c>
      <c r="B978" s="373" t="s">
        <v>6846</v>
      </c>
      <c r="C978" s="372" t="s">
        <v>6847</v>
      </c>
      <c r="D978" s="374">
        <v>0</v>
      </c>
      <c r="E978" s="372" t="s">
        <v>6848</v>
      </c>
      <c r="F978" s="375" t="s">
        <v>1003</v>
      </c>
      <c r="G978" s="375" t="s">
        <v>3491</v>
      </c>
      <c r="H978" s="375">
        <v>0</v>
      </c>
      <c r="I978" s="375" t="s">
        <v>859</v>
      </c>
      <c r="J978" s="375">
        <v>90944.881999999998</v>
      </c>
      <c r="K978" s="375">
        <v>18151.75</v>
      </c>
      <c r="L978" s="375">
        <v>20306.537</v>
      </c>
      <c r="M978" s="375">
        <v>155946.40400000001</v>
      </c>
      <c r="N978" s="372">
        <v>0.6</v>
      </c>
      <c r="O978" s="704">
        <v>5.8920700710495906</v>
      </c>
      <c r="P978" s="375" t="s">
        <v>619</v>
      </c>
      <c r="Q978" s="372" t="s">
        <v>619</v>
      </c>
      <c r="R978" s="696">
        <v>20200818</v>
      </c>
      <c r="S978" s="372" t="s">
        <v>6849</v>
      </c>
      <c r="T978" s="697">
        <v>0.23100000000000001</v>
      </c>
      <c r="U978" s="372" t="s">
        <v>6850</v>
      </c>
      <c r="V978" s="722">
        <v>6.58</v>
      </c>
      <c r="W978" s="722">
        <v>0.91</v>
      </c>
      <c r="X978" s="722">
        <v>1.57</v>
      </c>
      <c r="Y978" s="722">
        <v>8.2899999999999991</v>
      </c>
      <c r="Z978" s="382" t="s">
        <v>924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6851</v>
      </c>
      <c r="B979" s="373" t="s">
        <v>6852</v>
      </c>
      <c r="C979" s="372" t="s">
        <v>6853</v>
      </c>
      <c r="D979" s="374">
        <v>1101115448356</v>
      </c>
      <c r="E979" s="372" t="s">
        <v>6854</v>
      </c>
      <c r="F979" s="375" t="s">
        <v>1367</v>
      </c>
      <c r="G979" s="375" t="s">
        <v>1367</v>
      </c>
      <c r="H979" s="375" t="s">
        <v>858</v>
      </c>
      <c r="I979" s="375" t="s">
        <v>859</v>
      </c>
      <c r="J979" s="375">
        <v>247228.74661999999</v>
      </c>
      <c r="K979" s="375">
        <v>27465.156340000001</v>
      </c>
      <c r="L979" s="375">
        <v>14233.30539</v>
      </c>
      <c r="M979" s="375">
        <v>147831.81766999999</v>
      </c>
      <c r="N979" s="372">
        <v>0.77100000000000002</v>
      </c>
      <c r="O979" s="704">
        <v>214.45005312094594</v>
      </c>
      <c r="P979" s="375" t="s">
        <v>619</v>
      </c>
      <c r="Q979" s="375" t="s">
        <v>619</v>
      </c>
      <c r="R979" s="696">
        <v>20141013</v>
      </c>
      <c r="S979" s="375" t="s">
        <v>6855</v>
      </c>
      <c r="T979" s="697">
        <v>0.20900000000000002</v>
      </c>
      <c r="U979" s="375" t="s">
        <v>6856</v>
      </c>
      <c r="V979" s="722">
        <v>4.25</v>
      </c>
      <c r="W979" s="722">
        <v>1.44</v>
      </c>
      <c r="X979" s="722">
        <v>0.64</v>
      </c>
      <c r="Y979" s="722">
        <v>11.44</v>
      </c>
      <c r="Z979" s="382" t="s">
        <v>924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6857</v>
      </c>
      <c r="B980" s="373" t="s">
        <v>6858</v>
      </c>
      <c r="C980" s="372" t="s">
        <v>6859</v>
      </c>
      <c r="D980" s="374">
        <v>1746110022860</v>
      </c>
      <c r="E980" s="372" t="s">
        <v>6860</v>
      </c>
      <c r="F980" s="372" t="s">
        <v>2086</v>
      </c>
      <c r="G980" s="375" t="s">
        <v>2086</v>
      </c>
      <c r="H980" s="375" t="s">
        <v>809</v>
      </c>
      <c r="I980" s="375" t="s">
        <v>751</v>
      </c>
      <c r="J980" s="375">
        <v>565259.13561999996</v>
      </c>
      <c r="K980" s="375">
        <v>84521.153510000004</v>
      </c>
      <c r="L980" s="375">
        <v>75582.552020000003</v>
      </c>
      <c r="M980" s="375">
        <v>460367.49488999997</v>
      </c>
      <c r="N980" s="372" t="s">
        <v>1023</v>
      </c>
      <c r="O980" s="704">
        <v>55.556107964099347</v>
      </c>
      <c r="P980" s="375" t="s">
        <v>619</v>
      </c>
      <c r="Q980" s="372" t="s">
        <v>619</v>
      </c>
      <c r="R980" s="696">
        <v>20230821</v>
      </c>
      <c r="S980" s="372" t="s">
        <v>6861</v>
      </c>
      <c r="T980" s="697">
        <v>0.23100000000000001</v>
      </c>
      <c r="U980" s="372" t="s">
        <v>6862</v>
      </c>
      <c r="V980" s="722">
        <v>2.48</v>
      </c>
      <c r="W980" s="722">
        <v>0.46</v>
      </c>
      <c r="X980" s="722">
        <v>0.38</v>
      </c>
      <c r="Y980" s="722">
        <v>3.86</v>
      </c>
      <c r="Z980" s="382" t="s">
        <v>924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6863</v>
      </c>
      <c r="B981" s="373" t="s">
        <v>6864</v>
      </c>
      <c r="C981" s="372" t="s">
        <v>6865</v>
      </c>
      <c r="D981" s="374">
        <v>1101110054520</v>
      </c>
      <c r="E981" s="372" t="s">
        <v>6866</v>
      </c>
      <c r="F981" s="375" t="s">
        <v>2072</v>
      </c>
      <c r="G981" s="375" t="s">
        <v>3400</v>
      </c>
      <c r="H981" s="375" t="s">
        <v>858</v>
      </c>
      <c r="I981" s="375" t="s">
        <v>859</v>
      </c>
      <c r="J981" s="375">
        <v>67430.212090000001</v>
      </c>
      <c r="K981" s="375">
        <v>-350.12623000000002</v>
      </c>
      <c r="L981" s="375">
        <v>-4381.4682199999997</v>
      </c>
      <c r="M981" s="375">
        <v>223944.44714999999</v>
      </c>
      <c r="N981" s="372">
        <v>0.83499999999999996</v>
      </c>
      <c r="O981" s="704">
        <v>13.563602494537705</v>
      </c>
      <c r="P981" s="375" t="s">
        <v>16112</v>
      </c>
      <c r="Q981" s="372" t="s">
        <v>16113</v>
      </c>
      <c r="R981" s="696">
        <v>19941222</v>
      </c>
      <c r="S981" s="372" t="s">
        <v>6867</v>
      </c>
      <c r="T981" s="697" t="s">
        <v>768</v>
      </c>
      <c r="U981" s="372" t="s">
        <v>6868</v>
      </c>
      <c r="V981" s="722">
        <v>161.58000000000001</v>
      </c>
      <c r="W981" s="722">
        <v>0.88</v>
      </c>
      <c r="X981" s="722">
        <v>2.92</v>
      </c>
      <c r="Y981" s="722" t="s">
        <v>770</v>
      </c>
      <c r="Z981" s="382" t="s">
        <v>924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6869</v>
      </c>
      <c r="B982" s="373" t="s">
        <v>6870</v>
      </c>
      <c r="C982" s="372" t="s">
        <v>6871</v>
      </c>
      <c r="D982" s="374">
        <v>1311110444346</v>
      </c>
      <c r="E982" s="372" t="s">
        <v>6872</v>
      </c>
      <c r="F982" s="375" t="s">
        <v>1113</v>
      </c>
      <c r="G982" s="375" t="s">
        <v>1333</v>
      </c>
      <c r="H982" s="375" t="s">
        <v>1334</v>
      </c>
      <c r="I982" s="375" t="s">
        <v>859</v>
      </c>
      <c r="J982" s="375">
        <v>0</v>
      </c>
      <c r="K982" s="375">
        <v>-12141.405070000001</v>
      </c>
      <c r="L982" s="375">
        <v>-10713.034390000001</v>
      </c>
      <c r="M982" s="375">
        <v>20360.331770000001</v>
      </c>
      <c r="N982" s="372" t="s">
        <v>1023</v>
      </c>
      <c r="O982" s="704">
        <v>0.14285128557755761</v>
      </c>
      <c r="P982" s="375" t="s">
        <v>619</v>
      </c>
      <c r="Q982" s="375" t="s">
        <v>619</v>
      </c>
      <c r="R982" s="696">
        <v>20230727</v>
      </c>
      <c r="S982" s="375" t="s">
        <v>6873</v>
      </c>
      <c r="T982" s="697" t="s">
        <v>768</v>
      </c>
      <c r="U982" s="372" t="s">
        <v>6874</v>
      </c>
      <c r="V982" s="722" t="s">
        <v>770</v>
      </c>
      <c r="W982" s="722">
        <v>5.58</v>
      </c>
      <c r="X982" s="722">
        <v>0</v>
      </c>
      <c r="Y982" s="722" t="s">
        <v>770</v>
      </c>
      <c r="Z982" s="382" t="s">
        <v>770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6875</v>
      </c>
      <c r="B983" s="373" t="s">
        <v>6876</v>
      </c>
      <c r="C983" s="372" t="s">
        <v>6877</v>
      </c>
      <c r="D983" s="374">
        <v>1101115745520</v>
      </c>
      <c r="E983" s="372" t="s">
        <v>6878</v>
      </c>
      <c r="F983" s="375" t="s">
        <v>3215</v>
      </c>
      <c r="G983" s="375" t="s">
        <v>3215</v>
      </c>
      <c r="H983" s="375" t="s">
        <v>858</v>
      </c>
      <c r="I983" s="375" t="s">
        <v>859</v>
      </c>
      <c r="J983" s="375">
        <v>67608.243600000002</v>
      </c>
      <c r="K983" s="375">
        <v>-19138.508679999999</v>
      </c>
      <c r="L983" s="375">
        <v>-27303.46041</v>
      </c>
      <c r="M983" s="375">
        <v>25179.365430000002</v>
      </c>
      <c r="N983" s="372">
        <v>0.96</v>
      </c>
      <c r="O983" s="704">
        <v>24.841596677328251</v>
      </c>
      <c r="P983" s="375" t="s">
        <v>16112</v>
      </c>
      <c r="Q983" s="372" t="s">
        <v>16113</v>
      </c>
      <c r="R983" s="696">
        <v>20150813</v>
      </c>
      <c r="S983" s="372" t="s">
        <v>6879</v>
      </c>
      <c r="T983" s="697" t="s">
        <v>768</v>
      </c>
      <c r="U983" s="372" t="s">
        <v>6880</v>
      </c>
      <c r="V983" s="722" t="s">
        <v>770</v>
      </c>
      <c r="W983" s="722">
        <v>2.97</v>
      </c>
      <c r="X983" s="722">
        <v>1.21</v>
      </c>
      <c r="Y983" s="722" t="s">
        <v>770</v>
      </c>
      <c r="Z983" s="382" t="s">
        <v>924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6881</v>
      </c>
      <c r="B984" s="373" t="s">
        <v>6882</v>
      </c>
      <c r="C984" s="372" t="s">
        <v>6883</v>
      </c>
      <c r="D984" s="374">
        <v>1101114017227</v>
      </c>
      <c r="E984" s="372" t="s">
        <v>6884</v>
      </c>
      <c r="F984" s="372" t="s">
        <v>2121</v>
      </c>
      <c r="G984" s="375" t="s">
        <v>4463</v>
      </c>
      <c r="H984" s="375" t="s">
        <v>858</v>
      </c>
      <c r="I984" s="375" t="s">
        <v>859</v>
      </c>
      <c r="J984" s="375">
        <v>33183.940419999999</v>
      </c>
      <c r="K984" s="375">
        <v>2347.7055999999998</v>
      </c>
      <c r="L984" s="375">
        <v>-6971.7304800000002</v>
      </c>
      <c r="M984" s="375">
        <v>32927.137459999998</v>
      </c>
      <c r="N984" s="372">
        <v>0.73399999999999999</v>
      </c>
      <c r="O984" s="704">
        <v>15.427877200757381</v>
      </c>
      <c r="P984" s="375" t="s">
        <v>619</v>
      </c>
      <c r="Q984" s="375" t="s">
        <v>619</v>
      </c>
      <c r="R984" s="696">
        <v>20130701</v>
      </c>
      <c r="S984" s="375" t="s">
        <v>6885</v>
      </c>
      <c r="T984" s="697" t="s">
        <v>768</v>
      </c>
      <c r="U984" s="375" t="s">
        <v>6886</v>
      </c>
      <c r="V984" s="722">
        <v>26.33</v>
      </c>
      <c r="W984" s="722">
        <v>3.69</v>
      </c>
      <c r="X984" s="722">
        <v>4.22</v>
      </c>
      <c r="Y984" s="722" t="s">
        <v>770</v>
      </c>
      <c r="Z984" s="382" t="s">
        <v>924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6887</v>
      </c>
      <c r="B985" s="373" t="s">
        <v>6888</v>
      </c>
      <c r="C985" s="372" t="s">
        <v>6889</v>
      </c>
      <c r="D985" s="374">
        <v>1301110026260</v>
      </c>
      <c r="E985" s="372" t="s">
        <v>6890</v>
      </c>
      <c r="F985" s="375" t="s">
        <v>1707</v>
      </c>
      <c r="G985" s="375" t="s">
        <v>1708</v>
      </c>
      <c r="H985" s="375" t="s">
        <v>858</v>
      </c>
      <c r="I985" s="375" t="s">
        <v>859</v>
      </c>
      <c r="J985" s="375">
        <v>347404.11144000001</v>
      </c>
      <c r="K985" s="375">
        <v>6077.1740900000004</v>
      </c>
      <c r="L985" s="375">
        <v>4083.5235400000001</v>
      </c>
      <c r="M985" s="375">
        <v>211049.80776</v>
      </c>
      <c r="N985" s="372">
        <v>0.98099999999999998</v>
      </c>
      <c r="O985" s="704">
        <v>128.50143914038844</v>
      </c>
      <c r="P985" s="375" t="s">
        <v>619</v>
      </c>
      <c r="Q985" s="375" t="s">
        <v>619</v>
      </c>
      <c r="R985" s="696">
        <v>20001020</v>
      </c>
      <c r="S985" s="375" t="s">
        <v>6891</v>
      </c>
      <c r="T985" s="697">
        <v>0.20900000000000002</v>
      </c>
      <c r="U985" s="372" t="s">
        <v>6892</v>
      </c>
      <c r="V985" s="722">
        <v>11.29</v>
      </c>
      <c r="W985" s="722">
        <v>0.46</v>
      </c>
      <c r="X985" s="722">
        <v>0.32</v>
      </c>
      <c r="Y985" s="722">
        <v>39.75</v>
      </c>
      <c r="Z985" s="382" t="s">
        <v>924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6893</v>
      </c>
      <c r="B986" s="373" t="s">
        <v>6894</v>
      </c>
      <c r="C986" s="372" t="s">
        <v>6895</v>
      </c>
      <c r="D986" s="374">
        <v>1101112276784</v>
      </c>
      <c r="E986" s="372" t="s">
        <v>6896</v>
      </c>
      <c r="F986" s="375" t="s">
        <v>1573</v>
      </c>
      <c r="G986" s="375" t="s">
        <v>1574</v>
      </c>
      <c r="H986" s="375" t="s">
        <v>858</v>
      </c>
      <c r="I986" s="375" t="s">
        <v>859</v>
      </c>
      <c r="J986" s="375">
        <v>449106.42375000002</v>
      </c>
      <c r="K986" s="375">
        <v>3257.4059000000002</v>
      </c>
      <c r="L986" s="375">
        <v>-16283.267159999999</v>
      </c>
      <c r="M986" s="375">
        <v>252055.33627999999</v>
      </c>
      <c r="N986" s="372">
        <v>0.94399999999999995</v>
      </c>
      <c r="O986" s="704">
        <v>110.50904479621192</v>
      </c>
      <c r="P986" s="375" t="s">
        <v>619</v>
      </c>
      <c r="Q986" s="372" t="s">
        <v>619</v>
      </c>
      <c r="R986" s="696">
        <v>20090831</v>
      </c>
      <c r="S986" s="372" t="s">
        <v>6897</v>
      </c>
      <c r="T986" s="697" t="s">
        <v>768</v>
      </c>
      <c r="U986" s="372" t="s">
        <v>6898</v>
      </c>
      <c r="V986" s="722">
        <v>33.03</v>
      </c>
      <c r="W986" s="722">
        <v>0.68</v>
      </c>
      <c r="X986" s="722">
        <v>0.37</v>
      </c>
      <c r="Y986" s="722" t="s">
        <v>770</v>
      </c>
      <c r="Z986" s="382">
        <v>8.2570628137339286E-2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4493</v>
      </c>
      <c r="AF986" s="372">
        <v>4910</v>
      </c>
      <c r="AG986" s="372">
        <v>5470</v>
      </c>
      <c r="AH986" s="372">
        <v>0</v>
      </c>
    </row>
    <row r="987" spans="1:34">
      <c r="A987" s="372" t="s">
        <v>6899</v>
      </c>
      <c r="B987" s="373" t="s">
        <v>6900</v>
      </c>
      <c r="C987" s="372" t="s">
        <v>6901</v>
      </c>
      <c r="D987" s="374">
        <v>1101111394420</v>
      </c>
      <c r="E987" s="372" t="s">
        <v>6902</v>
      </c>
      <c r="F987" s="375" t="s">
        <v>618</v>
      </c>
      <c r="G987" s="375" t="s">
        <v>618</v>
      </c>
      <c r="H987" s="375" t="s">
        <v>858</v>
      </c>
      <c r="I987" s="375" t="s">
        <v>859</v>
      </c>
      <c r="J987" s="375">
        <v>484476.94073999999</v>
      </c>
      <c r="K987" s="375">
        <v>32284.209900000002</v>
      </c>
      <c r="L987" s="375">
        <v>31903.623060000002</v>
      </c>
      <c r="M987" s="375">
        <v>231260.47466000001</v>
      </c>
      <c r="N987" s="372">
        <v>0.84599999999999997</v>
      </c>
      <c r="O987" s="704">
        <v>106.56038561476583</v>
      </c>
      <c r="P987" s="375" t="s">
        <v>619</v>
      </c>
      <c r="Q987" s="372" t="s">
        <v>619</v>
      </c>
      <c r="R987" s="696">
        <v>20060519</v>
      </c>
      <c r="S987" s="372" t="s">
        <v>6903</v>
      </c>
      <c r="T987" s="697">
        <v>0.23100000000000001</v>
      </c>
      <c r="U987" s="375" t="s">
        <v>6904</v>
      </c>
      <c r="V987" s="722">
        <v>3.98</v>
      </c>
      <c r="W987" s="722">
        <v>0.68</v>
      </c>
      <c r="X987" s="722">
        <v>0.31</v>
      </c>
      <c r="Y987" s="722">
        <v>11.01</v>
      </c>
      <c r="Z987" s="382" t="s">
        <v>924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5238</v>
      </c>
      <c r="AF987" s="372">
        <v>0</v>
      </c>
      <c r="AG987" s="372">
        <v>0</v>
      </c>
      <c r="AH987" s="372">
        <v>0</v>
      </c>
    </row>
    <row r="988" spans="1:34">
      <c r="A988" s="372" t="s">
        <v>6905</v>
      </c>
      <c r="B988" s="373" t="s">
        <v>6906</v>
      </c>
      <c r="C988" s="372" t="s">
        <v>6907</v>
      </c>
      <c r="D988" s="374">
        <v>1543110001715</v>
      </c>
      <c r="E988" s="372" t="s">
        <v>6908</v>
      </c>
      <c r="F988" s="375" t="s">
        <v>5298</v>
      </c>
      <c r="G988" s="375" t="s">
        <v>5298</v>
      </c>
      <c r="H988" s="375" t="s">
        <v>858</v>
      </c>
      <c r="I988" s="375" t="s">
        <v>859</v>
      </c>
      <c r="J988" s="375">
        <v>1463256.35708</v>
      </c>
      <c r="K988" s="375">
        <v>42757.999839999997</v>
      </c>
      <c r="L988" s="375">
        <v>36081.97726</v>
      </c>
      <c r="M988" s="375">
        <v>276963.18166</v>
      </c>
      <c r="N988" s="372">
        <v>0.81100000000000005</v>
      </c>
      <c r="O988" s="704">
        <v>373.40129991955337</v>
      </c>
      <c r="P988" s="375" t="s">
        <v>619</v>
      </c>
      <c r="Q988" s="372" t="s">
        <v>619</v>
      </c>
      <c r="R988" s="696">
        <v>19960629</v>
      </c>
      <c r="S988" s="375" t="s">
        <v>6909</v>
      </c>
      <c r="T988" s="697">
        <v>0.23100000000000001</v>
      </c>
      <c r="U988" s="375" t="s">
        <v>6910</v>
      </c>
      <c r="V988" s="722">
        <v>11.53</v>
      </c>
      <c r="W988" s="722">
        <v>0.66</v>
      </c>
      <c r="X988" s="722">
        <v>0.11</v>
      </c>
      <c r="Y988" s="722">
        <v>5.37</v>
      </c>
      <c r="Z988" s="382" t="s">
        <v>924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6911</v>
      </c>
      <c r="B989" s="373" t="s">
        <v>6912</v>
      </c>
      <c r="C989" s="372" t="s">
        <v>6913</v>
      </c>
      <c r="D989" s="374">
        <v>1350110122156</v>
      </c>
      <c r="E989" s="372" t="s">
        <v>6914</v>
      </c>
      <c r="F989" s="372" t="s">
        <v>766</v>
      </c>
      <c r="G989" s="375" t="s">
        <v>766</v>
      </c>
      <c r="H989" s="375" t="s">
        <v>858</v>
      </c>
      <c r="I989" s="375" t="s">
        <v>859</v>
      </c>
      <c r="J989" s="375">
        <v>665499.14210000006</v>
      </c>
      <c r="K989" s="375">
        <v>-11557.75369</v>
      </c>
      <c r="L989" s="375">
        <v>14913.342559999999</v>
      </c>
      <c r="M989" s="375">
        <v>137199.00062999999</v>
      </c>
      <c r="N989" s="372">
        <v>0.94699999999999995</v>
      </c>
      <c r="O989" s="704">
        <v>183.10844020784322</v>
      </c>
      <c r="P989" s="375" t="s">
        <v>619</v>
      </c>
      <c r="Q989" s="375" t="s">
        <v>619</v>
      </c>
      <c r="R989" s="696">
        <v>20200306</v>
      </c>
      <c r="S989" s="375" t="s">
        <v>6915</v>
      </c>
      <c r="T989" s="697">
        <v>0.20900000000000002</v>
      </c>
      <c r="U989" s="375" t="s">
        <v>6916</v>
      </c>
      <c r="V989" s="722">
        <v>8.83</v>
      </c>
      <c r="W989" s="722">
        <v>3.39</v>
      </c>
      <c r="X989" s="722">
        <v>0.27</v>
      </c>
      <c r="Y989" s="722" t="s">
        <v>770</v>
      </c>
      <c r="Z989" s="382" t="s">
        <v>924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6800</v>
      </c>
      <c r="AF989" s="372">
        <v>0</v>
      </c>
      <c r="AG989" s="372">
        <v>0</v>
      </c>
      <c r="AH989" s="372">
        <v>0</v>
      </c>
    </row>
    <row r="990" spans="1:34">
      <c r="A990" s="372" t="s">
        <v>6917</v>
      </c>
      <c r="B990" s="373" t="s">
        <v>6918</v>
      </c>
      <c r="C990" s="372" t="s">
        <v>6919</v>
      </c>
      <c r="D990" s="374">
        <v>1348110002080</v>
      </c>
      <c r="E990" s="372" t="s">
        <v>6920</v>
      </c>
      <c r="F990" s="375" t="s">
        <v>1595</v>
      </c>
      <c r="G990" s="375" t="s">
        <v>1596</v>
      </c>
      <c r="H990" s="375" t="s">
        <v>823</v>
      </c>
      <c r="I990" s="375" t="s">
        <v>751</v>
      </c>
      <c r="J990" s="375">
        <v>672086.63589000003</v>
      </c>
      <c r="K990" s="375">
        <v>51441.142679999997</v>
      </c>
      <c r="L990" s="375">
        <v>51114.255230000002</v>
      </c>
      <c r="M990" s="375">
        <v>471151.72672999999</v>
      </c>
      <c r="N990" s="372">
        <v>0.47299999999999998</v>
      </c>
      <c r="O990" s="704">
        <v>64.138382107713426</v>
      </c>
      <c r="P990" s="375" t="s">
        <v>619</v>
      </c>
      <c r="Q990" s="372" t="s">
        <v>619</v>
      </c>
      <c r="R990" s="696">
        <v>19960130</v>
      </c>
      <c r="S990" s="372" t="s">
        <v>6921</v>
      </c>
      <c r="T990" s="697">
        <v>0.23100000000000001</v>
      </c>
      <c r="U990" s="372" t="s">
        <v>6922</v>
      </c>
      <c r="V990" s="722">
        <v>4.5199999999999996</v>
      </c>
      <c r="W990" s="722">
        <v>0.47</v>
      </c>
      <c r="X990" s="722">
        <v>0.23</v>
      </c>
      <c r="Y990" s="722">
        <v>7.87</v>
      </c>
      <c r="Z990" s="382" t="s">
        <v>924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6923</v>
      </c>
      <c r="B991" s="373" t="s">
        <v>6924</v>
      </c>
      <c r="C991" s="372" t="s">
        <v>6925</v>
      </c>
      <c r="D991" s="374">
        <v>1311110272002</v>
      </c>
      <c r="E991" s="372" t="s">
        <v>6926</v>
      </c>
      <c r="F991" s="375" t="s">
        <v>972</v>
      </c>
      <c r="G991" s="375" t="s">
        <v>973</v>
      </c>
      <c r="H991" s="375" t="s">
        <v>1334</v>
      </c>
      <c r="I991" s="375" t="s">
        <v>859</v>
      </c>
      <c r="J991" s="375">
        <v>105845.91155999999</v>
      </c>
      <c r="K991" s="375">
        <v>21658.557150000001</v>
      </c>
      <c r="L991" s="375">
        <v>25953.58152</v>
      </c>
      <c r="M991" s="375">
        <v>196155.86311000001</v>
      </c>
      <c r="N991" s="372">
        <v>0.51100000000000001</v>
      </c>
      <c r="O991" s="704">
        <v>0.36908755350031514</v>
      </c>
      <c r="P991" s="375" t="s">
        <v>619</v>
      </c>
      <c r="Q991" s="375" t="s">
        <v>619</v>
      </c>
      <c r="R991" s="696">
        <v>20110502</v>
      </c>
      <c r="S991" s="375" t="s">
        <v>6927</v>
      </c>
      <c r="T991" s="697">
        <v>0.23100000000000001</v>
      </c>
      <c r="U991" s="372" t="s">
        <v>6928</v>
      </c>
      <c r="V991" s="722">
        <v>7.08</v>
      </c>
      <c r="W991" s="722">
        <v>0.84</v>
      </c>
      <c r="X991" s="722">
        <v>1.66</v>
      </c>
      <c r="Y991" s="722">
        <v>8.4600000000000009</v>
      </c>
      <c r="Z991" s="382" t="s">
        <v>924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6929</v>
      </c>
      <c r="B992" s="373" t="s">
        <v>6930</v>
      </c>
      <c r="C992" s="372" t="s">
        <v>6931</v>
      </c>
      <c r="D992" s="374">
        <v>1244110064402</v>
      </c>
      <c r="E992" s="372" t="s">
        <v>6932</v>
      </c>
      <c r="F992" s="375" t="s">
        <v>1273</v>
      </c>
      <c r="G992" s="375" t="s">
        <v>1273</v>
      </c>
      <c r="H992" s="375" t="s">
        <v>858</v>
      </c>
      <c r="I992" s="375" t="s">
        <v>859</v>
      </c>
      <c r="J992" s="375">
        <v>134261.70556999999</v>
      </c>
      <c r="K992" s="375">
        <v>5116.1089300000003</v>
      </c>
      <c r="L992" s="375">
        <v>1850.6635699999999</v>
      </c>
      <c r="M992" s="375">
        <v>67822.682910000003</v>
      </c>
      <c r="N992" s="372">
        <v>1.071</v>
      </c>
      <c r="O992" s="704">
        <v>63.184176214338372</v>
      </c>
      <c r="P992" s="375" t="s">
        <v>619</v>
      </c>
      <c r="Q992" s="375" t="s">
        <v>619</v>
      </c>
      <c r="R992" s="696">
        <v>20190329</v>
      </c>
      <c r="S992" s="375" t="s">
        <v>6933</v>
      </c>
      <c r="T992" s="697">
        <v>0.20900000000000002</v>
      </c>
      <c r="U992" s="375" t="s">
        <v>6934</v>
      </c>
      <c r="V992" s="722">
        <v>13.34</v>
      </c>
      <c r="W992" s="722">
        <v>1.82</v>
      </c>
      <c r="X992" s="722">
        <v>0.92</v>
      </c>
      <c r="Y992" s="722">
        <v>30.71</v>
      </c>
      <c r="Z992" s="382">
        <v>6.291520593196176E-2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1295</v>
      </c>
      <c r="AF992" s="372">
        <v>1653</v>
      </c>
      <c r="AG992" s="372">
        <v>1884</v>
      </c>
      <c r="AH992" s="372">
        <v>0</v>
      </c>
    </row>
    <row r="993" spans="1:34">
      <c r="A993" s="372" t="s">
        <v>6935</v>
      </c>
      <c r="B993" s="373" t="s">
        <v>6936</v>
      </c>
      <c r="C993" s="372" t="s">
        <v>6937</v>
      </c>
      <c r="D993" s="374">
        <v>1101110129026</v>
      </c>
      <c r="E993" s="372" t="s">
        <v>6938</v>
      </c>
      <c r="F993" s="375" t="s">
        <v>890</v>
      </c>
      <c r="G993" s="375" t="s">
        <v>891</v>
      </c>
      <c r="H993" s="375" t="s">
        <v>852</v>
      </c>
      <c r="I993" s="375" t="s">
        <v>751</v>
      </c>
      <c r="J993" s="375">
        <v>4385277.4742599996</v>
      </c>
      <c r="K993" s="375">
        <v>265766.18805</v>
      </c>
      <c r="L993" s="375">
        <v>250213.5883</v>
      </c>
      <c r="M993" s="375">
        <v>1387926.28418</v>
      </c>
      <c r="N993" s="372">
        <v>1.119</v>
      </c>
      <c r="O993" s="704">
        <v>453.84046253505346</v>
      </c>
      <c r="P993" s="375" t="s">
        <v>619</v>
      </c>
      <c r="Q993" s="375" t="s">
        <v>619</v>
      </c>
      <c r="R993" s="696">
        <v>19890909</v>
      </c>
      <c r="S993" s="375" t="s">
        <v>6939</v>
      </c>
      <c r="T993" s="697">
        <v>0.23100000000000001</v>
      </c>
      <c r="U993" s="372" t="s">
        <v>6940</v>
      </c>
      <c r="V993" s="722">
        <v>2.78</v>
      </c>
      <c r="W993" s="722">
        <v>0.23</v>
      </c>
      <c r="X993" s="722">
        <v>0.04</v>
      </c>
      <c r="Y993" s="722">
        <v>1.61</v>
      </c>
      <c r="Z993" s="382" t="s">
        <v>924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6941</v>
      </c>
      <c r="B994" s="373" t="s">
        <v>6942</v>
      </c>
      <c r="C994" s="372" t="s">
        <v>6943</v>
      </c>
      <c r="D994" s="374">
        <v>1341110003058</v>
      </c>
      <c r="E994" s="372" t="s">
        <v>6944</v>
      </c>
      <c r="F994" s="375" t="s">
        <v>2004</v>
      </c>
      <c r="G994" s="375" t="s">
        <v>2004</v>
      </c>
      <c r="H994" s="375" t="s">
        <v>789</v>
      </c>
      <c r="I994" s="375" t="s">
        <v>751</v>
      </c>
      <c r="J994" s="375">
        <v>161454.76368</v>
      </c>
      <c r="K994" s="375">
        <v>-871.59550999999999</v>
      </c>
      <c r="L994" s="375">
        <v>-4335.4378500000003</v>
      </c>
      <c r="M994" s="375">
        <v>66587.549180000002</v>
      </c>
      <c r="N994" s="372">
        <v>0.69599999999999995</v>
      </c>
      <c r="O994" s="704">
        <v>2.7496606736380143</v>
      </c>
      <c r="P994" s="375" t="s">
        <v>619</v>
      </c>
      <c r="Q994" s="372" t="s">
        <v>619</v>
      </c>
      <c r="R994" s="696">
        <v>19941227</v>
      </c>
      <c r="S994" s="375" t="s">
        <v>6945</v>
      </c>
      <c r="T994" s="697" t="s">
        <v>768</v>
      </c>
      <c r="U994" s="372" t="s">
        <v>6946</v>
      </c>
      <c r="V994" s="722">
        <v>43.48</v>
      </c>
      <c r="W994" s="722">
        <v>2.06</v>
      </c>
      <c r="X994" s="722">
        <v>0.85</v>
      </c>
      <c r="Y994" s="722" t="s">
        <v>770</v>
      </c>
      <c r="Z994" s="382" t="s">
        <v>924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6947</v>
      </c>
      <c r="B995" s="373" t="s">
        <v>6948</v>
      </c>
      <c r="C995" s="372" t="s">
        <v>6949</v>
      </c>
      <c r="D995" s="374">
        <v>1341110142575</v>
      </c>
      <c r="E995" s="372" t="s">
        <v>6950</v>
      </c>
      <c r="F995" s="375" t="s">
        <v>1679</v>
      </c>
      <c r="G995" s="375" t="s">
        <v>1680</v>
      </c>
      <c r="H995" s="375" t="s">
        <v>823</v>
      </c>
      <c r="I995" s="375" t="s">
        <v>751</v>
      </c>
      <c r="J995" s="375">
        <v>788982.82767999999</v>
      </c>
      <c r="K995" s="375">
        <v>43506.10226</v>
      </c>
      <c r="L995" s="375">
        <v>38552.46153</v>
      </c>
      <c r="M995" s="375">
        <v>401067.02215999999</v>
      </c>
      <c r="N995" s="372">
        <v>0.877</v>
      </c>
      <c r="O995" s="704">
        <v>30.210126524317914</v>
      </c>
      <c r="P995" s="375" t="s">
        <v>619</v>
      </c>
      <c r="Q995" s="375" t="s">
        <v>619</v>
      </c>
      <c r="R995" s="696">
        <v>20060703</v>
      </c>
      <c r="S995" s="375" t="s">
        <v>6951</v>
      </c>
      <c r="T995" s="697">
        <v>0.23100000000000001</v>
      </c>
      <c r="U995" s="372" t="s">
        <v>6952</v>
      </c>
      <c r="V995" s="722">
        <v>3.16</v>
      </c>
      <c r="W995" s="722">
        <v>0.45</v>
      </c>
      <c r="X995" s="722">
        <v>0.23</v>
      </c>
      <c r="Y995" s="722">
        <v>6.31</v>
      </c>
      <c r="Z995" s="382" t="s">
        <v>924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6953</v>
      </c>
      <c r="B996" s="373" t="s">
        <v>6954</v>
      </c>
      <c r="C996" s="372" t="s">
        <v>6955</v>
      </c>
      <c r="D996" s="374">
        <v>1101110003692</v>
      </c>
      <c r="E996" s="372" t="s">
        <v>6956</v>
      </c>
      <c r="F996" s="375" t="s">
        <v>6957</v>
      </c>
      <c r="G996" s="375" t="s">
        <v>6958</v>
      </c>
      <c r="H996" s="375" t="s">
        <v>906</v>
      </c>
      <c r="I996" s="375" t="s">
        <v>751</v>
      </c>
      <c r="J996" s="375">
        <v>610115.31019999995</v>
      </c>
      <c r="K996" s="375">
        <v>51830.476869999999</v>
      </c>
      <c r="L996" s="375">
        <v>57216.035909999999</v>
      </c>
      <c r="M996" s="375">
        <v>384674.60343999998</v>
      </c>
      <c r="N996" s="372">
        <v>0.76</v>
      </c>
      <c r="O996" s="704">
        <v>13.839746600546951</v>
      </c>
      <c r="P996" s="375" t="s">
        <v>619</v>
      </c>
      <c r="Q996" s="375" t="s">
        <v>619</v>
      </c>
      <c r="R996" s="696">
        <v>19761228</v>
      </c>
      <c r="S996" s="375" t="s">
        <v>6959</v>
      </c>
      <c r="T996" s="697">
        <v>0.23100000000000001</v>
      </c>
      <c r="U996" s="372" t="s">
        <v>6960</v>
      </c>
      <c r="V996" s="722">
        <v>2.19</v>
      </c>
      <c r="W996" s="722">
        <v>0.44</v>
      </c>
      <c r="X996" s="722">
        <v>0.28000000000000003</v>
      </c>
      <c r="Y996" s="722">
        <v>3.82</v>
      </c>
      <c r="Z996" s="382" t="s">
        <v>924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6149</v>
      </c>
      <c r="AF996" s="372">
        <v>0</v>
      </c>
      <c r="AG996" s="372">
        <v>0</v>
      </c>
      <c r="AH996" s="372">
        <v>0</v>
      </c>
    </row>
    <row r="997" spans="1:34">
      <c r="A997" s="372" t="s">
        <v>6961</v>
      </c>
      <c r="B997" s="373" t="s">
        <v>6962</v>
      </c>
      <c r="C997" s="372" t="s">
        <v>6963</v>
      </c>
      <c r="D997" s="374">
        <v>1101110944622</v>
      </c>
      <c r="E997" s="372" t="s">
        <v>6964</v>
      </c>
      <c r="F997" s="375" t="s">
        <v>3233</v>
      </c>
      <c r="G997" s="375" t="s">
        <v>3233</v>
      </c>
      <c r="H997" s="375" t="s">
        <v>858</v>
      </c>
      <c r="I997" s="375" t="s">
        <v>859</v>
      </c>
      <c r="J997" s="375">
        <v>360062.45052000001</v>
      </c>
      <c r="K997" s="375">
        <v>-23970.479159999999</v>
      </c>
      <c r="L997" s="375">
        <v>-34104.877619999999</v>
      </c>
      <c r="M997" s="375">
        <v>150051.36322999999</v>
      </c>
      <c r="N997" s="372">
        <v>1.3109999999999999</v>
      </c>
      <c r="O997" s="704">
        <v>112.94221203609705</v>
      </c>
      <c r="P997" s="375" t="s">
        <v>619</v>
      </c>
      <c r="Q997" s="375" t="s">
        <v>619</v>
      </c>
      <c r="R997" s="696">
        <v>20000801</v>
      </c>
      <c r="S997" s="375" t="s">
        <v>6965</v>
      </c>
      <c r="T997" s="697" t="s">
        <v>768</v>
      </c>
      <c r="U997" s="372" t="s">
        <v>6966</v>
      </c>
      <c r="V997" s="722">
        <v>32.409999999999997</v>
      </c>
      <c r="W997" s="722">
        <v>1.24</v>
      </c>
      <c r="X997" s="722">
        <v>0.39</v>
      </c>
      <c r="Y997" s="722" t="s">
        <v>770</v>
      </c>
      <c r="Z997" s="382" t="s">
        <v>924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6967</v>
      </c>
      <c r="B998" s="373" t="s">
        <v>6968</v>
      </c>
      <c r="C998" s="372" t="s">
        <v>6969</v>
      </c>
      <c r="D998" s="374">
        <v>1101110039209</v>
      </c>
      <c r="E998" s="372" t="s">
        <v>6970</v>
      </c>
      <c r="F998" s="375" t="s">
        <v>2181</v>
      </c>
      <c r="G998" s="375" t="s">
        <v>3520</v>
      </c>
      <c r="H998" s="375" t="s">
        <v>2053</v>
      </c>
      <c r="I998" s="375" t="s">
        <v>751</v>
      </c>
      <c r="J998" s="375">
        <v>188271.15445999999</v>
      </c>
      <c r="K998" s="375">
        <v>-5578.6310800000001</v>
      </c>
      <c r="L998" s="375">
        <v>-7086.3139799999999</v>
      </c>
      <c r="M998" s="375">
        <v>160324.45741</v>
      </c>
      <c r="N998" s="372">
        <v>1.1859999999999999</v>
      </c>
      <c r="O998" s="704">
        <v>18.275073824289507</v>
      </c>
      <c r="P998" s="375" t="s">
        <v>619</v>
      </c>
      <c r="Q998" s="372" t="s">
        <v>619</v>
      </c>
      <c r="R998" s="696">
        <v>19960731</v>
      </c>
      <c r="S998" s="372" t="s">
        <v>6971</v>
      </c>
      <c r="T998" s="697" t="s">
        <v>768</v>
      </c>
      <c r="U998" s="372" t="s">
        <v>6972</v>
      </c>
      <c r="V998" s="722">
        <v>40861.199999999997</v>
      </c>
      <c r="W998" s="722">
        <v>2.73</v>
      </c>
      <c r="X998" s="722">
        <v>2.23</v>
      </c>
      <c r="Y998" s="722" t="s">
        <v>770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2005</v>
      </c>
      <c r="AF998" s="372">
        <v>4694.5</v>
      </c>
      <c r="AG998" s="372">
        <v>5790</v>
      </c>
      <c r="AH998" s="372">
        <v>0</v>
      </c>
    </row>
    <row r="999" spans="1:34">
      <c r="A999" s="372" t="s">
        <v>6973</v>
      </c>
      <c r="B999" s="373" t="s">
        <v>6974</v>
      </c>
      <c r="C999" s="372" t="s">
        <v>6975</v>
      </c>
      <c r="D999" s="374">
        <v>1101112564478</v>
      </c>
      <c r="E999" s="372" t="s">
        <v>6976</v>
      </c>
      <c r="F999" s="375" t="s">
        <v>3177</v>
      </c>
      <c r="G999" s="375" t="s">
        <v>3178</v>
      </c>
      <c r="H999" s="375" t="s">
        <v>1334</v>
      </c>
      <c r="I999" s="375" t="s">
        <v>859</v>
      </c>
      <c r="J999" s="375">
        <v>70090.89155</v>
      </c>
      <c r="K999" s="375">
        <v>23067.380850000001</v>
      </c>
      <c r="L999" s="375">
        <v>27791.279900000001</v>
      </c>
      <c r="M999" s="375">
        <v>170979.64436000001</v>
      </c>
      <c r="N999" s="372">
        <v>0.46</v>
      </c>
      <c r="O999" s="704">
        <v>0.11854264065327975</v>
      </c>
      <c r="P999" s="375" t="s">
        <v>619</v>
      </c>
      <c r="Q999" s="375" t="s">
        <v>619</v>
      </c>
      <c r="R999" s="696">
        <v>20211029</v>
      </c>
      <c r="S999" s="375" t="s">
        <v>6977</v>
      </c>
      <c r="T999" s="697">
        <v>0.23100000000000001</v>
      </c>
      <c r="U999" s="372" t="s">
        <v>6978</v>
      </c>
      <c r="V999" s="722">
        <v>0</v>
      </c>
      <c r="W999" s="722">
        <v>0</v>
      </c>
      <c r="X999" s="722">
        <v>0</v>
      </c>
      <c r="Y999" s="722">
        <v>0</v>
      </c>
      <c r="Z999" s="382" t="s">
        <v>924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6979</v>
      </c>
      <c r="B1000" s="373" t="s">
        <v>6980</v>
      </c>
      <c r="C1000" s="372" t="s">
        <v>6981</v>
      </c>
      <c r="D1000" s="374">
        <v>1101110250855</v>
      </c>
      <c r="E1000" s="372" t="s">
        <v>6982</v>
      </c>
      <c r="F1000" s="372" t="s">
        <v>6983</v>
      </c>
      <c r="G1000" s="375" t="s">
        <v>6984</v>
      </c>
      <c r="H1000" s="375" t="s">
        <v>3096</v>
      </c>
      <c r="I1000" s="375" t="s">
        <v>859</v>
      </c>
      <c r="J1000" s="375">
        <v>182537.26156000001</v>
      </c>
      <c r="K1000" s="375">
        <v>16818.286069999998</v>
      </c>
      <c r="L1000" s="375">
        <v>17465.04883</v>
      </c>
      <c r="M1000" s="375">
        <v>175072.56364000001</v>
      </c>
      <c r="N1000" s="372">
        <v>0.16700000000000001</v>
      </c>
      <c r="O1000" s="704">
        <v>2.12583601669792</v>
      </c>
      <c r="P1000" s="375" t="s">
        <v>619</v>
      </c>
      <c r="Q1000" s="375" t="s">
        <v>619</v>
      </c>
      <c r="R1000" s="696">
        <v>20020115</v>
      </c>
      <c r="S1000" s="375" t="s">
        <v>6985</v>
      </c>
      <c r="T1000" s="697">
        <v>0.20900000000000002</v>
      </c>
      <c r="U1000" s="375" t="s">
        <v>6986</v>
      </c>
      <c r="V1000" s="722">
        <v>6.44</v>
      </c>
      <c r="W1000" s="722">
        <v>0.77</v>
      </c>
      <c r="X1000" s="722">
        <v>0.78</v>
      </c>
      <c r="Y1000" s="722">
        <v>10.91</v>
      </c>
      <c r="Z1000" s="382" t="s">
        <v>924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6987</v>
      </c>
      <c r="B1001" s="373" t="s">
        <v>6988</v>
      </c>
      <c r="C1001" s="372" t="s">
        <v>6989</v>
      </c>
      <c r="D1001" s="374">
        <v>1201110101890</v>
      </c>
      <c r="E1001" s="372" t="s">
        <v>6990</v>
      </c>
      <c r="F1001" s="375" t="s">
        <v>2839</v>
      </c>
      <c r="G1001" s="375" t="s">
        <v>4675</v>
      </c>
      <c r="H1001" s="375" t="s">
        <v>858</v>
      </c>
      <c r="I1001" s="375" t="s">
        <v>4410</v>
      </c>
      <c r="J1001" s="375">
        <v>274949.09993000003</v>
      </c>
      <c r="K1001" s="375">
        <v>1985.31665</v>
      </c>
      <c r="L1001" s="375">
        <v>-8542.8317599999991</v>
      </c>
      <c r="M1001" s="375">
        <v>181111.75135999999</v>
      </c>
      <c r="N1001" s="372" t="s">
        <v>1023</v>
      </c>
      <c r="O1001" s="704" t="e">
        <v>#DIV/0!</v>
      </c>
      <c r="P1001" s="375" t="s">
        <v>619</v>
      </c>
      <c r="Q1001" s="375" t="s">
        <v>619</v>
      </c>
      <c r="R1001" s="696">
        <v>20151102</v>
      </c>
      <c r="S1001" s="375" t="e">
        <v>#N/A</v>
      </c>
      <c r="T1001" s="697" t="s">
        <v>768</v>
      </c>
      <c r="U1001" s="375" t="s">
        <v>6991</v>
      </c>
      <c r="V1001" s="722">
        <v>4.22</v>
      </c>
      <c r="W1001" s="722">
        <v>0</v>
      </c>
      <c r="X1001" s="722">
        <v>0</v>
      </c>
      <c r="Y1001" s="722">
        <v>0</v>
      </c>
      <c r="Z1001" s="382" t="s">
        <v>924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6992</v>
      </c>
      <c r="B1002" s="373" t="s">
        <v>6993</v>
      </c>
      <c r="C1002" s="372" t="s">
        <v>6994</v>
      </c>
      <c r="D1002" s="374">
        <v>1801110618091</v>
      </c>
      <c r="E1002" s="372" t="s">
        <v>6995</v>
      </c>
      <c r="F1002" s="375" t="s">
        <v>2508</v>
      </c>
      <c r="G1002" s="375" t="s">
        <v>2508</v>
      </c>
      <c r="H1002" s="375" t="s">
        <v>823</v>
      </c>
      <c r="I1002" s="375" t="s">
        <v>751</v>
      </c>
      <c r="J1002" s="375">
        <v>275330.87190999999</v>
      </c>
      <c r="K1002" s="375">
        <v>3739.0419900000002</v>
      </c>
      <c r="L1002" s="375">
        <v>18616.620159999999</v>
      </c>
      <c r="M1002" s="375">
        <v>425233.58279999997</v>
      </c>
      <c r="N1002" s="372">
        <v>0.628</v>
      </c>
      <c r="O1002" s="704">
        <v>62.968395869537119</v>
      </c>
      <c r="P1002" s="375" t="s">
        <v>619</v>
      </c>
      <c r="Q1002" s="372" t="s">
        <v>619</v>
      </c>
      <c r="R1002" s="696">
        <v>20080215</v>
      </c>
      <c r="S1002" s="372" t="s">
        <v>6996</v>
      </c>
      <c r="T1002" s="697">
        <v>0.20900000000000002</v>
      </c>
      <c r="U1002" s="372" t="s">
        <v>6997</v>
      </c>
      <c r="V1002" s="722">
        <v>16.7</v>
      </c>
      <c r="W1002" s="722">
        <v>0.5</v>
      </c>
      <c r="X1002" s="722">
        <v>0.64</v>
      </c>
      <c r="Y1002" s="722">
        <v>21.63</v>
      </c>
      <c r="Z1002" s="382" t="s">
        <v>924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6998</v>
      </c>
      <c r="B1003" s="373" t="s">
        <v>6999</v>
      </c>
      <c r="C1003" s="372" t="s">
        <v>7000</v>
      </c>
      <c r="D1003" s="374">
        <v>1101110673966</v>
      </c>
      <c r="E1003" s="372" t="s">
        <v>7001</v>
      </c>
      <c r="F1003" s="375" t="s">
        <v>7002</v>
      </c>
      <c r="G1003" s="375" t="s">
        <v>7002</v>
      </c>
      <c r="H1003" s="375" t="s">
        <v>4844</v>
      </c>
      <c r="I1003" s="375" t="s">
        <v>859</v>
      </c>
      <c r="J1003" s="375">
        <v>198399.47633</v>
      </c>
      <c r="K1003" s="375">
        <v>8581.6485100000009</v>
      </c>
      <c r="L1003" s="375">
        <v>15534.363530000001</v>
      </c>
      <c r="M1003" s="375">
        <v>141508.86885</v>
      </c>
      <c r="N1003" s="372">
        <v>1.032</v>
      </c>
      <c r="O1003" s="704">
        <v>10.090268490538969</v>
      </c>
      <c r="P1003" s="375" t="s">
        <v>619</v>
      </c>
      <c r="Q1003" s="372" t="s">
        <v>619</v>
      </c>
      <c r="R1003" s="696">
        <v>20071106</v>
      </c>
      <c r="S1003" s="372" t="s">
        <v>7003</v>
      </c>
      <c r="T1003" s="697">
        <v>0.20900000000000002</v>
      </c>
      <c r="U1003" s="375" t="s">
        <v>7004</v>
      </c>
      <c r="V1003" s="722">
        <v>12.61</v>
      </c>
      <c r="W1003" s="722">
        <v>1.02</v>
      </c>
      <c r="X1003" s="722">
        <v>0.71</v>
      </c>
      <c r="Y1003" s="722">
        <v>12.66</v>
      </c>
      <c r="Z1003" s="382" t="s">
        <v>924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7005</v>
      </c>
      <c r="B1004" s="373" t="s">
        <v>7006</v>
      </c>
      <c r="C1004" s="372" t="s">
        <v>7007</v>
      </c>
      <c r="D1004" s="374">
        <v>1101116080032</v>
      </c>
      <c r="E1004" s="372" t="s">
        <v>7008</v>
      </c>
      <c r="F1004" s="372" t="s">
        <v>1793</v>
      </c>
      <c r="G1004" s="375" t="s">
        <v>1794</v>
      </c>
      <c r="H1004" s="375" t="s">
        <v>858</v>
      </c>
      <c r="I1004" s="375" t="s">
        <v>859</v>
      </c>
      <c r="J1004" s="375">
        <v>16165.19543</v>
      </c>
      <c r="K1004" s="375">
        <v>-13565.614799999999</v>
      </c>
      <c r="L1004" s="375">
        <v>-14208.922269999999</v>
      </c>
      <c r="M1004" s="375">
        <v>-1491.2603300000001</v>
      </c>
      <c r="N1004" s="372">
        <v>0.73299999999999998</v>
      </c>
      <c r="O1004" s="704">
        <v>14.856197708355696</v>
      </c>
      <c r="P1004" s="375" t="s">
        <v>619</v>
      </c>
      <c r="Q1004" s="375" t="s">
        <v>619</v>
      </c>
      <c r="R1004" s="696">
        <v>20201221</v>
      </c>
      <c r="S1004" s="375" t="s">
        <v>7009</v>
      </c>
      <c r="T1004" s="697" t="s">
        <v>768</v>
      </c>
      <c r="U1004" s="372" t="s">
        <v>7010</v>
      </c>
      <c r="V1004" s="722" t="s">
        <v>770</v>
      </c>
      <c r="W1004" s="722" t="s">
        <v>770</v>
      </c>
      <c r="X1004" s="722">
        <v>3.89</v>
      </c>
      <c r="Y1004" s="722" t="s">
        <v>770</v>
      </c>
      <c r="Z1004" s="382" t="s">
        <v>924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7011</v>
      </c>
      <c r="B1005" s="373" t="s">
        <v>7012</v>
      </c>
      <c r="C1005" s="372" t="s">
        <v>7013</v>
      </c>
      <c r="D1005" s="374">
        <v>1801110034320</v>
      </c>
      <c r="E1005" s="372" t="s">
        <v>7014</v>
      </c>
      <c r="F1005" s="372" t="s">
        <v>2482</v>
      </c>
      <c r="G1005" s="375" t="s">
        <v>2483</v>
      </c>
      <c r="H1005" s="375" t="s">
        <v>809</v>
      </c>
      <c r="I1005" s="375" t="s">
        <v>751</v>
      </c>
      <c r="J1005" s="375">
        <v>813507.19316999998</v>
      </c>
      <c r="K1005" s="375">
        <v>41233.855280000003</v>
      </c>
      <c r="L1005" s="375">
        <v>24584.13149</v>
      </c>
      <c r="M1005" s="375">
        <v>496551.90792999999</v>
      </c>
      <c r="N1005" s="372">
        <v>0.77300000000000002</v>
      </c>
      <c r="O1005" s="704">
        <v>476.32399216536783</v>
      </c>
      <c r="P1005" s="375" t="s">
        <v>619</v>
      </c>
      <c r="Q1005" s="375" t="s">
        <v>619</v>
      </c>
      <c r="R1005" s="696">
        <v>19880910</v>
      </c>
      <c r="S1005" s="375" t="s">
        <v>7015</v>
      </c>
      <c r="T1005" s="697">
        <v>0.23100000000000001</v>
      </c>
      <c r="U1005" s="375" t="s">
        <v>7016</v>
      </c>
      <c r="V1005" s="722">
        <v>6.35</v>
      </c>
      <c r="W1005" s="722">
        <v>0.31</v>
      </c>
      <c r="X1005" s="722">
        <v>0.16</v>
      </c>
      <c r="Y1005" s="722">
        <v>9.65</v>
      </c>
      <c r="Z1005" s="382" t="s">
        <v>924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7017</v>
      </c>
      <c r="B1006" s="373" t="s">
        <v>7018</v>
      </c>
      <c r="C1006" s="372" t="s">
        <v>7019</v>
      </c>
      <c r="D1006" s="374">
        <v>1101114175728</v>
      </c>
      <c r="E1006" s="372" t="s">
        <v>7020</v>
      </c>
      <c r="F1006" s="372" t="s">
        <v>1182</v>
      </c>
      <c r="G1006" s="375" t="s">
        <v>3112</v>
      </c>
      <c r="H1006" s="375" t="s">
        <v>858</v>
      </c>
      <c r="I1006" s="375" t="s">
        <v>859</v>
      </c>
      <c r="J1006" s="375">
        <v>7828.48027</v>
      </c>
      <c r="K1006" s="375">
        <v>-4931.4268400000001</v>
      </c>
      <c r="L1006" s="375">
        <v>-3454.2597300000002</v>
      </c>
      <c r="M1006" s="375">
        <v>42305.167260000002</v>
      </c>
      <c r="N1006" s="372">
        <v>1.0860000000000001</v>
      </c>
      <c r="O1006" s="704">
        <v>0.31115588798092109</v>
      </c>
      <c r="P1006" s="375" t="s">
        <v>619</v>
      </c>
      <c r="Q1006" s="375" t="s">
        <v>619</v>
      </c>
      <c r="R1006" s="696">
        <v>20221118</v>
      </c>
      <c r="S1006" s="375" t="s">
        <v>7021</v>
      </c>
      <c r="T1006" s="697" t="s">
        <v>768</v>
      </c>
      <c r="U1006" s="372" t="s">
        <v>7022</v>
      </c>
      <c r="V1006" s="722">
        <v>0</v>
      </c>
      <c r="W1006" s="722">
        <v>0</v>
      </c>
      <c r="X1006" s="722">
        <v>0</v>
      </c>
      <c r="Y1006" s="722">
        <v>0</v>
      </c>
      <c r="Z1006" s="382" t="s">
        <v>924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7023</v>
      </c>
      <c r="B1007" s="373" t="s">
        <v>7024</v>
      </c>
      <c r="C1007" s="372" t="s">
        <v>7025</v>
      </c>
      <c r="D1007" s="374">
        <v>1101110275134</v>
      </c>
      <c r="E1007" s="372" t="s">
        <v>7026</v>
      </c>
      <c r="F1007" s="375" t="s">
        <v>7027</v>
      </c>
      <c r="G1007" s="375" t="s">
        <v>7027</v>
      </c>
      <c r="H1007" s="375" t="s">
        <v>1334</v>
      </c>
      <c r="I1007" s="375" t="s">
        <v>859</v>
      </c>
      <c r="J1007" s="375">
        <v>119199.89301</v>
      </c>
      <c r="K1007" s="375">
        <v>4378.5203499999998</v>
      </c>
      <c r="L1007" s="375">
        <v>-6262.4123499999996</v>
      </c>
      <c r="M1007" s="375">
        <v>99812.599419999999</v>
      </c>
      <c r="N1007" s="372">
        <v>1.016</v>
      </c>
      <c r="O1007" s="704">
        <v>7.9180075655043174</v>
      </c>
      <c r="P1007" s="375" t="s">
        <v>619</v>
      </c>
      <c r="Q1007" s="375" t="s">
        <v>619</v>
      </c>
      <c r="R1007" s="696">
        <v>20010116</v>
      </c>
      <c r="S1007" s="375" t="s">
        <v>7028</v>
      </c>
      <c r="T1007" s="697" t="s">
        <v>768</v>
      </c>
      <c r="U1007" s="372" t="s">
        <v>7029</v>
      </c>
      <c r="V1007" s="722">
        <v>14.96</v>
      </c>
      <c r="W1007" s="722">
        <v>1.66</v>
      </c>
      <c r="X1007" s="722">
        <v>1.4</v>
      </c>
      <c r="Y1007" s="722" t="s">
        <v>770</v>
      </c>
      <c r="Z1007" s="382" t="s">
        <v>924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7030</v>
      </c>
      <c r="B1008" s="373" t="s">
        <v>7031</v>
      </c>
      <c r="C1008" s="372" t="s">
        <v>7032</v>
      </c>
      <c r="D1008" s="374">
        <v>1101114382612</v>
      </c>
      <c r="E1008" s="372" t="s">
        <v>7033</v>
      </c>
      <c r="F1008" s="372" t="s">
        <v>7034</v>
      </c>
      <c r="G1008" s="375" t="s">
        <v>7034</v>
      </c>
      <c r="H1008" s="375" t="s">
        <v>843</v>
      </c>
      <c r="I1008" s="375" t="s">
        <v>751</v>
      </c>
      <c r="J1008" s="375">
        <v>1511356.8174999999</v>
      </c>
      <c r="K1008" s="375">
        <v>32600.521489999999</v>
      </c>
      <c r="L1008" s="375">
        <v>-19935.31091</v>
      </c>
      <c r="M1008" s="375">
        <v>617572.84883999999</v>
      </c>
      <c r="N1008" s="372">
        <v>0.64800000000000002</v>
      </c>
      <c r="O1008" s="704">
        <v>584.44920823141229</v>
      </c>
      <c r="P1008" s="375" t="s">
        <v>619</v>
      </c>
      <c r="Q1008" s="375" t="s">
        <v>619</v>
      </c>
      <c r="R1008" s="696">
        <v>20100730</v>
      </c>
      <c r="S1008" s="375" t="s">
        <v>7035</v>
      </c>
      <c r="T1008" s="697" t="s">
        <v>768</v>
      </c>
      <c r="U1008" s="372" t="s">
        <v>7036</v>
      </c>
      <c r="V1008" s="722">
        <v>10.029999999999999</v>
      </c>
      <c r="W1008" s="722">
        <v>0.27</v>
      </c>
      <c r="X1008" s="722">
        <v>0.11</v>
      </c>
      <c r="Y1008" s="722" t="s">
        <v>770</v>
      </c>
      <c r="Z1008" s="382" t="s">
        <v>924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7037</v>
      </c>
      <c r="B1009" s="373" t="s">
        <v>7038</v>
      </c>
      <c r="C1009" s="372" t="s">
        <v>7039</v>
      </c>
      <c r="D1009" s="374">
        <v>1301110010346</v>
      </c>
      <c r="E1009" s="372" t="s">
        <v>7040</v>
      </c>
      <c r="F1009" s="375" t="s">
        <v>7041</v>
      </c>
      <c r="G1009" s="375" t="s">
        <v>7042</v>
      </c>
      <c r="H1009" s="375" t="s">
        <v>1040</v>
      </c>
      <c r="I1009" s="375" t="s">
        <v>751</v>
      </c>
      <c r="J1009" s="375">
        <v>55129.176720000003</v>
      </c>
      <c r="K1009" s="375">
        <v>-6052.37345</v>
      </c>
      <c r="L1009" s="375">
        <v>743.99863000000005</v>
      </c>
      <c r="M1009" s="375">
        <v>94361.892120000004</v>
      </c>
      <c r="N1009" s="372">
        <v>1.3160000000000001</v>
      </c>
      <c r="O1009" s="704">
        <v>15.12122731194221</v>
      </c>
      <c r="P1009" s="375" t="s">
        <v>619</v>
      </c>
      <c r="Q1009" s="372" t="s">
        <v>619</v>
      </c>
      <c r="R1009" s="696">
        <v>19870724</v>
      </c>
      <c r="S1009" s="372" t="s">
        <v>7043</v>
      </c>
      <c r="T1009" s="697">
        <v>0.20900000000000002</v>
      </c>
      <c r="U1009" s="372" t="s">
        <v>7044</v>
      </c>
      <c r="V1009" s="722" t="s">
        <v>770</v>
      </c>
      <c r="W1009" s="722">
        <v>1.1499999999999999</v>
      </c>
      <c r="X1009" s="722">
        <v>1.97</v>
      </c>
      <c r="Y1009" s="722">
        <v>99.75</v>
      </c>
      <c r="Z1009" s="382" t="s">
        <v>924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7045</v>
      </c>
      <c r="B1010" s="373" t="s">
        <v>7046</v>
      </c>
      <c r="C1010" s="372" t="s">
        <v>7047</v>
      </c>
      <c r="D1010" s="374">
        <v>1351110053143</v>
      </c>
      <c r="E1010" s="372" t="s">
        <v>7048</v>
      </c>
      <c r="F1010" s="375" t="s">
        <v>5684</v>
      </c>
      <c r="G1010" s="375" t="s">
        <v>5684</v>
      </c>
      <c r="H1010" s="375" t="s">
        <v>858</v>
      </c>
      <c r="I1010" s="375" t="s">
        <v>859</v>
      </c>
      <c r="J1010" s="375">
        <v>205367.91216000001</v>
      </c>
      <c r="K1010" s="375">
        <v>3469.6511799999998</v>
      </c>
      <c r="L1010" s="375">
        <v>721.17214999999999</v>
      </c>
      <c r="M1010" s="375">
        <v>69141.71299</v>
      </c>
      <c r="N1010" s="372">
        <v>1.218</v>
      </c>
      <c r="O1010" s="704">
        <v>115.25027532289616</v>
      </c>
      <c r="P1010" s="375" t="s">
        <v>619</v>
      </c>
      <c r="Q1010" s="372" t="s">
        <v>619</v>
      </c>
      <c r="R1010" s="696">
        <v>20200716</v>
      </c>
      <c r="S1010" s="372" t="s">
        <v>7049</v>
      </c>
      <c r="T1010" s="697">
        <v>0.20900000000000002</v>
      </c>
      <c r="U1010" s="375" t="s">
        <v>7050</v>
      </c>
      <c r="V1010" s="722">
        <v>33.75</v>
      </c>
      <c r="W1010" s="722">
        <v>1.65</v>
      </c>
      <c r="X1010" s="722">
        <v>0.56999999999999995</v>
      </c>
      <c r="Y1010" s="722">
        <v>64.87</v>
      </c>
      <c r="Z1010" s="382" t="s">
        <v>924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7051</v>
      </c>
      <c r="B1011" s="373" t="s">
        <v>7052</v>
      </c>
      <c r="C1011" s="372" t="s">
        <v>7053</v>
      </c>
      <c r="D1011" s="374">
        <v>1101114838516</v>
      </c>
      <c r="E1011" s="372" t="s">
        <v>7054</v>
      </c>
      <c r="F1011" s="375" t="s">
        <v>2219</v>
      </c>
      <c r="G1011" s="375" t="s">
        <v>2219</v>
      </c>
      <c r="H1011" s="375" t="s">
        <v>858</v>
      </c>
      <c r="I1011" s="375" t="s">
        <v>859</v>
      </c>
      <c r="J1011" s="375">
        <v>238542.92027</v>
      </c>
      <c r="K1011" s="375">
        <v>9583.1357100000005</v>
      </c>
      <c r="L1011" s="375">
        <v>10146.002350000001</v>
      </c>
      <c r="M1011" s="375">
        <v>196652.05718</v>
      </c>
      <c r="N1011" s="372">
        <v>0.749</v>
      </c>
      <c r="O1011" s="704">
        <v>10.218989276585932</v>
      </c>
      <c r="P1011" s="375" t="s">
        <v>619</v>
      </c>
      <c r="Q1011" s="375" t="s">
        <v>619</v>
      </c>
      <c r="R1011" s="696">
        <v>20210514</v>
      </c>
      <c r="S1011" s="375" t="s">
        <v>7055</v>
      </c>
      <c r="T1011" s="697">
        <v>0.20900000000000002</v>
      </c>
      <c r="U1011" s="372" t="s">
        <v>7056</v>
      </c>
      <c r="V1011" s="722">
        <v>10.66</v>
      </c>
      <c r="W1011" s="722">
        <v>0.75</v>
      </c>
      <c r="X1011" s="722">
        <v>0.54</v>
      </c>
      <c r="Y1011" s="722">
        <v>18.190000000000001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2550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7057</v>
      </c>
      <c r="B1012" s="373" t="s">
        <v>7058</v>
      </c>
      <c r="C1012" s="372" t="s">
        <v>7059</v>
      </c>
      <c r="D1012" s="374">
        <v>1345110001814</v>
      </c>
      <c r="E1012" s="372" t="s">
        <v>7060</v>
      </c>
      <c r="F1012" s="375" t="s">
        <v>2181</v>
      </c>
      <c r="G1012" s="375" t="s">
        <v>4880</v>
      </c>
      <c r="H1012" s="375" t="s">
        <v>2053</v>
      </c>
      <c r="I1012" s="375" t="s">
        <v>751</v>
      </c>
      <c r="J1012" s="375">
        <v>136156.29853</v>
      </c>
      <c r="K1012" s="375">
        <v>13822.697990000001</v>
      </c>
      <c r="L1012" s="375">
        <v>15488.207050000001</v>
      </c>
      <c r="M1012" s="375">
        <v>215560.03276</v>
      </c>
      <c r="N1012" s="372">
        <v>1.131</v>
      </c>
      <c r="O1012" s="704">
        <v>1.0209480351417304</v>
      </c>
      <c r="P1012" s="375" t="s">
        <v>619</v>
      </c>
      <c r="Q1012" s="372" t="s">
        <v>619</v>
      </c>
      <c r="R1012" s="696">
        <v>20100726</v>
      </c>
      <c r="S1012" s="372" t="s">
        <v>7061</v>
      </c>
      <c r="T1012" s="697">
        <v>0.20900000000000002</v>
      </c>
      <c r="U1012" s="375" t="s">
        <v>7062</v>
      </c>
      <c r="V1012" s="722">
        <v>11.92</v>
      </c>
      <c r="W1012" s="722">
        <v>0.89</v>
      </c>
      <c r="X1012" s="722">
        <v>1.1599999999999999</v>
      </c>
      <c r="Y1012" s="722">
        <v>15.53</v>
      </c>
      <c r="Z1012" s="382">
        <v>6.1890658368715767E-2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1408.33</v>
      </c>
      <c r="AF1012" s="372">
        <v>1532.67</v>
      </c>
      <c r="AG1012" s="372">
        <v>1641</v>
      </c>
      <c r="AH1012" s="372">
        <v>0</v>
      </c>
    </row>
    <row r="1013" spans="1:34">
      <c r="A1013" s="372" t="s">
        <v>7063</v>
      </c>
      <c r="B1013" s="373" t="s">
        <v>7064</v>
      </c>
      <c r="C1013" s="372" t="s">
        <v>7065</v>
      </c>
      <c r="D1013" s="374">
        <v>1348110121012</v>
      </c>
      <c r="E1013" s="372" t="s">
        <v>7066</v>
      </c>
      <c r="F1013" s="372" t="s">
        <v>2423</v>
      </c>
      <c r="G1013" s="375" t="s">
        <v>2424</v>
      </c>
      <c r="H1013" s="375" t="s">
        <v>858</v>
      </c>
      <c r="I1013" s="375" t="s">
        <v>859</v>
      </c>
      <c r="J1013" s="375">
        <v>27161.026160000001</v>
      </c>
      <c r="K1013" s="375">
        <v>506.28949999999998</v>
      </c>
      <c r="L1013" s="375">
        <v>1135.8366799999999</v>
      </c>
      <c r="M1013" s="375">
        <v>53631.775260000002</v>
      </c>
      <c r="N1013" s="372" t="s">
        <v>1023</v>
      </c>
      <c r="O1013" s="704">
        <v>0.17503310191835111</v>
      </c>
      <c r="P1013" s="375" t="s">
        <v>619</v>
      </c>
      <c r="Q1013" s="375" t="s">
        <v>619</v>
      </c>
      <c r="R1013" s="696">
        <v>20231206</v>
      </c>
      <c r="S1013" s="375" t="s">
        <v>7067</v>
      </c>
      <c r="T1013" s="697">
        <v>0.20900000000000002</v>
      </c>
      <c r="U1013" s="372" t="s">
        <v>7068</v>
      </c>
      <c r="V1013" s="722">
        <v>126.7</v>
      </c>
      <c r="W1013" s="722">
        <v>2.68</v>
      </c>
      <c r="X1013" s="722">
        <v>5.12</v>
      </c>
      <c r="Y1013" s="722">
        <v>125.01</v>
      </c>
      <c r="Z1013" s="382" t="s">
        <v>924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7069</v>
      </c>
      <c r="B1014" s="373" t="s">
        <v>7070</v>
      </c>
      <c r="C1014" s="372" t="s">
        <v>7071</v>
      </c>
      <c r="D1014" s="374">
        <v>2111110001529</v>
      </c>
      <c r="E1014" s="372" t="s">
        <v>7072</v>
      </c>
      <c r="F1014" s="375" t="s">
        <v>1320</v>
      </c>
      <c r="G1014" s="375" t="s">
        <v>16103</v>
      </c>
      <c r="H1014" s="375" t="s">
        <v>858</v>
      </c>
      <c r="I1014" s="375" t="s">
        <v>859</v>
      </c>
      <c r="J1014" s="375">
        <v>147789.23027</v>
      </c>
      <c r="K1014" s="375">
        <v>2908.2107999999998</v>
      </c>
      <c r="L1014" s="375">
        <v>-940.13630000000001</v>
      </c>
      <c r="M1014" s="375">
        <v>74240.820479999995</v>
      </c>
      <c r="N1014" s="372">
        <v>0.86399999999999999</v>
      </c>
      <c r="O1014" s="704">
        <v>36.233545193388274</v>
      </c>
      <c r="P1014" s="375" t="s">
        <v>619</v>
      </c>
      <c r="Q1014" s="372" t="s">
        <v>619</v>
      </c>
      <c r="R1014" s="696">
        <v>20030212</v>
      </c>
      <c r="S1014" s="372" t="s">
        <v>7073</v>
      </c>
      <c r="T1014" s="697" t="s">
        <v>768</v>
      </c>
      <c r="U1014" s="372" t="s">
        <v>7074</v>
      </c>
      <c r="V1014" s="722">
        <v>34.700000000000003</v>
      </c>
      <c r="W1014" s="722">
        <v>2.95</v>
      </c>
      <c r="X1014" s="722">
        <v>1.58</v>
      </c>
      <c r="Y1014" s="722" t="s">
        <v>770</v>
      </c>
      <c r="Z1014" s="382" t="s">
        <v>924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7075</v>
      </c>
      <c r="B1015" s="373" t="s">
        <v>7076</v>
      </c>
      <c r="C1015" s="372" t="s">
        <v>7077</v>
      </c>
      <c r="D1015" s="374">
        <v>1101110080484</v>
      </c>
      <c r="E1015" s="372" t="s">
        <v>7078</v>
      </c>
      <c r="F1015" s="375" t="s">
        <v>1320</v>
      </c>
      <c r="G1015" s="375" t="s">
        <v>16103</v>
      </c>
      <c r="H1015" s="375" t="s">
        <v>858</v>
      </c>
      <c r="I1015" s="375" t="s">
        <v>859</v>
      </c>
      <c r="J1015" s="375">
        <v>201974.07256</v>
      </c>
      <c r="K1015" s="375">
        <v>37184.266609999999</v>
      </c>
      <c r="L1015" s="375">
        <v>39449.652479999997</v>
      </c>
      <c r="M1015" s="375">
        <v>268334.95957000001</v>
      </c>
      <c r="N1015" s="372">
        <v>0.45100000000000001</v>
      </c>
      <c r="O1015" s="704">
        <v>0</v>
      </c>
      <c r="P1015" s="375" t="s">
        <v>619</v>
      </c>
      <c r="Q1015" s="372" t="s">
        <v>619</v>
      </c>
      <c r="R1015" s="696">
        <v>19941116</v>
      </c>
      <c r="S1015" s="375" t="s">
        <v>7079</v>
      </c>
      <c r="T1015" s="697">
        <v>0.23100000000000001</v>
      </c>
      <c r="U1015" s="372" t="s">
        <v>7080</v>
      </c>
      <c r="V1015" s="722">
        <v>0</v>
      </c>
      <c r="W1015" s="722">
        <v>0</v>
      </c>
      <c r="X1015" s="722">
        <v>0</v>
      </c>
      <c r="Y1015" s="722">
        <v>0</v>
      </c>
      <c r="Z1015" s="382" t="s">
        <v>924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7081</v>
      </c>
      <c r="B1016" s="373" t="s">
        <v>7082</v>
      </c>
      <c r="C1016" s="372" t="s">
        <v>7083</v>
      </c>
      <c r="D1016" s="374">
        <v>1101111518418</v>
      </c>
      <c r="E1016" s="372" t="s">
        <v>7084</v>
      </c>
      <c r="F1016" s="375" t="s">
        <v>5766</v>
      </c>
      <c r="G1016" s="375" t="s">
        <v>5766</v>
      </c>
      <c r="H1016" s="375" t="s">
        <v>1334</v>
      </c>
      <c r="I1016" s="375" t="s">
        <v>859</v>
      </c>
      <c r="J1016" s="375">
        <v>81579.016140000007</v>
      </c>
      <c r="K1016" s="375">
        <v>-3105.5239799999999</v>
      </c>
      <c r="L1016" s="375">
        <v>-8553.6051599999992</v>
      </c>
      <c r="M1016" s="375">
        <v>68913.125849999997</v>
      </c>
      <c r="N1016" s="372">
        <v>0.72099999999999997</v>
      </c>
      <c r="O1016" s="704">
        <v>22.721094449491236</v>
      </c>
      <c r="P1016" s="375" t="s">
        <v>619</v>
      </c>
      <c r="Q1016" s="375" t="s">
        <v>619</v>
      </c>
      <c r="R1016" s="696">
        <v>20070725</v>
      </c>
      <c r="S1016" s="375" t="s">
        <v>7085</v>
      </c>
      <c r="T1016" s="697" t="s">
        <v>768</v>
      </c>
      <c r="U1016" s="372" t="s">
        <v>7086</v>
      </c>
      <c r="V1016" s="722" t="s">
        <v>770</v>
      </c>
      <c r="W1016" s="722">
        <v>2.2799999999999998</v>
      </c>
      <c r="X1016" s="722">
        <v>1.83</v>
      </c>
      <c r="Y1016" s="722" t="s">
        <v>770</v>
      </c>
      <c r="Z1016" s="382" t="s">
        <v>924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7087</v>
      </c>
      <c r="B1017" s="373" t="s">
        <v>7088</v>
      </c>
      <c r="C1017" s="372" t="s">
        <v>7089</v>
      </c>
      <c r="D1017" s="374">
        <v>1101110026652</v>
      </c>
      <c r="E1017" s="372" t="s">
        <v>7090</v>
      </c>
      <c r="F1017" s="375" t="s">
        <v>2622</v>
      </c>
      <c r="G1017" s="375" t="s">
        <v>2623</v>
      </c>
      <c r="H1017" s="375" t="s">
        <v>814</v>
      </c>
      <c r="I1017" s="375" t="s">
        <v>751</v>
      </c>
      <c r="J1017" s="375">
        <v>778787.04350999999</v>
      </c>
      <c r="K1017" s="375">
        <v>-14432.68792</v>
      </c>
      <c r="L1017" s="375">
        <v>-59010.849040000001</v>
      </c>
      <c r="M1017" s="375">
        <v>431944.14163000003</v>
      </c>
      <c r="N1017" s="372">
        <v>0.46700000000000003</v>
      </c>
      <c r="O1017" s="704">
        <v>114.92742254030723</v>
      </c>
      <c r="P1017" s="375" t="s">
        <v>619</v>
      </c>
      <c r="Q1017" s="372" t="s">
        <v>619</v>
      </c>
      <c r="R1017" s="696">
        <v>19880120</v>
      </c>
      <c r="S1017" s="372" t="s">
        <v>7091</v>
      </c>
      <c r="T1017" s="697" t="s">
        <v>768</v>
      </c>
      <c r="U1017" s="372" t="s">
        <v>5446</v>
      </c>
      <c r="V1017" s="722" t="s">
        <v>770</v>
      </c>
      <c r="W1017" s="722">
        <v>0.43</v>
      </c>
      <c r="X1017" s="722">
        <v>0.18</v>
      </c>
      <c r="Y1017" s="722" t="s">
        <v>770</v>
      </c>
      <c r="Z1017" s="382" t="s">
        <v>924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7092</v>
      </c>
      <c r="B1018" s="373" t="s">
        <v>7093</v>
      </c>
      <c r="C1018" s="372" t="s">
        <v>7094</v>
      </c>
      <c r="D1018" s="374">
        <v>1351110102065</v>
      </c>
      <c r="E1018" s="372" t="s">
        <v>7095</v>
      </c>
      <c r="F1018" s="375" t="s">
        <v>1753</v>
      </c>
      <c r="G1018" s="375" t="s">
        <v>6496</v>
      </c>
      <c r="H1018" s="375" t="s">
        <v>858</v>
      </c>
      <c r="I1018" s="375" t="s">
        <v>859</v>
      </c>
      <c r="J1018" s="375">
        <v>52429.334159999999</v>
      </c>
      <c r="K1018" s="375">
        <v>1329.99413</v>
      </c>
      <c r="L1018" s="375">
        <v>2291.81214</v>
      </c>
      <c r="M1018" s="375">
        <v>34324.725140000002</v>
      </c>
      <c r="N1018" s="372">
        <v>1.405</v>
      </c>
      <c r="O1018" s="704">
        <v>0.95638010402166207</v>
      </c>
      <c r="P1018" s="375" t="s">
        <v>619</v>
      </c>
      <c r="Q1018" s="372" t="s">
        <v>619</v>
      </c>
      <c r="R1018" s="696">
        <v>20220401</v>
      </c>
      <c r="S1018" s="372" t="s">
        <v>7096</v>
      </c>
      <c r="T1018" s="697">
        <v>0.20900000000000002</v>
      </c>
      <c r="U1018" s="372" t="s">
        <v>7097</v>
      </c>
      <c r="V1018" s="722">
        <v>52.33</v>
      </c>
      <c r="W1018" s="722">
        <v>3.45</v>
      </c>
      <c r="X1018" s="722">
        <v>2.2599999999999998</v>
      </c>
      <c r="Y1018" s="722">
        <v>40.03</v>
      </c>
      <c r="Z1018" s="382" t="s">
        <v>924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620</v>
      </c>
      <c r="AF1018" s="372">
        <v>0</v>
      </c>
      <c r="AG1018" s="372">
        <v>0</v>
      </c>
      <c r="AH1018" s="372">
        <v>0</v>
      </c>
    </row>
    <row r="1019" spans="1:34">
      <c r="A1019" s="372" t="s">
        <v>7098</v>
      </c>
      <c r="B1019" s="373" t="s">
        <v>7099</v>
      </c>
      <c r="C1019" s="372" t="s">
        <v>7100</v>
      </c>
      <c r="D1019" s="374">
        <v>1201110185810</v>
      </c>
      <c r="E1019" s="372" t="s">
        <v>7101</v>
      </c>
      <c r="F1019" s="375" t="s">
        <v>1300</v>
      </c>
      <c r="G1019" s="375" t="s">
        <v>1300</v>
      </c>
      <c r="H1019" s="375" t="s">
        <v>858</v>
      </c>
      <c r="I1019" s="375" t="s">
        <v>859</v>
      </c>
      <c r="J1019" s="375">
        <v>136931.82623999999</v>
      </c>
      <c r="K1019" s="375">
        <v>3063.76973</v>
      </c>
      <c r="L1019" s="375">
        <v>479.75189</v>
      </c>
      <c r="M1019" s="375">
        <v>202392.8242</v>
      </c>
      <c r="N1019" s="372">
        <v>0.49</v>
      </c>
      <c r="O1019" s="704">
        <v>67.73068232651741</v>
      </c>
      <c r="P1019" s="375" t="s">
        <v>619</v>
      </c>
      <c r="Q1019" s="372" t="s">
        <v>619</v>
      </c>
      <c r="R1019" s="696">
        <v>20170427</v>
      </c>
      <c r="S1019" s="372" t="s">
        <v>7102</v>
      </c>
      <c r="T1019" s="697">
        <v>0.20900000000000002</v>
      </c>
      <c r="U1019" s="372" t="s">
        <v>7103</v>
      </c>
      <c r="V1019" s="722">
        <v>14.63</v>
      </c>
      <c r="W1019" s="722">
        <v>0.78</v>
      </c>
      <c r="X1019" s="722">
        <v>1.03</v>
      </c>
      <c r="Y1019" s="722" t="s">
        <v>770</v>
      </c>
      <c r="Z1019" s="382" t="s">
        <v>924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7104</v>
      </c>
      <c r="B1020" s="373" t="s">
        <v>7105</v>
      </c>
      <c r="C1020" s="372" t="s">
        <v>7106</v>
      </c>
      <c r="D1020" s="374">
        <v>1101110834378</v>
      </c>
      <c r="E1020" s="372" t="s">
        <v>7107</v>
      </c>
      <c r="F1020" s="375" t="s">
        <v>972</v>
      </c>
      <c r="G1020" s="375" t="s">
        <v>973</v>
      </c>
      <c r="H1020" s="375" t="s">
        <v>1334</v>
      </c>
      <c r="I1020" s="375" t="s">
        <v>859</v>
      </c>
      <c r="J1020" s="375">
        <v>362708.63225999998</v>
      </c>
      <c r="K1020" s="375">
        <v>936.55709999999999</v>
      </c>
      <c r="L1020" s="375">
        <v>-4112.23081</v>
      </c>
      <c r="M1020" s="375">
        <v>91583.456330000001</v>
      </c>
      <c r="N1020" s="372">
        <v>0.91400000000000003</v>
      </c>
      <c r="O1020" s="704">
        <v>41.398313703706549</v>
      </c>
      <c r="P1020" s="375" t="s">
        <v>619</v>
      </c>
      <c r="Q1020" s="372" t="s">
        <v>619</v>
      </c>
      <c r="R1020" s="696">
        <v>19990728</v>
      </c>
      <c r="S1020" s="372" t="s">
        <v>7108</v>
      </c>
      <c r="T1020" s="697" t="s">
        <v>768</v>
      </c>
      <c r="U1020" s="372" t="s">
        <v>7109</v>
      </c>
      <c r="V1020" s="722">
        <v>28.11</v>
      </c>
      <c r="W1020" s="722">
        <v>1.19</v>
      </c>
      <c r="X1020" s="722">
        <v>0.26</v>
      </c>
      <c r="Y1020" s="722" t="s">
        <v>770</v>
      </c>
      <c r="Z1020" s="382" t="s">
        <v>924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7110</v>
      </c>
      <c r="B1021" s="373" t="s">
        <v>7111</v>
      </c>
      <c r="C1021" s="372" t="s">
        <v>7112</v>
      </c>
      <c r="D1021" s="374">
        <v>1101110352156</v>
      </c>
      <c r="E1021" s="372" t="s">
        <v>7113</v>
      </c>
      <c r="F1021" s="375" t="s">
        <v>1320</v>
      </c>
      <c r="G1021" s="375" t="s">
        <v>16103</v>
      </c>
      <c r="H1021" s="375" t="s">
        <v>858</v>
      </c>
      <c r="I1021" s="375" t="s">
        <v>859</v>
      </c>
      <c r="J1021" s="375">
        <v>253710.40088</v>
      </c>
      <c r="K1021" s="375">
        <v>18136.563259999999</v>
      </c>
      <c r="L1021" s="375">
        <v>19686.295590000002</v>
      </c>
      <c r="M1021" s="375">
        <v>114621.64320999999</v>
      </c>
      <c r="N1021" s="372">
        <v>0.64700000000000002</v>
      </c>
      <c r="O1021" s="704">
        <v>52.504586735734414</v>
      </c>
      <c r="P1021" s="375" t="s">
        <v>619</v>
      </c>
      <c r="Q1021" s="372" t="s">
        <v>619</v>
      </c>
      <c r="R1021" s="696">
        <v>20180213</v>
      </c>
      <c r="S1021" s="372" t="s">
        <v>7114</v>
      </c>
      <c r="T1021" s="697">
        <v>0.20900000000000002</v>
      </c>
      <c r="U1021" s="372" t="s">
        <v>7115</v>
      </c>
      <c r="V1021" s="722">
        <v>8.14</v>
      </c>
      <c r="W1021" s="722">
        <v>1.31</v>
      </c>
      <c r="X1021" s="722">
        <v>0.64</v>
      </c>
      <c r="Y1021" s="722">
        <v>10.62</v>
      </c>
      <c r="Z1021" s="382" t="s">
        <v>924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7116</v>
      </c>
      <c r="B1022" s="373" t="s">
        <v>7117</v>
      </c>
      <c r="C1022" s="372" t="s">
        <v>7118</v>
      </c>
      <c r="D1022" s="374">
        <v>1614110012349</v>
      </c>
      <c r="E1022" s="372" t="s">
        <v>7119</v>
      </c>
      <c r="F1022" s="375" t="s">
        <v>1093</v>
      </c>
      <c r="G1022" s="375" t="s">
        <v>5851</v>
      </c>
      <c r="H1022" s="375" t="s">
        <v>823</v>
      </c>
      <c r="I1022" s="375" t="s">
        <v>751</v>
      </c>
      <c r="J1022" s="375">
        <v>321002.73450000002</v>
      </c>
      <c r="K1022" s="375">
        <v>10093.95479</v>
      </c>
      <c r="L1022" s="375">
        <v>4806.36031</v>
      </c>
      <c r="M1022" s="375">
        <v>120240.66905</v>
      </c>
      <c r="N1022" s="372">
        <v>0.96799999999999997</v>
      </c>
      <c r="O1022" s="704">
        <v>38.747926414117984</v>
      </c>
      <c r="P1022" s="375" t="s">
        <v>619</v>
      </c>
      <c r="Q1022" s="375" t="s">
        <v>619</v>
      </c>
      <c r="R1022" s="696">
        <v>20051020</v>
      </c>
      <c r="S1022" s="375" t="s">
        <v>7120</v>
      </c>
      <c r="T1022" s="697">
        <v>0.20900000000000002</v>
      </c>
      <c r="U1022" s="372" t="s">
        <v>7121</v>
      </c>
      <c r="V1022" s="722">
        <v>0</v>
      </c>
      <c r="W1022" s="722">
        <v>0</v>
      </c>
      <c r="X1022" s="722">
        <v>0</v>
      </c>
      <c r="Y1022" s="722">
        <v>0</v>
      </c>
      <c r="Z1022" s="382" t="s">
        <v>924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7122</v>
      </c>
      <c r="B1023" s="373" t="s">
        <v>7123</v>
      </c>
      <c r="C1023" s="372" t="s">
        <v>7124</v>
      </c>
      <c r="D1023" s="374">
        <v>1201110615990</v>
      </c>
      <c r="E1023" s="372" t="s">
        <v>7125</v>
      </c>
      <c r="F1023" s="375" t="s">
        <v>995</v>
      </c>
      <c r="G1023" s="375" t="s">
        <v>7126</v>
      </c>
      <c r="H1023" s="375" t="s">
        <v>858</v>
      </c>
      <c r="I1023" s="375" t="s">
        <v>859</v>
      </c>
      <c r="J1023" s="375">
        <v>373236.11456000002</v>
      </c>
      <c r="K1023" s="375">
        <v>23464.20392</v>
      </c>
      <c r="L1023" s="375">
        <v>34103.215929999998</v>
      </c>
      <c r="M1023" s="375">
        <v>168354.83129999999</v>
      </c>
      <c r="N1023" s="372">
        <v>0.64900000000000002</v>
      </c>
      <c r="O1023" s="704">
        <v>30.315449315018643</v>
      </c>
      <c r="P1023" s="375" t="s">
        <v>619</v>
      </c>
      <c r="Q1023" s="375" t="s">
        <v>619</v>
      </c>
      <c r="R1023" s="696">
        <v>20181221</v>
      </c>
      <c r="S1023" s="375" t="s">
        <v>7127</v>
      </c>
      <c r="T1023" s="697">
        <v>0.23100000000000001</v>
      </c>
      <c r="U1023" s="375" t="s">
        <v>7128</v>
      </c>
      <c r="V1023" s="722">
        <v>5.83</v>
      </c>
      <c r="W1023" s="722">
        <v>1.2</v>
      </c>
      <c r="X1023" s="722">
        <v>0.54</v>
      </c>
      <c r="Y1023" s="722">
        <v>7.98</v>
      </c>
      <c r="Z1023" s="382">
        <v>0.1967287217440683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3884.33</v>
      </c>
      <c r="AF1023" s="372">
        <v>5015</v>
      </c>
      <c r="AG1023" s="372">
        <v>5747.5</v>
      </c>
      <c r="AH1023" s="372">
        <v>0</v>
      </c>
    </row>
    <row r="1024" spans="1:34">
      <c r="A1024" s="372" t="s">
        <v>7129</v>
      </c>
      <c r="B1024" s="373" t="s">
        <v>7130</v>
      </c>
      <c r="C1024" s="372" t="s">
        <v>7131</v>
      </c>
      <c r="D1024" s="374">
        <v>1101113783457</v>
      </c>
      <c r="E1024" s="372" t="s">
        <v>7132</v>
      </c>
      <c r="F1024" s="375" t="s">
        <v>1944</v>
      </c>
      <c r="G1024" s="375" t="s">
        <v>2495</v>
      </c>
      <c r="H1024" s="375" t="s">
        <v>858</v>
      </c>
      <c r="I1024" s="375" t="s">
        <v>859</v>
      </c>
      <c r="J1024" s="375">
        <v>381603.56816000002</v>
      </c>
      <c r="K1024" s="375">
        <v>-26632.434949999999</v>
      </c>
      <c r="L1024" s="375">
        <v>103445.5739</v>
      </c>
      <c r="M1024" s="375">
        <v>1076240.8624100001</v>
      </c>
      <c r="N1024" s="372">
        <v>0.99199999999999999</v>
      </c>
      <c r="O1024" s="704">
        <v>256.23826331912954</v>
      </c>
      <c r="P1024" s="375" t="s">
        <v>619</v>
      </c>
      <c r="Q1024" s="372" t="s">
        <v>619</v>
      </c>
      <c r="R1024" s="696">
        <v>20110426</v>
      </c>
      <c r="S1024" s="372" t="s">
        <v>7133</v>
      </c>
      <c r="T1024" s="697">
        <v>0.23100000000000001</v>
      </c>
      <c r="U1024" s="372" t="s">
        <v>7134</v>
      </c>
      <c r="V1024" s="722">
        <v>0</v>
      </c>
      <c r="W1024" s="722">
        <v>0</v>
      </c>
      <c r="X1024" s="722">
        <v>0</v>
      </c>
      <c r="Y1024" s="722">
        <v>0</v>
      </c>
      <c r="Z1024" s="382" t="s">
        <v>924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7135</v>
      </c>
      <c r="B1025" s="373" t="s">
        <v>7136</v>
      </c>
      <c r="C1025" s="372" t="s">
        <v>7137</v>
      </c>
      <c r="D1025" s="374">
        <v>1201110905317</v>
      </c>
      <c r="E1025" s="372" t="s">
        <v>7138</v>
      </c>
      <c r="F1025" s="372" t="s">
        <v>7139</v>
      </c>
      <c r="G1025" s="375" t="s">
        <v>7140</v>
      </c>
      <c r="H1025" s="375" t="s">
        <v>3096</v>
      </c>
      <c r="I1025" s="375" t="s">
        <v>859</v>
      </c>
      <c r="J1025" s="375">
        <v>241473.28849000001</v>
      </c>
      <c r="K1025" s="375">
        <v>7138.2467200000001</v>
      </c>
      <c r="L1025" s="375">
        <v>-807.23533999999995</v>
      </c>
      <c r="M1025" s="375">
        <v>88278.510079999993</v>
      </c>
      <c r="N1025" s="372">
        <v>0.89800000000000002</v>
      </c>
      <c r="O1025" s="704">
        <v>36.921730425897188</v>
      </c>
      <c r="P1025" s="375" t="s">
        <v>619</v>
      </c>
      <c r="Q1025" s="372" t="s">
        <v>619</v>
      </c>
      <c r="R1025" s="696">
        <v>20220603</v>
      </c>
      <c r="S1025" s="375" t="s">
        <v>7141</v>
      </c>
      <c r="T1025" s="697" t="s">
        <v>768</v>
      </c>
      <c r="U1025" s="372" t="s">
        <v>7142</v>
      </c>
      <c r="V1025" s="722">
        <v>19.850000000000001</v>
      </c>
      <c r="W1025" s="722">
        <v>1.94</v>
      </c>
      <c r="X1025" s="722">
        <v>0.66</v>
      </c>
      <c r="Y1025" s="722" t="s">
        <v>770</v>
      </c>
      <c r="Z1025" s="382" t="s">
        <v>924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7143</v>
      </c>
      <c r="B1026" s="373" t="s">
        <v>7144</v>
      </c>
      <c r="C1026" s="372" t="s">
        <v>7145</v>
      </c>
      <c r="D1026" s="374">
        <v>1101115723120</v>
      </c>
      <c r="E1026" s="372" t="s">
        <v>7146</v>
      </c>
      <c r="F1026" s="375" t="s">
        <v>1761</v>
      </c>
      <c r="G1026" s="375" t="s">
        <v>1761</v>
      </c>
      <c r="H1026" s="375" t="s">
        <v>858</v>
      </c>
      <c r="I1026" s="375" t="s">
        <v>859</v>
      </c>
      <c r="J1026" s="375">
        <v>49139.394160000003</v>
      </c>
      <c r="K1026" s="375">
        <v>5231.2464</v>
      </c>
      <c r="L1026" s="375">
        <v>2400.15708</v>
      </c>
      <c r="M1026" s="375">
        <v>65099.582880000002</v>
      </c>
      <c r="N1026" s="372">
        <v>1.111</v>
      </c>
      <c r="O1026" s="704">
        <v>22.322382057248479</v>
      </c>
      <c r="P1026" s="375" t="s">
        <v>619</v>
      </c>
      <c r="Q1026" s="375" t="s">
        <v>619</v>
      </c>
      <c r="R1026" s="696">
        <v>20150727</v>
      </c>
      <c r="S1026" s="375" t="s">
        <v>7147</v>
      </c>
      <c r="T1026" s="697">
        <v>0.20900000000000002</v>
      </c>
      <c r="U1026" s="375" t="s">
        <v>7148</v>
      </c>
      <c r="V1026" s="722">
        <v>0</v>
      </c>
      <c r="W1026" s="722">
        <v>0</v>
      </c>
      <c r="X1026" s="722">
        <v>0</v>
      </c>
      <c r="Y1026" s="722">
        <v>0</v>
      </c>
      <c r="Z1026" s="382" t="s">
        <v>924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7149</v>
      </c>
      <c r="B1027" s="373" t="s">
        <v>7150</v>
      </c>
      <c r="C1027" s="372" t="s">
        <v>7151</v>
      </c>
      <c r="D1027" s="374">
        <v>1701110002676</v>
      </c>
      <c r="E1027" s="372" t="s">
        <v>7152</v>
      </c>
      <c r="F1027" s="375" t="s">
        <v>2037</v>
      </c>
      <c r="G1027" s="375" t="s">
        <v>7153</v>
      </c>
      <c r="H1027" s="375" t="s">
        <v>3096</v>
      </c>
      <c r="I1027" s="375" t="s">
        <v>859</v>
      </c>
      <c r="J1027" s="375">
        <v>120053.77361</v>
      </c>
      <c r="K1027" s="375">
        <v>49.123359999999998</v>
      </c>
      <c r="L1027" s="375">
        <v>1056.90149</v>
      </c>
      <c r="M1027" s="375">
        <v>78560.843640000006</v>
      </c>
      <c r="N1027" s="372">
        <v>0.33200000000000002</v>
      </c>
      <c r="O1027" s="704">
        <v>3.4988691664407598</v>
      </c>
      <c r="P1027" s="375" t="s">
        <v>619</v>
      </c>
      <c r="Q1027" s="372" t="s">
        <v>619</v>
      </c>
      <c r="R1027" s="696">
        <v>19941130</v>
      </c>
      <c r="S1027" s="372" t="s">
        <v>7154</v>
      </c>
      <c r="T1027" s="697">
        <v>0.20900000000000002</v>
      </c>
      <c r="U1027" s="372" t="s">
        <v>7155</v>
      </c>
      <c r="V1027" s="722">
        <v>0</v>
      </c>
      <c r="W1027" s="722">
        <v>0</v>
      </c>
      <c r="X1027" s="722">
        <v>0</v>
      </c>
      <c r="Y1027" s="722">
        <v>0</v>
      </c>
      <c r="Z1027" s="382" t="s">
        <v>924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7156</v>
      </c>
      <c r="B1028" s="373" t="s">
        <v>7157</v>
      </c>
      <c r="C1028" s="372" t="s">
        <v>7158</v>
      </c>
      <c r="D1028" s="374">
        <v>1341110160494</v>
      </c>
      <c r="E1028" s="372" t="s">
        <v>7159</v>
      </c>
      <c r="F1028" s="372" t="s">
        <v>821</v>
      </c>
      <c r="G1028" s="375" t="s">
        <v>16105</v>
      </c>
      <c r="H1028" s="375" t="s">
        <v>858</v>
      </c>
      <c r="I1028" s="375" t="s">
        <v>859</v>
      </c>
      <c r="J1028" s="375">
        <v>209757.31036999999</v>
      </c>
      <c r="K1028" s="375">
        <v>6735.1131599999999</v>
      </c>
      <c r="L1028" s="375">
        <v>-10659.018910000001</v>
      </c>
      <c r="M1028" s="375">
        <v>120062.98471</v>
      </c>
      <c r="N1028" s="372">
        <v>0.79</v>
      </c>
      <c r="O1028" s="704">
        <v>130.65518834942435</v>
      </c>
      <c r="P1028" s="375" t="s">
        <v>619</v>
      </c>
      <c r="Q1028" s="372" t="s">
        <v>619</v>
      </c>
      <c r="R1028" s="696">
        <v>20131008</v>
      </c>
      <c r="S1028" s="372" t="s">
        <v>7160</v>
      </c>
      <c r="T1028" s="697" t="s">
        <v>768</v>
      </c>
      <c r="U1028" s="372" t="s">
        <v>7161</v>
      </c>
      <c r="V1028" s="722">
        <v>10.38</v>
      </c>
      <c r="W1028" s="722">
        <v>0.97</v>
      </c>
      <c r="X1028" s="722">
        <v>0.45</v>
      </c>
      <c r="Y1028" s="722" t="s">
        <v>770</v>
      </c>
      <c r="Z1028" s="382" t="s">
        <v>924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7162</v>
      </c>
      <c r="B1029" s="373" t="s">
        <v>7163</v>
      </c>
      <c r="C1029" s="372" t="s">
        <v>7164</v>
      </c>
      <c r="D1029" s="374">
        <v>1341110000567</v>
      </c>
      <c r="E1029" s="372" t="s">
        <v>7165</v>
      </c>
      <c r="F1029" s="375" t="s">
        <v>1817</v>
      </c>
      <c r="G1029" s="375" t="s">
        <v>1818</v>
      </c>
      <c r="H1029" s="375" t="s">
        <v>750</v>
      </c>
      <c r="I1029" s="375" t="s">
        <v>751</v>
      </c>
      <c r="J1029" s="375">
        <v>1587389.1134599999</v>
      </c>
      <c r="K1029" s="375">
        <v>41631.272980000002</v>
      </c>
      <c r="L1029" s="375">
        <v>27478.896939999999</v>
      </c>
      <c r="M1029" s="375">
        <v>364319.44816999999</v>
      </c>
      <c r="N1029" s="372">
        <v>1.008</v>
      </c>
      <c r="O1029" s="704">
        <v>65.80313118587317</v>
      </c>
      <c r="P1029" s="375" t="s">
        <v>619</v>
      </c>
      <c r="Q1029" s="372" t="s">
        <v>619</v>
      </c>
      <c r="R1029" s="696">
        <v>19870608</v>
      </c>
      <c r="S1029" s="372" t="s">
        <v>7166</v>
      </c>
      <c r="T1029" s="697">
        <v>0.23100000000000001</v>
      </c>
      <c r="U1029" s="372" t="s">
        <v>7167</v>
      </c>
      <c r="V1029" s="722">
        <v>6.88</v>
      </c>
      <c r="W1029" s="722">
        <v>0.76</v>
      </c>
      <c r="X1029" s="722">
        <v>0.17</v>
      </c>
      <c r="Y1029" s="722">
        <v>13.61</v>
      </c>
      <c r="Z1029" s="382" t="s">
        <v>924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7168</v>
      </c>
      <c r="B1030" s="373" t="s">
        <v>7169</v>
      </c>
      <c r="C1030" s="372" t="s">
        <v>7170</v>
      </c>
      <c r="D1030" s="374">
        <v>1101110339956</v>
      </c>
      <c r="E1030" s="372" t="s">
        <v>7171</v>
      </c>
      <c r="F1030" s="375" t="s">
        <v>1259</v>
      </c>
      <c r="G1030" s="375" t="s">
        <v>1260</v>
      </c>
      <c r="H1030" s="375" t="s">
        <v>1261</v>
      </c>
      <c r="I1030" s="375" t="s">
        <v>751</v>
      </c>
      <c r="J1030" s="375">
        <v>317809.43965999997</v>
      </c>
      <c r="K1030" s="375">
        <v>40173.680699999997</v>
      </c>
      <c r="L1030" s="375">
        <v>31882.488369999999</v>
      </c>
      <c r="M1030" s="375">
        <v>1201292.0138999999</v>
      </c>
      <c r="N1030" s="372">
        <v>0.59199999999999997</v>
      </c>
      <c r="O1030" s="704">
        <v>1913.2132001314965</v>
      </c>
      <c r="P1030" s="375" t="s">
        <v>619</v>
      </c>
      <c r="Q1030" s="375" t="s">
        <v>619</v>
      </c>
      <c r="R1030" s="696">
        <v>19880627</v>
      </c>
      <c r="S1030" s="372" t="s">
        <v>7172</v>
      </c>
      <c r="T1030" s="697">
        <v>0.23100000000000001</v>
      </c>
      <c r="U1030" s="372" t="s">
        <v>7173</v>
      </c>
      <c r="V1030" s="722">
        <v>0</v>
      </c>
      <c r="W1030" s="722">
        <v>0.23</v>
      </c>
      <c r="X1030" s="722">
        <v>0.19</v>
      </c>
      <c r="Y1030" s="722">
        <v>8.8699999999999992</v>
      </c>
      <c r="Z1030" s="382" t="s">
        <v>924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7174</v>
      </c>
      <c r="B1031" s="373" t="s">
        <v>7175</v>
      </c>
      <c r="C1031" s="372" t="s">
        <v>7176</v>
      </c>
      <c r="D1031" s="374">
        <v>1101110113384</v>
      </c>
      <c r="E1031" s="372" t="s">
        <v>7177</v>
      </c>
      <c r="F1031" s="375" t="s">
        <v>2167</v>
      </c>
      <c r="G1031" s="375" t="s">
        <v>2168</v>
      </c>
      <c r="H1031" s="375" t="s">
        <v>1465</v>
      </c>
      <c r="I1031" s="375" t="s">
        <v>751</v>
      </c>
      <c r="J1031" s="375">
        <v>645686.14002000005</v>
      </c>
      <c r="K1031" s="375">
        <v>37090.94758</v>
      </c>
      <c r="L1031" s="375">
        <v>35961.226179999998</v>
      </c>
      <c r="M1031" s="375">
        <v>353603.09521</v>
      </c>
      <c r="N1031" s="372">
        <v>0.76900000000000002</v>
      </c>
      <c r="O1031" s="704">
        <v>187.50280258209099</v>
      </c>
      <c r="P1031" s="375" t="s">
        <v>619</v>
      </c>
      <c r="Q1031" s="375" t="s">
        <v>619</v>
      </c>
      <c r="R1031" s="696">
        <v>19720104</v>
      </c>
      <c r="S1031" s="375" t="s">
        <v>7178</v>
      </c>
      <c r="T1031" s="697">
        <v>0.23100000000000001</v>
      </c>
      <c r="U1031" s="372" t="s">
        <v>7179</v>
      </c>
      <c r="V1031" s="722">
        <v>4.32</v>
      </c>
      <c r="W1031" s="722">
        <v>0.46</v>
      </c>
      <c r="X1031" s="722">
        <v>0.22</v>
      </c>
      <c r="Y1031" s="722">
        <v>5.93</v>
      </c>
      <c r="Z1031" s="382">
        <v>4.7139351878167535E-2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6488.5</v>
      </c>
      <c r="AF1031" s="372">
        <v>7000</v>
      </c>
      <c r="AG1031" s="372">
        <v>7463</v>
      </c>
      <c r="AH1031" s="372">
        <v>0</v>
      </c>
    </row>
    <row r="1032" spans="1:34">
      <c r="A1032" s="372" t="s">
        <v>7180</v>
      </c>
      <c r="B1032" s="373" t="s">
        <v>7181</v>
      </c>
      <c r="C1032" s="372" t="s">
        <v>7182</v>
      </c>
      <c r="D1032" s="374">
        <v>0</v>
      </c>
      <c r="E1032" s="372" t="s">
        <v>7183</v>
      </c>
      <c r="F1032" s="375" t="s">
        <v>7184</v>
      </c>
      <c r="G1032" s="375" t="s">
        <v>7184</v>
      </c>
      <c r="H1032" s="375">
        <v>0</v>
      </c>
      <c r="I1032" s="375" t="s">
        <v>859</v>
      </c>
      <c r="J1032" s="375">
        <v>1090.7650000000001</v>
      </c>
      <c r="K1032" s="375">
        <v>-45403.019</v>
      </c>
      <c r="L1032" s="375">
        <v>-44001.976999999999</v>
      </c>
      <c r="M1032" s="375">
        <v>45586.103000000003</v>
      </c>
      <c r="N1032" s="372">
        <v>1.119</v>
      </c>
      <c r="O1032" s="704">
        <v>2.938924431022635</v>
      </c>
      <c r="P1032" s="375" t="s">
        <v>619</v>
      </c>
      <c r="Q1032" s="372" t="s">
        <v>619</v>
      </c>
      <c r="R1032" s="696">
        <v>20210316</v>
      </c>
      <c r="S1032" s="372" t="s">
        <v>7185</v>
      </c>
      <c r="T1032" s="697" t="s">
        <v>768</v>
      </c>
      <c r="U1032" s="375" t="s">
        <v>7186</v>
      </c>
      <c r="V1032" s="722" t="s">
        <v>770</v>
      </c>
      <c r="W1032" s="722">
        <v>3.04</v>
      </c>
      <c r="X1032" s="722">
        <v>127.17</v>
      </c>
      <c r="Y1032" s="722" t="s">
        <v>770</v>
      </c>
      <c r="Z1032" s="382" t="s">
        <v>770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7187</v>
      </c>
      <c r="B1033" s="373" t="s">
        <v>7188</v>
      </c>
      <c r="C1033" s="372" t="s">
        <v>7189</v>
      </c>
      <c r="D1033" s="374">
        <v>1942110310912</v>
      </c>
      <c r="E1033" s="372" t="s">
        <v>7190</v>
      </c>
      <c r="F1033" s="375" t="s">
        <v>2072</v>
      </c>
      <c r="G1033" s="375" t="s">
        <v>2073</v>
      </c>
      <c r="H1033" s="375" t="s">
        <v>858</v>
      </c>
      <c r="I1033" s="375" t="s">
        <v>859</v>
      </c>
      <c r="J1033" s="375">
        <v>34364.294650000003</v>
      </c>
      <c r="K1033" s="375">
        <v>306.64192000000003</v>
      </c>
      <c r="L1033" s="375">
        <v>-591.60180000000003</v>
      </c>
      <c r="M1033" s="375">
        <v>106885.27983</v>
      </c>
      <c r="N1033" s="372">
        <v>0.65600000000000003</v>
      </c>
      <c r="O1033" s="704">
        <v>79.359705998765833</v>
      </c>
      <c r="P1033" s="375" t="s">
        <v>619</v>
      </c>
      <c r="Q1033" s="372" t="s">
        <v>619</v>
      </c>
      <c r="R1033" s="696">
        <v>20220617</v>
      </c>
      <c r="S1033" s="372" t="s">
        <v>7191</v>
      </c>
      <c r="T1033" s="697" t="s">
        <v>768</v>
      </c>
      <c r="U1033" s="372" t="s">
        <v>7192</v>
      </c>
      <c r="V1033" s="722">
        <v>89.72</v>
      </c>
      <c r="W1033" s="722">
        <v>1.25</v>
      </c>
      <c r="X1033" s="722">
        <v>4.03</v>
      </c>
      <c r="Y1033" s="722" t="s">
        <v>770</v>
      </c>
      <c r="Z1033" s="382">
        <v>0.10744564522933042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430.5</v>
      </c>
      <c r="AF1033" s="372">
        <v>371</v>
      </c>
      <c r="AG1033" s="372">
        <v>459</v>
      </c>
      <c r="AH1033" s="372">
        <v>936</v>
      </c>
    </row>
    <row r="1034" spans="1:34">
      <c r="A1034" s="372" t="s">
        <v>7193</v>
      </c>
      <c r="B1034" s="373" t="s">
        <v>7194</v>
      </c>
      <c r="C1034" s="372" t="s">
        <v>7195</v>
      </c>
      <c r="D1034" s="374">
        <v>1101116652790</v>
      </c>
      <c r="E1034" s="372" t="s">
        <v>7196</v>
      </c>
      <c r="F1034" s="375" t="s">
        <v>5896</v>
      </c>
      <c r="G1034" s="375" t="s">
        <v>5896</v>
      </c>
      <c r="H1034" s="375" t="s">
        <v>1334</v>
      </c>
      <c r="I1034" s="375" t="s">
        <v>859</v>
      </c>
      <c r="J1034" s="375">
        <v>27676.304960000001</v>
      </c>
      <c r="K1034" s="375">
        <v>-6237.7528899999998</v>
      </c>
      <c r="L1034" s="375">
        <v>-1419.2550900000001</v>
      </c>
      <c r="M1034" s="375">
        <v>33754.880129999998</v>
      </c>
      <c r="N1034" s="372">
        <v>0.83699999999999997</v>
      </c>
      <c r="O1034" s="704">
        <v>15.204804763081606</v>
      </c>
      <c r="P1034" s="375" t="s">
        <v>619</v>
      </c>
      <c r="Q1034" s="375" t="s">
        <v>619</v>
      </c>
      <c r="R1034" s="696">
        <v>20180913</v>
      </c>
      <c r="S1034" s="375" t="s">
        <v>7197</v>
      </c>
      <c r="T1034" s="697" t="s">
        <v>768</v>
      </c>
      <c r="U1034" s="372" t="s">
        <v>7198</v>
      </c>
      <c r="V1034" s="722" t="s">
        <v>770</v>
      </c>
      <c r="W1034" s="722">
        <v>3.77</v>
      </c>
      <c r="X1034" s="722">
        <v>4.2300000000000004</v>
      </c>
      <c r="Y1034" s="722" t="s">
        <v>770</v>
      </c>
      <c r="Z1034" s="382" t="s">
        <v>924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7199</v>
      </c>
      <c r="B1035" s="373" t="s">
        <v>7200</v>
      </c>
      <c r="C1035" s="372" t="s">
        <v>7201</v>
      </c>
      <c r="D1035" s="374">
        <v>1201110018300</v>
      </c>
      <c r="E1035" s="372" t="s">
        <v>7202</v>
      </c>
      <c r="F1035" s="375" t="s">
        <v>5622</v>
      </c>
      <c r="G1035" s="375" t="s">
        <v>5622</v>
      </c>
      <c r="H1035" s="375" t="s">
        <v>750</v>
      </c>
      <c r="I1035" s="375" t="s">
        <v>751</v>
      </c>
      <c r="J1035" s="375">
        <v>278410.15899999999</v>
      </c>
      <c r="K1035" s="375">
        <v>9784.0290000000005</v>
      </c>
      <c r="L1035" s="375">
        <v>10564.833000000001</v>
      </c>
      <c r="M1035" s="375">
        <v>116829.40300000001</v>
      </c>
      <c r="N1035" s="372">
        <v>1.022</v>
      </c>
      <c r="O1035" s="704">
        <v>40.151510384389653</v>
      </c>
      <c r="P1035" s="375" t="s">
        <v>619</v>
      </c>
      <c r="Q1035" s="375" t="s">
        <v>619</v>
      </c>
      <c r="R1035" s="696">
        <v>19840811</v>
      </c>
      <c r="S1035" s="375" t="s">
        <v>7203</v>
      </c>
      <c r="T1035" s="697">
        <v>0.20900000000000002</v>
      </c>
      <c r="U1035" s="372" t="s">
        <v>7204</v>
      </c>
      <c r="V1035" s="722">
        <v>7.27</v>
      </c>
      <c r="W1035" s="722">
        <v>0.85</v>
      </c>
      <c r="X1035" s="722">
        <v>0.36</v>
      </c>
      <c r="Y1035" s="722">
        <v>10.83</v>
      </c>
      <c r="Z1035" s="382" t="s">
        <v>924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7205</v>
      </c>
      <c r="B1036" s="373" t="s">
        <v>7206</v>
      </c>
      <c r="C1036" s="372" t="s">
        <v>7207</v>
      </c>
      <c r="D1036" s="374">
        <v>1243110011322</v>
      </c>
      <c r="E1036" s="372" t="s">
        <v>7208</v>
      </c>
      <c r="F1036" s="375" t="s">
        <v>7209</v>
      </c>
      <c r="G1036" s="375" t="s">
        <v>7209</v>
      </c>
      <c r="H1036" s="375" t="s">
        <v>858</v>
      </c>
      <c r="I1036" s="375" t="s">
        <v>859</v>
      </c>
      <c r="J1036" s="375">
        <v>553724.51468000002</v>
      </c>
      <c r="K1036" s="375">
        <v>46332.394240000001</v>
      </c>
      <c r="L1036" s="375">
        <v>54904.841119999997</v>
      </c>
      <c r="M1036" s="375">
        <v>634300.33056000003</v>
      </c>
      <c r="N1036" s="372">
        <v>0.64800000000000002</v>
      </c>
      <c r="O1036" s="704">
        <v>62.469022972091146</v>
      </c>
      <c r="P1036" s="375" t="s">
        <v>619</v>
      </c>
      <c r="Q1036" s="375" t="s">
        <v>619</v>
      </c>
      <c r="R1036" s="696">
        <v>19941019</v>
      </c>
      <c r="S1036" s="375" t="s">
        <v>7210</v>
      </c>
      <c r="T1036" s="697">
        <v>0.23100000000000001</v>
      </c>
      <c r="U1036" s="372" t="s">
        <v>7211</v>
      </c>
      <c r="V1036" s="722">
        <v>3.05</v>
      </c>
      <c r="W1036" s="722">
        <v>0.26</v>
      </c>
      <c r="X1036" s="722">
        <v>0.27</v>
      </c>
      <c r="Y1036" s="722">
        <v>3.75</v>
      </c>
      <c r="Z1036" s="382" t="s">
        <v>924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7212</v>
      </c>
      <c r="B1037" s="373" t="s">
        <v>7213</v>
      </c>
      <c r="C1037" s="372" t="s">
        <v>7214</v>
      </c>
      <c r="D1037" s="374">
        <v>1101110924765</v>
      </c>
      <c r="E1037" s="372" t="s">
        <v>7215</v>
      </c>
      <c r="F1037" s="372" t="s">
        <v>6607</v>
      </c>
      <c r="G1037" s="375" t="s">
        <v>6607</v>
      </c>
      <c r="H1037" s="375" t="s">
        <v>858</v>
      </c>
      <c r="I1037" s="375" t="s">
        <v>859</v>
      </c>
      <c r="J1037" s="375">
        <v>271260.78833000001</v>
      </c>
      <c r="K1037" s="375">
        <v>-5644.5665300000001</v>
      </c>
      <c r="L1037" s="375">
        <v>-2568.66525</v>
      </c>
      <c r="M1037" s="375">
        <v>309004.09178999998</v>
      </c>
      <c r="N1037" s="372">
        <v>0.47</v>
      </c>
      <c r="O1037" s="704">
        <v>102.12987753236911</v>
      </c>
      <c r="P1037" s="375" t="s">
        <v>619</v>
      </c>
      <c r="Q1037" s="372" t="s">
        <v>619</v>
      </c>
      <c r="R1037" s="696">
        <v>20000620</v>
      </c>
      <c r="S1037" s="372" t="s">
        <v>7216</v>
      </c>
      <c r="T1037" s="697" t="s">
        <v>768</v>
      </c>
      <c r="U1037" s="372" t="s">
        <v>7217</v>
      </c>
      <c r="V1037" s="722">
        <v>69.38</v>
      </c>
      <c r="W1037" s="722">
        <v>0.43</v>
      </c>
      <c r="X1037" s="722">
        <v>0.46</v>
      </c>
      <c r="Y1037" s="722" t="s">
        <v>770</v>
      </c>
      <c r="Z1037" s="382" t="s">
        <v>924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7218</v>
      </c>
      <c r="B1038" s="373" t="s">
        <v>7219</v>
      </c>
      <c r="C1038" s="372" t="s">
        <v>7220</v>
      </c>
      <c r="D1038" s="374">
        <v>1101110014433</v>
      </c>
      <c r="E1038" s="372" t="s">
        <v>7221</v>
      </c>
      <c r="F1038" s="375" t="s">
        <v>1679</v>
      </c>
      <c r="G1038" s="375" t="s">
        <v>1680</v>
      </c>
      <c r="H1038" s="375" t="s">
        <v>823</v>
      </c>
      <c r="I1038" s="375" t="s">
        <v>751</v>
      </c>
      <c r="J1038" s="375">
        <v>635055.66460999998</v>
      </c>
      <c r="K1038" s="375">
        <v>21741.614659999999</v>
      </c>
      <c r="L1038" s="375">
        <v>16133.749470000001</v>
      </c>
      <c r="M1038" s="375">
        <v>315162.71746000001</v>
      </c>
      <c r="N1038" s="372">
        <v>1.0469999999999999</v>
      </c>
      <c r="O1038" s="704">
        <v>84.639438831567929</v>
      </c>
      <c r="P1038" s="375" t="s">
        <v>619</v>
      </c>
      <c r="Q1038" s="375" t="s">
        <v>619</v>
      </c>
      <c r="R1038" s="696">
        <v>19930910</v>
      </c>
      <c r="S1038" s="375" t="s">
        <v>7222</v>
      </c>
      <c r="T1038" s="697">
        <v>0.20900000000000002</v>
      </c>
      <c r="U1038" s="372" t="s">
        <v>7223</v>
      </c>
      <c r="V1038" s="722">
        <v>7.57</v>
      </c>
      <c r="W1038" s="722">
        <v>0.55000000000000004</v>
      </c>
      <c r="X1038" s="722">
        <v>0.3</v>
      </c>
      <c r="Y1038" s="722">
        <v>13.63</v>
      </c>
      <c r="Z1038" s="382" t="s">
        <v>924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7224</v>
      </c>
      <c r="B1039" s="373" t="s">
        <v>7225</v>
      </c>
      <c r="C1039" s="372" t="s">
        <v>7226</v>
      </c>
      <c r="D1039" s="374">
        <v>1101110018592</v>
      </c>
      <c r="E1039" s="372" t="s">
        <v>7227</v>
      </c>
      <c r="F1039" s="372" t="s">
        <v>1059</v>
      </c>
      <c r="G1039" s="375" t="s">
        <v>1059</v>
      </c>
      <c r="H1039" s="375" t="s">
        <v>988</v>
      </c>
      <c r="I1039" s="375" t="s">
        <v>751</v>
      </c>
      <c r="J1039" s="375">
        <v>107470.40294</v>
      </c>
      <c r="K1039" s="375">
        <v>-6700.9728100000002</v>
      </c>
      <c r="L1039" s="375">
        <v>-22540.1463</v>
      </c>
      <c r="M1039" s="375">
        <v>50453.891029999999</v>
      </c>
      <c r="N1039" s="372">
        <v>0.58599999999999997</v>
      </c>
      <c r="O1039" s="704">
        <v>10.909409465837337</v>
      </c>
      <c r="P1039" s="375" t="s">
        <v>619</v>
      </c>
      <c r="Q1039" s="375" t="s">
        <v>619</v>
      </c>
      <c r="R1039" s="696">
        <v>19850117</v>
      </c>
      <c r="S1039" s="375" t="s">
        <v>7228</v>
      </c>
      <c r="T1039" s="697" t="s">
        <v>768</v>
      </c>
      <c r="U1039" s="375" t="s">
        <v>7229</v>
      </c>
      <c r="V1039" s="722" t="s">
        <v>770</v>
      </c>
      <c r="W1039" s="722">
        <v>2.76</v>
      </c>
      <c r="X1039" s="722">
        <v>1.33</v>
      </c>
      <c r="Y1039" s="722" t="s">
        <v>770</v>
      </c>
      <c r="Z1039" s="382" t="s">
        <v>924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7230</v>
      </c>
      <c r="B1040" s="373" t="s">
        <v>7231</v>
      </c>
      <c r="C1040" s="372" t="s">
        <v>7232</v>
      </c>
      <c r="D1040" s="374">
        <v>1101110746474</v>
      </c>
      <c r="E1040" s="372" t="s">
        <v>7233</v>
      </c>
      <c r="F1040" s="372" t="s">
        <v>3118</v>
      </c>
      <c r="G1040" s="375" t="s">
        <v>3118</v>
      </c>
      <c r="H1040" s="375" t="s">
        <v>858</v>
      </c>
      <c r="I1040" s="375" t="s">
        <v>859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0.625</v>
      </c>
      <c r="O1040" s="704" t="s">
        <v>16298</v>
      </c>
      <c r="P1040" s="375" t="s">
        <v>619</v>
      </c>
      <c r="Q1040" s="375" t="s">
        <v>619</v>
      </c>
      <c r="R1040" s="696">
        <v>20020419</v>
      </c>
      <c r="S1040" s="375" t="s">
        <v>7234</v>
      </c>
      <c r="T1040" s="697" t="s">
        <v>768</v>
      </c>
      <c r="U1040" s="372" t="s">
        <v>7235</v>
      </c>
      <c r="V1040" s="722">
        <v>0</v>
      </c>
      <c r="W1040" s="722">
        <v>0</v>
      </c>
      <c r="X1040" s="722">
        <v>0</v>
      </c>
      <c r="Y1040" s="722">
        <v>0</v>
      </c>
      <c r="Z1040" s="382" t="s">
        <v>924</v>
      </c>
      <c r="AA1040" s="372">
        <v>234.7790838</v>
      </c>
      <c r="AB1040" s="372">
        <v>271.10628409999998</v>
      </c>
      <c r="AC1040" s="372">
        <v>418.57755020000002</v>
      </c>
      <c r="AD1040" s="372">
        <v>435.95351590000001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7236</v>
      </c>
      <c r="B1041" s="373" t="s">
        <v>7237</v>
      </c>
      <c r="C1041" s="372" t="s">
        <v>7238</v>
      </c>
      <c r="D1041" s="374">
        <v>1101114460046</v>
      </c>
      <c r="E1041" s="372" t="s">
        <v>7239</v>
      </c>
      <c r="F1041" s="375" t="s">
        <v>2029</v>
      </c>
      <c r="G1041" s="375" t="s">
        <v>7240</v>
      </c>
      <c r="H1041" s="375" t="s">
        <v>1528</v>
      </c>
      <c r="I1041" s="375" t="s">
        <v>859</v>
      </c>
      <c r="J1041" s="375">
        <v>19863.476320000002</v>
      </c>
      <c r="K1041" s="375">
        <v>-332.19297999999998</v>
      </c>
      <c r="L1041" s="375">
        <v>-93.843770000000006</v>
      </c>
      <c r="M1041" s="375">
        <v>38921.444609999999</v>
      </c>
      <c r="N1041" s="372" t="s">
        <v>1023</v>
      </c>
      <c r="O1041" s="704">
        <v>0.33525356495470809</v>
      </c>
      <c r="P1041" s="375" t="s">
        <v>619</v>
      </c>
      <c r="Q1041" s="372" t="s">
        <v>619</v>
      </c>
      <c r="R1041" s="696">
        <v>20230207</v>
      </c>
      <c r="S1041" s="375" t="s">
        <v>7241</v>
      </c>
      <c r="T1041" s="697" t="s">
        <v>768</v>
      </c>
      <c r="U1041" s="375" t="s">
        <v>7242</v>
      </c>
      <c r="V1041" s="722">
        <v>134.09</v>
      </c>
      <c r="W1041" s="722">
        <v>3.02</v>
      </c>
      <c r="X1041" s="722">
        <v>5.84</v>
      </c>
      <c r="Y1041" s="722">
        <v>318.58999999999997</v>
      </c>
      <c r="Z1041" s="382" t="s">
        <v>924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7243</v>
      </c>
      <c r="B1042" s="373" t="s">
        <v>7244</v>
      </c>
      <c r="C1042" s="372" t="s">
        <v>7245</v>
      </c>
      <c r="D1042" s="374">
        <v>1101110115885</v>
      </c>
      <c r="E1042" s="372" t="s">
        <v>7246</v>
      </c>
      <c r="F1042" s="375" t="s">
        <v>1876</v>
      </c>
      <c r="G1042" s="375" t="s">
        <v>1876</v>
      </c>
      <c r="H1042" s="375" t="s">
        <v>4844</v>
      </c>
      <c r="I1042" s="375" t="s">
        <v>859</v>
      </c>
      <c r="J1042" s="375">
        <v>219002.83105000001</v>
      </c>
      <c r="K1042" s="375">
        <v>5124.6350400000001</v>
      </c>
      <c r="L1042" s="375">
        <v>-1315.47272</v>
      </c>
      <c r="M1042" s="375">
        <v>105192.26786000001</v>
      </c>
      <c r="N1042" s="372">
        <v>0.72599999999999998</v>
      </c>
      <c r="O1042" s="704">
        <v>47.05094893285667</v>
      </c>
      <c r="P1042" s="375" t="s">
        <v>619</v>
      </c>
      <c r="Q1042" s="372" t="s">
        <v>619</v>
      </c>
      <c r="R1042" s="696">
        <v>19970806</v>
      </c>
      <c r="S1042" s="372" t="s">
        <v>7247</v>
      </c>
      <c r="T1042" s="697" t="s">
        <v>768</v>
      </c>
      <c r="U1042" s="372" t="s">
        <v>7248</v>
      </c>
      <c r="V1042" s="722">
        <v>7.39</v>
      </c>
      <c r="W1042" s="722">
        <v>0.99</v>
      </c>
      <c r="X1042" s="722">
        <v>0.47</v>
      </c>
      <c r="Y1042" s="722" t="s">
        <v>770</v>
      </c>
      <c r="Z1042" s="382" t="s">
        <v>924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7249</v>
      </c>
      <c r="B1043" s="373" t="s">
        <v>7250</v>
      </c>
      <c r="C1043" s="372" t="s">
        <v>7251</v>
      </c>
      <c r="D1043" s="374">
        <v>1101114495598</v>
      </c>
      <c r="E1043" s="372" t="s">
        <v>7252</v>
      </c>
      <c r="F1043" s="375" t="s">
        <v>1793</v>
      </c>
      <c r="G1043" s="375" t="s">
        <v>2794</v>
      </c>
      <c r="H1043" s="375" t="s">
        <v>858</v>
      </c>
      <c r="I1043" s="375" t="s">
        <v>859</v>
      </c>
      <c r="J1043" s="375">
        <v>41605.964829999997</v>
      </c>
      <c r="K1043" s="375">
        <v>2907.1398399999998</v>
      </c>
      <c r="L1043" s="375">
        <v>3393.86085</v>
      </c>
      <c r="M1043" s="375">
        <v>39357.123890000003</v>
      </c>
      <c r="N1043" s="372" t="s">
        <v>1023</v>
      </c>
      <c r="O1043" s="704">
        <v>7.5597955634374268</v>
      </c>
      <c r="P1043" s="375" t="s">
        <v>619</v>
      </c>
      <c r="Q1043" s="372" t="s">
        <v>619</v>
      </c>
      <c r="R1043" s="696">
        <v>20230316</v>
      </c>
      <c r="S1043" s="372" t="s">
        <v>7253</v>
      </c>
      <c r="T1043" s="697">
        <v>0.20900000000000002</v>
      </c>
      <c r="U1043" s="372" t="s">
        <v>7254</v>
      </c>
      <c r="V1043" s="722">
        <v>0</v>
      </c>
      <c r="W1043" s="722">
        <v>0</v>
      </c>
      <c r="X1043" s="722">
        <v>0</v>
      </c>
      <c r="Y1043" s="722">
        <v>0</v>
      </c>
      <c r="Z1043" s="382" t="s">
        <v>924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7255</v>
      </c>
      <c r="B1044" s="373" t="s">
        <v>7256</v>
      </c>
      <c r="C1044" s="372" t="s">
        <v>7257</v>
      </c>
      <c r="D1044" s="374">
        <v>1101114474659</v>
      </c>
      <c r="E1044" s="372" t="s">
        <v>7258</v>
      </c>
      <c r="F1044" s="375" t="s">
        <v>5597</v>
      </c>
      <c r="G1044" s="375" t="s">
        <v>5597</v>
      </c>
      <c r="H1044" s="375" t="s">
        <v>1528</v>
      </c>
      <c r="I1044" s="375" t="s">
        <v>859</v>
      </c>
      <c r="J1044" s="375">
        <v>22990.733769999999</v>
      </c>
      <c r="K1044" s="375">
        <v>-9741.1636500000004</v>
      </c>
      <c r="L1044" s="375">
        <v>-9309.58338</v>
      </c>
      <c r="M1044" s="375">
        <v>42434.257189999997</v>
      </c>
      <c r="N1044" s="372" t="s">
        <v>1023</v>
      </c>
      <c r="O1044" s="704">
        <v>4.3292004644916986</v>
      </c>
      <c r="P1044" s="375" t="s">
        <v>619</v>
      </c>
      <c r="Q1044" s="375" t="s">
        <v>619</v>
      </c>
      <c r="R1044" s="696">
        <v>20230720</v>
      </c>
      <c r="S1044" s="375" t="s">
        <v>7259</v>
      </c>
      <c r="T1044" s="697" t="s">
        <v>768</v>
      </c>
      <c r="U1044" s="372" t="s">
        <v>7260</v>
      </c>
      <c r="V1044" s="722" t="s">
        <v>770</v>
      </c>
      <c r="W1044" s="722">
        <v>2.4900000000000002</v>
      </c>
      <c r="X1044" s="722">
        <v>3.93</v>
      </c>
      <c r="Y1044" s="722" t="s">
        <v>770</v>
      </c>
      <c r="Z1044" s="382" t="s">
        <v>924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253</v>
      </c>
      <c r="AF1044" s="372">
        <v>294</v>
      </c>
      <c r="AG1044" s="372">
        <v>0</v>
      </c>
      <c r="AH1044" s="372">
        <v>0</v>
      </c>
    </row>
    <row r="1045" spans="1:34">
      <c r="A1045" s="372" t="s">
        <v>7261</v>
      </c>
      <c r="B1045" s="373" t="s">
        <v>7262</v>
      </c>
      <c r="C1045" s="372" t="s">
        <v>7263</v>
      </c>
      <c r="D1045" s="374">
        <v>1101111343930</v>
      </c>
      <c r="E1045" s="372" t="s">
        <v>7264</v>
      </c>
      <c r="F1045" s="375" t="s">
        <v>1113</v>
      </c>
      <c r="G1045" s="375" t="s">
        <v>1333</v>
      </c>
      <c r="H1045" s="375" t="s">
        <v>1334</v>
      </c>
      <c r="I1045" s="375" t="s">
        <v>859</v>
      </c>
      <c r="J1045" s="375">
        <v>3879.7286100000001</v>
      </c>
      <c r="K1045" s="375">
        <v>-22965.509740000001</v>
      </c>
      <c r="L1045" s="375">
        <v>-50203.984360000002</v>
      </c>
      <c r="M1045" s="375">
        <v>143827.57165</v>
      </c>
      <c r="N1045" s="372">
        <v>1.2290000000000001</v>
      </c>
      <c r="O1045" s="704">
        <v>0.12765285440063798</v>
      </c>
      <c r="P1045" s="375" t="s">
        <v>619</v>
      </c>
      <c r="Q1045" s="375" t="s">
        <v>619</v>
      </c>
      <c r="R1045" s="696">
        <v>20051229</v>
      </c>
      <c r="S1045" s="375" t="s">
        <v>7265</v>
      </c>
      <c r="T1045" s="697" t="s">
        <v>768</v>
      </c>
      <c r="U1045" s="372" t="s">
        <v>15884</v>
      </c>
      <c r="V1045" s="722" t="s">
        <v>770</v>
      </c>
      <c r="W1045" s="722">
        <v>1.08</v>
      </c>
      <c r="X1045" s="722">
        <v>41.56</v>
      </c>
      <c r="Y1045" s="722" t="s">
        <v>770</v>
      </c>
      <c r="Z1045" s="382" t="s">
        <v>924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7266</v>
      </c>
      <c r="B1046" s="373" t="s">
        <v>7267</v>
      </c>
      <c r="C1046" s="372" t="s">
        <v>7268</v>
      </c>
      <c r="D1046" s="374">
        <v>2341110096698</v>
      </c>
      <c r="E1046" s="372" t="s">
        <v>7269</v>
      </c>
      <c r="F1046" s="372" t="s">
        <v>16102</v>
      </c>
      <c r="G1046" s="375" t="s">
        <v>16102</v>
      </c>
      <c r="H1046" s="375" t="s">
        <v>823</v>
      </c>
      <c r="I1046" s="375" t="s">
        <v>4410</v>
      </c>
      <c r="J1046" s="375">
        <v>0</v>
      </c>
      <c r="K1046" s="375">
        <v>0</v>
      </c>
      <c r="L1046" s="375">
        <v>0</v>
      </c>
      <c r="M1046" s="375">
        <v>0</v>
      </c>
      <c r="N1046" s="372">
        <v>0.41199999999999998</v>
      </c>
      <c r="O1046" s="704" t="s">
        <v>16298</v>
      </c>
      <c r="P1046" s="375" t="s">
        <v>619</v>
      </c>
      <c r="Q1046" s="372" t="s">
        <v>619</v>
      </c>
      <c r="R1046" s="696">
        <v>20171129</v>
      </c>
      <c r="S1046" s="372" t="e">
        <v>#N/A</v>
      </c>
      <c r="T1046" s="697" t="s">
        <v>768</v>
      </c>
      <c r="U1046" s="372" t="s">
        <v>7270</v>
      </c>
      <c r="V1046" s="722">
        <v>0</v>
      </c>
      <c r="W1046" s="722">
        <v>0</v>
      </c>
      <c r="X1046" s="722">
        <v>0</v>
      </c>
      <c r="Y1046" s="722">
        <v>0</v>
      </c>
      <c r="Z1046" s="382" t="s">
        <v>924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7271</v>
      </c>
      <c r="B1047" s="373" t="s">
        <v>7272</v>
      </c>
      <c r="C1047" s="372" t="s">
        <v>7273</v>
      </c>
      <c r="D1047" s="374">
        <v>1101110301111</v>
      </c>
      <c r="E1047" s="372" t="s">
        <v>7274</v>
      </c>
      <c r="F1047" s="372" t="s">
        <v>1463</v>
      </c>
      <c r="G1047" s="375" t="s">
        <v>7275</v>
      </c>
      <c r="H1047" s="375" t="s">
        <v>1465</v>
      </c>
      <c r="I1047" s="375" t="s">
        <v>751</v>
      </c>
      <c r="J1047" s="375">
        <v>307839.08851999999</v>
      </c>
      <c r="K1047" s="375">
        <v>41852.131399999998</v>
      </c>
      <c r="L1047" s="375">
        <v>42402.53299</v>
      </c>
      <c r="M1047" s="375">
        <v>307323.95993000001</v>
      </c>
      <c r="N1047" s="372">
        <v>0.72499999999999998</v>
      </c>
      <c r="O1047" s="704">
        <v>14.295489985699989</v>
      </c>
      <c r="P1047" s="375" t="s">
        <v>619</v>
      </c>
      <c r="Q1047" s="375" t="s">
        <v>619</v>
      </c>
      <c r="R1047" s="696">
        <v>19910307</v>
      </c>
      <c r="S1047" s="375" t="s">
        <v>7276</v>
      </c>
      <c r="T1047" s="697">
        <v>0.23100000000000001</v>
      </c>
      <c r="U1047" s="372" t="s">
        <v>7277</v>
      </c>
      <c r="V1047" s="722">
        <v>4.33</v>
      </c>
      <c r="W1047" s="722">
        <v>0.57999999999999996</v>
      </c>
      <c r="X1047" s="722">
        <v>0.4</v>
      </c>
      <c r="Y1047" s="722">
        <v>4.8</v>
      </c>
      <c r="Z1047" s="382" t="s">
        <v>924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7278</v>
      </c>
      <c r="B1048" s="373" t="s">
        <v>7279</v>
      </c>
      <c r="C1048" s="372" t="s">
        <v>7280</v>
      </c>
      <c r="D1048" s="374">
        <v>1101115576438</v>
      </c>
      <c r="E1048" s="372" t="s">
        <v>7281</v>
      </c>
      <c r="F1048" s="375" t="s">
        <v>1693</v>
      </c>
      <c r="G1048" s="375" t="s">
        <v>1693</v>
      </c>
      <c r="H1048" s="375" t="s">
        <v>1334</v>
      </c>
      <c r="I1048" s="375" t="s">
        <v>859</v>
      </c>
      <c r="J1048" s="375">
        <v>56019.819150000003</v>
      </c>
      <c r="K1048" s="375">
        <v>4397.8960900000002</v>
      </c>
      <c r="L1048" s="375">
        <v>5431.0483400000003</v>
      </c>
      <c r="M1048" s="375">
        <v>60108.835209999997</v>
      </c>
      <c r="N1048" s="372" t="s">
        <v>1023</v>
      </c>
      <c r="O1048" s="704">
        <v>1.5431919755743724</v>
      </c>
      <c r="P1048" s="375" t="s">
        <v>619</v>
      </c>
      <c r="Q1048" s="372" t="s">
        <v>619</v>
      </c>
      <c r="R1048" s="696">
        <v>20231006</v>
      </c>
      <c r="S1048" s="372" t="s">
        <v>7282</v>
      </c>
      <c r="T1048" s="697">
        <v>0.20900000000000002</v>
      </c>
      <c r="U1048" s="372" t="s">
        <v>7283</v>
      </c>
      <c r="V1048" s="722">
        <v>16.36</v>
      </c>
      <c r="W1048" s="722">
        <v>1.62</v>
      </c>
      <c r="X1048" s="722">
        <v>1.82</v>
      </c>
      <c r="Y1048" s="722">
        <v>17.22</v>
      </c>
      <c r="Z1048" s="382">
        <v>8.6529103808455021E-2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490</v>
      </c>
      <c r="AF1048" s="372">
        <v>623</v>
      </c>
      <c r="AG1048" s="372">
        <v>719</v>
      </c>
      <c r="AH1048" s="372">
        <v>0</v>
      </c>
    </row>
    <row r="1049" spans="1:34">
      <c r="A1049" s="372" t="s">
        <v>7284</v>
      </c>
      <c r="B1049" s="373" t="s">
        <v>7285</v>
      </c>
      <c r="C1049" s="372" t="s">
        <v>7286</v>
      </c>
      <c r="D1049" s="374">
        <v>1101111315286</v>
      </c>
      <c r="E1049" s="372" t="s">
        <v>7287</v>
      </c>
      <c r="F1049" s="375" t="s">
        <v>890</v>
      </c>
      <c r="G1049" s="375" t="s">
        <v>891</v>
      </c>
      <c r="H1049" s="375" t="s">
        <v>892</v>
      </c>
      <c r="I1049" s="375" t="s">
        <v>859</v>
      </c>
      <c r="J1049" s="375">
        <v>40358.694799999997</v>
      </c>
      <c r="K1049" s="375">
        <v>-19938.861669999998</v>
      </c>
      <c r="L1049" s="375">
        <v>66704.118600000002</v>
      </c>
      <c r="M1049" s="375">
        <v>282318.4816</v>
      </c>
      <c r="N1049" s="372">
        <v>0.40799999999999997</v>
      </c>
      <c r="O1049" s="704">
        <v>105.56324254329654</v>
      </c>
      <c r="P1049" s="375" t="s">
        <v>619</v>
      </c>
      <c r="Q1049" s="372" t="s">
        <v>619</v>
      </c>
      <c r="R1049" s="696">
        <v>20011130</v>
      </c>
      <c r="S1049" s="375" t="s">
        <v>7288</v>
      </c>
      <c r="T1049" s="697">
        <v>0.23100000000000001</v>
      </c>
      <c r="U1049" s="375" t="s">
        <v>15885</v>
      </c>
      <c r="V1049" s="722" t="s">
        <v>770</v>
      </c>
      <c r="W1049" s="722">
        <v>0.38</v>
      </c>
      <c r="X1049" s="722">
        <v>2.73</v>
      </c>
      <c r="Y1049" s="722">
        <v>1.94</v>
      </c>
      <c r="Z1049" s="382" t="s">
        <v>924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7289</v>
      </c>
      <c r="B1050" s="373" t="s">
        <v>7290</v>
      </c>
      <c r="C1050" s="372" t="s">
        <v>7291</v>
      </c>
      <c r="D1050" s="374">
        <v>1311110000718</v>
      </c>
      <c r="E1050" s="372" t="s">
        <v>7292</v>
      </c>
      <c r="F1050" s="372" t="s">
        <v>1273</v>
      </c>
      <c r="G1050" s="375" t="s">
        <v>7293</v>
      </c>
      <c r="H1050" s="375" t="s">
        <v>858</v>
      </c>
      <c r="I1050" s="375" t="s">
        <v>859</v>
      </c>
      <c r="J1050" s="375">
        <v>119012.47263</v>
      </c>
      <c r="K1050" s="375">
        <v>-5951.3506500000003</v>
      </c>
      <c r="L1050" s="375">
        <v>-2159.77124</v>
      </c>
      <c r="M1050" s="375">
        <v>111904.59009</v>
      </c>
      <c r="N1050" s="372">
        <v>1.2969999999999999</v>
      </c>
      <c r="O1050" s="704">
        <v>18.663419456790738</v>
      </c>
      <c r="P1050" s="375" t="s">
        <v>619</v>
      </c>
      <c r="Q1050" s="372" t="s">
        <v>619</v>
      </c>
      <c r="R1050" s="696">
        <v>20020628</v>
      </c>
      <c r="S1050" s="375" t="s">
        <v>7294</v>
      </c>
      <c r="T1050" s="697" t="s">
        <v>768</v>
      </c>
      <c r="U1050" s="375" t="s">
        <v>7295</v>
      </c>
      <c r="V1050" s="722">
        <v>64.88</v>
      </c>
      <c r="W1050" s="722">
        <v>0.69</v>
      </c>
      <c r="X1050" s="722">
        <v>0.65</v>
      </c>
      <c r="Y1050" s="722" t="s">
        <v>770</v>
      </c>
      <c r="Z1050" s="382" t="s">
        <v>924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7296</v>
      </c>
      <c r="B1051" s="373" t="s">
        <v>7297</v>
      </c>
      <c r="C1051" s="372" t="s">
        <v>7298</v>
      </c>
      <c r="D1051" s="374">
        <v>1301110058560</v>
      </c>
      <c r="E1051" s="372" t="s">
        <v>7299</v>
      </c>
      <c r="F1051" s="372" t="s">
        <v>1182</v>
      </c>
      <c r="G1051" s="375" t="s">
        <v>1183</v>
      </c>
      <c r="H1051" s="375" t="s">
        <v>858</v>
      </c>
      <c r="I1051" s="375" t="s">
        <v>859</v>
      </c>
      <c r="J1051" s="375">
        <v>105204.33044000001</v>
      </c>
      <c r="K1051" s="375">
        <v>-30991.391019999999</v>
      </c>
      <c r="L1051" s="375">
        <v>-28855.087729999999</v>
      </c>
      <c r="M1051" s="375">
        <v>120907.18682</v>
      </c>
      <c r="N1051" s="372">
        <v>0.82</v>
      </c>
      <c r="O1051" s="704">
        <v>43.804376743062193</v>
      </c>
      <c r="P1051" s="375" t="s">
        <v>619</v>
      </c>
      <c r="Q1051" s="372" t="s">
        <v>619</v>
      </c>
      <c r="R1051" s="696">
        <v>20110805</v>
      </c>
      <c r="S1051" s="372" t="s">
        <v>7300</v>
      </c>
      <c r="T1051" s="697" t="s">
        <v>768</v>
      </c>
      <c r="U1051" s="372" t="s">
        <v>7301</v>
      </c>
      <c r="V1051" s="722" t="s">
        <v>770</v>
      </c>
      <c r="W1051" s="722">
        <v>0.74</v>
      </c>
      <c r="X1051" s="722">
        <v>1.03</v>
      </c>
      <c r="Y1051" s="722" t="s">
        <v>770</v>
      </c>
      <c r="Z1051" s="382" t="s">
        <v>924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7302</v>
      </c>
      <c r="B1052" s="373" t="s">
        <v>7303</v>
      </c>
      <c r="C1052" s="372" t="s">
        <v>7304</v>
      </c>
      <c r="D1052" s="374">
        <v>1601110362866</v>
      </c>
      <c r="E1052" s="372" t="s">
        <v>7305</v>
      </c>
      <c r="F1052" s="375" t="s">
        <v>1793</v>
      </c>
      <c r="G1052" s="375" t="s">
        <v>1794</v>
      </c>
      <c r="H1052" s="375" t="s">
        <v>858</v>
      </c>
      <c r="I1052" s="375" t="s">
        <v>859</v>
      </c>
      <c r="J1052" s="375">
        <v>8470.9077300000008</v>
      </c>
      <c r="K1052" s="375">
        <v>-6205.76314</v>
      </c>
      <c r="L1052" s="375">
        <v>-5219.5877799999998</v>
      </c>
      <c r="M1052" s="375">
        <v>18492.220689999998</v>
      </c>
      <c r="N1052" s="372">
        <v>1.1399999999999999</v>
      </c>
      <c r="O1052" s="704">
        <v>37.929552316576832</v>
      </c>
      <c r="P1052" s="375" t="s">
        <v>619</v>
      </c>
      <c r="Q1052" s="372" t="s">
        <v>619</v>
      </c>
      <c r="R1052" s="696">
        <v>20211123</v>
      </c>
      <c r="S1052" s="372" t="s">
        <v>7306</v>
      </c>
      <c r="T1052" s="697" t="s">
        <v>768</v>
      </c>
      <c r="U1052" s="372" t="s">
        <v>7307</v>
      </c>
      <c r="V1052" s="722" t="s">
        <v>770</v>
      </c>
      <c r="W1052" s="722">
        <v>3.88</v>
      </c>
      <c r="X1052" s="722">
        <v>8.41</v>
      </c>
      <c r="Y1052" s="722" t="s">
        <v>770</v>
      </c>
      <c r="Z1052" s="382">
        <v>3.4298394359941087E-2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88</v>
      </c>
      <c r="AF1052" s="372">
        <v>102</v>
      </c>
      <c r="AG1052" s="372">
        <v>117</v>
      </c>
      <c r="AH1052" s="372">
        <v>0</v>
      </c>
    </row>
    <row r="1053" spans="1:34">
      <c r="A1053" s="372" t="s">
        <v>7308</v>
      </c>
      <c r="B1053" s="373" t="s">
        <v>7309</v>
      </c>
      <c r="C1053" s="372" t="s">
        <v>7310</v>
      </c>
      <c r="D1053" s="374">
        <v>1101115530111</v>
      </c>
      <c r="E1053" s="372" t="s">
        <v>7311</v>
      </c>
      <c r="F1053" s="375" t="s">
        <v>1747</v>
      </c>
      <c r="G1053" s="375" t="s">
        <v>1747</v>
      </c>
      <c r="H1053" s="375" t="s">
        <v>858</v>
      </c>
      <c r="I1053" s="375" t="s">
        <v>859</v>
      </c>
      <c r="J1053" s="375">
        <v>29272.13509</v>
      </c>
      <c r="K1053" s="375">
        <v>1992.2783300000001</v>
      </c>
      <c r="L1053" s="375">
        <v>840.80661999999995</v>
      </c>
      <c r="M1053" s="375">
        <v>61499.548170000002</v>
      </c>
      <c r="N1053" s="372">
        <v>0.17699999999999999</v>
      </c>
      <c r="O1053" s="704">
        <v>2.6145933994790376</v>
      </c>
      <c r="P1053" s="375" t="s">
        <v>619</v>
      </c>
      <c r="Q1053" s="372" t="s">
        <v>619</v>
      </c>
      <c r="R1053" s="696">
        <v>20141217</v>
      </c>
      <c r="S1053" s="372" t="s">
        <v>7312</v>
      </c>
      <c r="T1053" s="697">
        <v>0.20900000000000002</v>
      </c>
      <c r="U1053" s="372" t="s">
        <v>7313</v>
      </c>
      <c r="V1053" s="722">
        <v>41.22</v>
      </c>
      <c r="W1053" s="722">
        <v>2.0299999999999998</v>
      </c>
      <c r="X1053" s="722">
        <v>4.2699999999999996</v>
      </c>
      <c r="Y1053" s="722">
        <v>58.09</v>
      </c>
      <c r="Z1053" s="382" t="s">
        <v>924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7314</v>
      </c>
      <c r="B1054" s="373" t="s">
        <v>7315</v>
      </c>
      <c r="C1054" s="372" t="s">
        <v>7316</v>
      </c>
      <c r="D1054" s="374">
        <v>1801110039396</v>
      </c>
      <c r="E1054" s="372" t="s">
        <v>7317</v>
      </c>
      <c r="F1054" s="375" t="s">
        <v>877</v>
      </c>
      <c r="G1054" s="375" t="s">
        <v>877</v>
      </c>
      <c r="H1054" s="375" t="s">
        <v>789</v>
      </c>
      <c r="I1054" s="375" t="s">
        <v>751</v>
      </c>
      <c r="J1054" s="375">
        <v>323031.50987000001</v>
      </c>
      <c r="K1054" s="375">
        <v>29511.689719999998</v>
      </c>
      <c r="L1054" s="375">
        <v>37946.618009999998</v>
      </c>
      <c r="M1054" s="375">
        <v>284070.95179000002</v>
      </c>
      <c r="N1054" s="372">
        <v>0.625</v>
      </c>
      <c r="O1054" s="704">
        <v>5.8136626741698585</v>
      </c>
      <c r="P1054" s="375" t="s">
        <v>619</v>
      </c>
      <c r="Q1054" s="375" t="s">
        <v>619</v>
      </c>
      <c r="R1054" s="696">
        <v>19890725</v>
      </c>
      <c r="S1054" s="375" t="s">
        <v>7318</v>
      </c>
      <c r="T1054" s="697">
        <v>0.23100000000000001</v>
      </c>
      <c r="U1054" s="372" t="s">
        <v>7319</v>
      </c>
      <c r="V1054" s="722">
        <v>4.0999999999999996</v>
      </c>
      <c r="W1054" s="722">
        <v>0.5</v>
      </c>
      <c r="X1054" s="722">
        <v>0.46</v>
      </c>
      <c r="Y1054" s="722">
        <v>5.55</v>
      </c>
      <c r="Z1054" s="382" t="s">
        <v>924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7320</v>
      </c>
      <c r="B1055" s="373" t="s">
        <v>7321</v>
      </c>
      <c r="C1055" s="372" t="s">
        <v>7322</v>
      </c>
      <c r="D1055" s="374">
        <v>1344110035203</v>
      </c>
      <c r="E1055" s="372" t="s">
        <v>7323</v>
      </c>
      <c r="F1055" s="375" t="s">
        <v>3233</v>
      </c>
      <c r="G1055" s="375" t="s">
        <v>3233</v>
      </c>
      <c r="H1055" s="375" t="s">
        <v>858</v>
      </c>
      <c r="I1055" s="375" t="s">
        <v>859</v>
      </c>
      <c r="J1055" s="375">
        <v>81561.979470000006</v>
      </c>
      <c r="K1055" s="375">
        <v>-25674.20405</v>
      </c>
      <c r="L1055" s="375">
        <v>-26851.98603</v>
      </c>
      <c r="M1055" s="375">
        <v>82913.884109999999</v>
      </c>
      <c r="N1055" s="372">
        <v>0.86599999999999999</v>
      </c>
      <c r="O1055" s="704">
        <v>77.605610331716946</v>
      </c>
      <c r="P1055" s="375" t="s">
        <v>619</v>
      </c>
      <c r="Q1055" s="372" t="s">
        <v>619</v>
      </c>
      <c r="R1055" s="696">
        <v>20141226</v>
      </c>
      <c r="S1055" s="375" t="s">
        <v>7324</v>
      </c>
      <c r="T1055" s="697" t="s">
        <v>768</v>
      </c>
      <c r="U1055" s="372" t="s">
        <v>7325</v>
      </c>
      <c r="V1055" s="722">
        <v>0</v>
      </c>
      <c r="W1055" s="722">
        <v>0</v>
      </c>
      <c r="X1055" s="722">
        <v>0</v>
      </c>
      <c r="Y1055" s="722">
        <v>0</v>
      </c>
      <c r="Z1055" s="382" t="s">
        <v>924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7326</v>
      </c>
      <c r="B1056" s="373" t="s">
        <v>7327</v>
      </c>
      <c r="C1056" s="372" t="s">
        <v>7328</v>
      </c>
      <c r="D1056" s="374">
        <v>1243110046030</v>
      </c>
      <c r="E1056" s="372" t="s">
        <v>7329</v>
      </c>
      <c r="F1056" s="375" t="s">
        <v>1182</v>
      </c>
      <c r="G1056" s="375" t="s">
        <v>1183</v>
      </c>
      <c r="H1056" s="375" t="s">
        <v>858</v>
      </c>
      <c r="I1056" s="375" t="s">
        <v>859</v>
      </c>
      <c r="J1056" s="375">
        <v>64038.099970000003</v>
      </c>
      <c r="K1056" s="375">
        <v>-8449.5128399999994</v>
      </c>
      <c r="L1056" s="375">
        <v>-9705.8737099999998</v>
      </c>
      <c r="M1056" s="375">
        <v>160316.56826</v>
      </c>
      <c r="N1056" s="372">
        <v>0.83699999999999997</v>
      </c>
      <c r="O1056" s="704">
        <v>0.90074651682035944</v>
      </c>
      <c r="P1056" s="375" t="s">
        <v>619</v>
      </c>
      <c r="Q1056" s="372" t="s">
        <v>619</v>
      </c>
      <c r="R1056" s="696">
        <v>20070110</v>
      </c>
      <c r="S1056" s="375" t="s">
        <v>7330</v>
      </c>
      <c r="T1056" s="697" t="s">
        <v>768</v>
      </c>
      <c r="U1056" s="372" t="s">
        <v>7331</v>
      </c>
      <c r="V1056" s="722" t="s">
        <v>770</v>
      </c>
      <c r="W1056" s="722">
        <v>0.56000000000000005</v>
      </c>
      <c r="X1056" s="722">
        <v>1.42</v>
      </c>
      <c r="Y1056" s="722" t="s">
        <v>770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1374.7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7332</v>
      </c>
      <c r="B1057" s="373" t="s">
        <v>7333</v>
      </c>
      <c r="C1057" s="372" t="s">
        <v>7334</v>
      </c>
      <c r="D1057" s="374">
        <v>1311110475341</v>
      </c>
      <c r="E1057" s="372" t="s">
        <v>7335</v>
      </c>
      <c r="F1057" s="375" t="s">
        <v>6607</v>
      </c>
      <c r="G1057" s="375" t="s">
        <v>6607</v>
      </c>
      <c r="H1057" s="375" t="s">
        <v>858</v>
      </c>
      <c r="I1057" s="375" t="s">
        <v>859</v>
      </c>
      <c r="J1057" s="375">
        <v>108956.50178999999</v>
      </c>
      <c r="K1057" s="375">
        <v>13755.4105</v>
      </c>
      <c r="L1057" s="375">
        <v>20753.66041</v>
      </c>
      <c r="M1057" s="375">
        <v>167725.43820999999</v>
      </c>
      <c r="N1057" s="372">
        <v>0.45</v>
      </c>
      <c r="O1057" s="704">
        <v>3.1778222322856062</v>
      </c>
      <c r="P1057" s="375" t="s">
        <v>619</v>
      </c>
      <c r="Q1057" s="372" t="s">
        <v>619</v>
      </c>
      <c r="R1057" s="696">
        <v>20170331</v>
      </c>
      <c r="S1057" s="372" t="s">
        <v>7336</v>
      </c>
      <c r="T1057" s="697">
        <v>0.23100000000000001</v>
      </c>
      <c r="U1057" s="372" t="s">
        <v>5530</v>
      </c>
      <c r="V1057" s="722">
        <v>7.47</v>
      </c>
      <c r="W1057" s="722">
        <v>0.75</v>
      </c>
      <c r="X1057" s="722">
        <v>1.19</v>
      </c>
      <c r="Y1057" s="722">
        <v>7.08</v>
      </c>
      <c r="Z1057" s="382" t="s">
        <v>924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7337</v>
      </c>
      <c r="B1058" s="373" t="s">
        <v>7338</v>
      </c>
      <c r="C1058" s="372" t="s">
        <v>7339</v>
      </c>
      <c r="D1058" s="374">
        <v>1801110025147</v>
      </c>
      <c r="E1058" s="372" t="s">
        <v>7340</v>
      </c>
      <c r="F1058" s="375" t="s">
        <v>1860</v>
      </c>
      <c r="G1058" s="375" t="s">
        <v>1861</v>
      </c>
      <c r="H1058" s="375" t="s">
        <v>789</v>
      </c>
      <c r="I1058" s="375" t="s">
        <v>751</v>
      </c>
      <c r="J1058" s="375">
        <v>717938.97308000003</v>
      </c>
      <c r="K1058" s="375">
        <v>22929.257659999999</v>
      </c>
      <c r="L1058" s="375">
        <v>9719.6942400000007</v>
      </c>
      <c r="M1058" s="375">
        <v>175326.64391000001</v>
      </c>
      <c r="N1058" s="372">
        <v>1.0549999999999999</v>
      </c>
      <c r="O1058" s="704">
        <v>220.07823872134495</v>
      </c>
      <c r="P1058" s="375" t="s">
        <v>619</v>
      </c>
      <c r="Q1058" s="375" t="s">
        <v>619</v>
      </c>
      <c r="R1058" s="696">
        <v>20071018</v>
      </c>
      <c r="S1058" s="375" t="s">
        <v>7341</v>
      </c>
      <c r="T1058" s="697">
        <v>0.20900000000000002</v>
      </c>
      <c r="U1058" s="375" t="s">
        <v>7342</v>
      </c>
      <c r="V1058" s="722">
        <v>7.42</v>
      </c>
      <c r="W1058" s="722">
        <v>1.04</v>
      </c>
      <c r="X1058" s="722">
        <v>0.22</v>
      </c>
      <c r="Y1058" s="722">
        <v>10.42</v>
      </c>
      <c r="Z1058" s="382" t="s">
        <v>924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7343</v>
      </c>
      <c r="B1059" s="373" t="s">
        <v>7344</v>
      </c>
      <c r="C1059" s="372" t="s">
        <v>7345</v>
      </c>
      <c r="D1059" s="374">
        <v>2111110000042</v>
      </c>
      <c r="E1059" s="372" t="s">
        <v>7346</v>
      </c>
      <c r="F1059" s="375" t="s">
        <v>7209</v>
      </c>
      <c r="G1059" s="375" t="s">
        <v>7347</v>
      </c>
      <c r="H1059" s="375" t="s">
        <v>3954</v>
      </c>
      <c r="I1059" s="375" t="s">
        <v>751</v>
      </c>
      <c r="J1059" s="375">
        <v>283791.68948</v>
      </c>
      <c r="K1059" s="375">
        <v>3049.4962799999998</v>
      </c>
      <c r="L1059" s="375">
        <v>-2123.6303600000001</v>
      </c>
      <c r="M1059" s="375">
        <v>295428.00344</v>
      </c>
      <c r="N1059" s="372">
        <v>0.622</v>
      </c>
      <c r="O1059" s="704">
        <v>107.48443012631832</v>
      </c>
      <c r="P1059" s="375" t="s">
        <v>619</v>
      </c>
      <c r="Q1059" s="372" t="s">
        <v>619</v>
      </c>
      <c r="R1059" s="696">
        <v>19760626</v>
      </c>
      <c r="S1059" s="372" t="s">
        <v>7348</v>
      </c>
      <c r="T1059" s="697" t="s">
        <v>768</v>
      </c>
      <c r="U1059" s="372" t="s">
        <v>7349</v>
      </c>
      <c r="V1059" s="722">
        <v>11.65</v>
      </c>
      <c r="W1059" s="722">
        <v>0.43</v>
      </c>
      <c r="X1059" s="722">
        <v>0.45</v>
      </c>
      <c r="Y1059" s="722">
        <v>136.84</v>
      </c>
      <c r="Z1059" s="382" t="s">
        <v>924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7350</v>
      </c>
      <c r="B1060" s="373" t="s">
        <v>7351</v>
      </c>
      <c r="C1060" s="372" t="s">
        <v>7352</v>
      </c>
      <c r="D1060" s="374">
        <v>1346110012687</v>
      </c>
      <c r="E1060" s="372" t="s">
        <v>7353</v>
      </c>
      <c r="F1060" s="375" t="s">
        <v>2423</v>
      </c>
      <c r="G1060" s="375" t="s">
        <v>2424</v>
      </c>
      <c r="H1060" s="375" t="s">
        <v>858</v>
      </c>
      <c r="I1060" s="375" t="s">
        <v>859</v>
      </c>
      <c r="J1060" s="375">
        <v>164776.6679</v>
      </c>
      <c r="K1060" s="375">
        <v>26218.615460000001</v>
      </c>
      <c r="L1060" s="375">
        <v>32699.000960000001</v>
      </c>
      <c r="M1060" s="375">
        <v>372825.43371999997</v>
      </c>
      <c r="N1060" s="372">
        <v>0.97099999999999997</v>
      </c>
      <c r="O1060" s="704">
        <v>65.725969551780409</v>
      </c>
      <c r="P1060" s="375" t="s">
        <v>619</v>
      </c>
      <c r="Q1060" s="372" t="s">
        <v>619</v>
      </c>
      <c r="R1060" s="696">
        <v>20040924</v>
      </c>
      <c r="S1060" s="372" t="s">
        <v>7354</v>
      </c>
      <c r="T1060" s="697">
        <v>0.23100000000000001</v>
      </c>
      <c r="U1060" s="372" t="s">
        <v>7355</v>
      </c>
      <c r="V1060" s="722">
        <v>5.92</v>
      </c>
      <c r="W1060" s="722">
        <v>0.43</v>
      </c>
      <c r="X1060" s="722">
        <v>0.86</v>
      </c>
      <c r="Y1060" s="722">
        <v>18.170000000000002</v>
      </c>
      <c r="Z1060" s="382" t="s">
        <v>924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7356</v>
      </c>
      <c r="B1061" s="373" t="s">
        <v>7357</v>
      </c>
      <c r="C1061" s="372" t="s">
        <v>7358</v>
      </c>
      <c r="D1061" s="374">
        <v>1701110008913</v>
      </c>
      <c r="E1061" s="372" t="s">
        <v>7359</v>
      </c>
      <c r="F1061" s="375" t="s">
        <v>2989</v>
      </c>
      <c r="G1061" s="375" t="s">
        <v>2989</v>
      </c>
      <c r="H1061" s="375" t="s">
        <v>858</v>
      </c>
      <c r="I1061" s="375" t="s">
        <v>859</v>
      </c>
      <c r="J1061" s="375">
        <v>753401.75586999999</v>
      </c>
      <c r="K1061" s="375">
        <v>53266.928039999999</v>
      </c>
      <c r="L1061" s="375">
        <v>34876.783649999998</v>
      </c>
      <c r="M1061" s="375">
        <v>303824.87657999998</v>
      </c>
      <c r="N1061" s="372">
        <v>1.121</v>
      </c>
      <c r="O1061" s="704">
        <v>614.34814140661513</v>
      </c>
      <c r="P1061" s="375" t="s">
        <v>619</v>
      </c>
      <c r="Q1061" s="372" t="s">
        <v>619</v>
      </c>
      <c r="R1061" s="696">
        <v>19970930</v>
      </c>
      <c r="S1061" s="375" t="s">
        <v>5839</v>
      </c>
      <c r="T1061" s="697">
        <v>0.23100000000000001</v>
      </c>
      <c r="U1061" s="375" t="s">
        <v>7360</v>
      </c>
      <c r="V1061" s="722">
        <v>5.21</v>
      </c>
      <c r="W1061" s="722">
        <v>0.39</v>
      </c>
      <c r="X1061" s="722">
        <v>0.16</v>
      </c>
      <c r="Y1061" s="722">
        <v>4.3600000000000003</v>
      </c>
      <c r="Z1061" s="382" t="s">
        <v>924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7361</v>
      </c>
      <c r="B1062" s="373" t="s">
        <v>7362</v>
      </c>
      <c r="C1062" s="372" t="s">
        <v>7363</v>
      </c>
      <c r="D1062" s="374">
        <v>1313110109110</v>
      </c>
      <c r="E1062" s="372" t="s">
        <v>7364</v>
      </c>
      <c r="F1062" s="372" t="s">
        <v>1959</v>
      </c>
      <c r="G1062" s="375" t="s">
        <v>1959</v>
      </c>
      <c r="H1062" s="375" t="s">
        <v>858</v>
      </c>
      <c r="I1062" s="375" t="s">
        <v>859</v>
      </c>
      <c r="J1062" s="375">
        <v>275148.57475999999</v>
      </c>
      <c r="K1062" s="375">
        <v>12244.620360000001</v>
      </c>
      <c r="L1062" s="375">
        <v>23429.657719999999</v>
      </c>
      <c r="M1062" s="375">
        <v>114048.95799</v>
      </c>
      <c r="N1062" s="372">
        <v>1.044</v>
      </c>
      <c r="O1062" s="704">
        <v>66.015145671998269</v>
      </c>
      <c r="P1062" s="375" t="s">
        <v>619</v>
      </c>
      <c r="Q1062" s="375" t="s">
        <v>619</v>
      </c>
      <c r="R1062" s="696">
        <v>20171030</v>
      </c>
      <c r="S1062" s="375" t="s">
        <v>7365</v>
      </c>
      <c r="T1062" s="697">
        <v>0.23100000000000001</v>
      </c>
      <c r="U1062" s="375" t="s">
        <v>7366</v>
      </c>
      <c r="V1062" s="722">
        <v>14.66</v>
      </c>
      <c r="W1062" s="722">
        <v>1.49</v>
      </c>
      <c r="X1062" s="722">
        <v>0.62</v>
      </c>
      <c r="Y1062" s="722">
        <v>8</v>
      </c>
      <c r="Z1062" s="382">
        <v>5.2881817438339862E-2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2839</v>
      </c>
      <c r="AF1062" s="372">
        <v>3171</v>
      </c>
      <c r="AG1062" s="372">
        <v>3209</v>
      </c>
      <c r="AH1062" s="372">
        <v>0</v>
      </c>
    </row>
    <row r="1063" spans="1:34">
      <c r="A1063" s="372" t="s">
        <v>7367</v>
      </c>
      <c r="B1063" s="373" t="s">
        <v>7368</v>
      </c>
      <c r="C1063" s="372" t="s">
        <v>7369</v>
      </c>
      <c r="D1063" s="374">
        <v>1345110083218</v>
      </c>
      <c r="E1063" s="372" t="s">
        <v>7370</v>
      </c>
      <c r="F1063" s="375" t="s">
        <v>1320</v>
      </c>
      <c r="G1063" s="375" t="s">
        <v>16103</v>
      </c>
      <c r="H1063" s="375" t="s">
        <v>858</v>
      </c>
      <c r="I1063" s="375" t="s">
        <v>859</v>
      </c>
      <c r="J1063" s="375">
        <v>0</v>
      </c>
      <c r="K1063" s="375">
        <v>0</v>
      </c>
      <c r="L1063" s="375">
        <v>0</v>
      </c>
      <c r="M1063" s="375">
        <v>105025.8648</v>
      </c>
      <c r="N1063" s="372">
        <v>0.69799999999999995</v>
      </c>
      <c r="O1063" s="704">
        <v>20.832886720934141</v>
      </c>
      <c r="P1063" s="375" t="s">
        <v>619</v>
      </c>
      <c r="Q1063" s="372" t="s">
        <v>619</v>
      </c>
      <c r="R1063" s="696">
        <v>20191014</v>
      </c>
      <c r="S1063" s="372" t="s">
        <v>7371</v>
      </c>
      <c r="T1063" s="697" t="s">
        <v>768</v>
      </c>
      <c r="U1063" s="372" t="s">
        <v>7372</v>
      </c>
      <c r="V1063" s="722">
        <v>0</v>
      </c>
      <c r="W1063" s="722">
        <v>1.93</v>
      </c>
      <c r="X1063" s="722">
        <v>0</v>
      </c>
      <c r="Y1063" s="722">
        <v>0</v>
      </c>
      <c r="Z1063" s="382" t="s">
        <v>924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7373</v>
      </c>
      <c r="B1064" s="373" t="s">
        <v>7374</v>
      </c>
      <c r="C1064" s="372" t="s">
        <v>7375</v>
      </c>
      <c r="D1064" s="374">
        <v>1358110168906</v>
      </c>
      <c r="E1064" s="372" t="s">
        <v>7376</v>
      </c>
      <c r="F1064" s="375" t="s">
        <v>1113</v>
      </c>
      <c r="G1064" s="375" t="s">
        <v>1333</v>
      </c>
      <c r="H1064" s="375" t="s">
        <v>1334</v>
      </c>
      <c r="I1064" s="375" t="s">
        <v>859</v>
      </c>
      <c r="J1064" s="375">
        <v>2906.1768299999999</v>
      </c>
      <c r="K1064" s="375">
        <v>-17813.68621</v>
      </c>
      <c r="L1064" s="375">
        <v>-22927.683389999998</v>
      </c>
      <c r="M1064" s="375">
        <v>48966.642440000003</v>
      </c>
      <c r="N1064" s="372">
        <v>1.109</v>
      </c>
      <c r="O1064" s="704">
        <v>6.8283285747530886</v>
      </c>
      <c r="P1064" s="375" t="s">
        <v>619</v>
      </c>
      <c r="Q1064" s="375" t="s">
        <v>619</v>
      </c>
      <c r="R1064" s="696">
        <v>20190612</v>
      </c>
      <c r="S1064" s="375" t="s">
        <v>7377</v>
      </c>
      <c r="T1064" s="697" t="s">
        <v>768</v>
      </c>
      <c r="U1064" s="375" t="s">
        <v>7378</v>
      </c>
      <c r="V1064" s="722" t="s">
        <v>770</v>
      </c>
      <c r="W1064" s="722">
        <v>3.98</v>
      </c>
      <c r="X1064" s="722">
        <v>66.180000000000007</v>
      </c>
      <c r="Y1064" s="722" t="s">
        <v>770</v>
      </c>
      <c r="Z1064" s="382" t="s">
        <v>924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7379</v>
      </c>
      <c r="B1065" s="373" t="s">
        <v>7380</v>
      </c>
      <c r="C1065" s="372" t="s">
        <v>7381</v>
      </c>
      <c r="D1065" s="374">
        <v>1350110103198</v>
      </c>
      <c r="E1065" s="372" t="s">
        <v>7382</v>
      </c>
      <c r="F1065" s="375" t="s">
        <v>2219</v>
      </c>
      <c r="G1065" s="375" t="s">
        <v>2219</v>
      </c>
      <c r="H1065" s="375" t="s">
        <v>858</v>
      </c>
      <c r="I1065" s="375" t="s">
        <v>859</v>
      </c>
      <c r="J1065" s="375">
        <v>1263703.1475</v>
      </c>
      <c r="K1065" s="375">
        <v>23666.137559999999</v>
      </c>
      <c r="L1065" s="375">
        <v>17527.674719999999</v>
      </c>
      <c r="M1065" s="375">
        <v>268687.66843000002</v>
      </c>
      <c r="N1065" s="372">
        <v>0.78700000000000003</v>
      </c>
      <c r="O1065" s="704">
        <v>71.264314163326574</v>
      </c>
      <c r="P1065" s="375" t="s">
        <v>619</v>
      </c>
      <c r="Q1065" s="375" t="s">
        <v>619</v>
      </c>
      <c r="R1065" s="696">
        <v>20050729</v>
      </c>
      <c r="S1065" s="375" t="s">
        <v>7384</v>
      </c>
      <c r="T1065" s="697">
        <v>0.20900000000000002</v>
      </c>
      <c r="U1065" s="375" t="s">
        <v>7385</v>
      </c>
      <c r="V1065" s="722">
        <v>5.66</v>
      </c>
      <c r="W1065" s="722">
        <v>1.04</v>
      </c>
      <c r="X1065" s="722">
        <v>0.18</v>
      </c>
      <c r="Y1065" s="722">
        <v>26.42</v>
      </c>
      <c r="Z1065" s="382" t="s">
        <v>924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7386</v>
      </c>
      <c r="B1066" s="373" t="s">
        <v>7387</v>
      </c>
      <c r="C1066" s="372" t="s">
        <v>7388</v>
      </c>
      <c r="D1066" s="374">
        <v>1345110034097</v>
      </c>
      <c r="E1066" s="372" t="s">
        <v>7389</v>
      </c>
      <c r="F1066" s="375" t="s">
        <v>4188</v>
      </c>
      <c r="G1066" s="375" t="s">
        <v>4189</v>
      </c>
      <c r="H1066" s="375" t="s">
        <v>965</v>
      </c>
      <c r="I1066" s="375" t="s">
        <v>751</v>
      </c>
      <c r="J1066" s="375">
        <v>1876059.5274100001</v>
      </c>
      <c r="K1066" s="375">
        <v>7760.7734300000002</v>
      </c>
      <c r="L1066" s="375">
        <v>-15023.78224</v>
      </c>
      <c r="M1066" s="375">
        <v>417050.35684000002</v>
      </c>
      <c r="N1066" s="372">
        <v>0.71699999999999997</v>
      </c>
      <c r="O1066" s="704">
        <v>108.30723074637676</v>
      </c>
      <c r="P1066" s="375" t="s">
        <v>619</v>
      </c>
      <c r="Q1066" s="375" t="s">
        <v>619</v>
      </c>
      <c r="R1066" s="696">
        <v>20051122</v>
      </c>
      <c r="S1066" s="375" t="s">
        <v>7390</v>
      </c>
      <c r="T1066" s="697" t="s">
        <v>768</v>
      </c>
      <c r="U1066" s="372" t="s">
        <v>7391</v>
      </c>
      <c r="V1066" s="722">
        <v>7.27</v>
      </c>
      <c r="W1066" s="722">
        <v>0.39</v>
      </c>
      <c r="X1066" s="722">
        <v>0.09</v>
      </c>
      <c r="Y1066" s="722" t="s">
        <v>770</v>
      </c>
      <c r="Z1066" s="382">
        <v>2.938020877707026E-2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18299</v>
      </c>
      <c r="AF1066" s="372">
        <v>17432.330000000002</v>
      </c>
      <c r="AG1066" s="372">
        <v>17804.330000000002</v>
      </c>
      <c r="AH1066" s="372">
        <v>0</v>
      </c>
    </row>
    <row r="1067" spans="1:34">
      <c r="A1067" s="372" t="s">
        <v>7392</v>
      </c>
      <c r="B1067" s="373" t="s">
        <v>7393</v>
      </c>
      <c r="C1067" s="372" t="s">
        <v>7394</v>
      </c>
      <c r="D1067" s="374">
        <v>1748110000820</v>
      </c>
      <c r="E1067" s="372" t="s">
        <v>7395</v>
      </c>
      <c r="F1067" s="372" t="s">
        <v>1381</v>
      </c>
      <c r="G1067" s="375" t="s">
        <v>1382</v>
      </c>
      <c r="H1067" s="375" t="s">
        <v>4844</v>
      </c>
      <c r="I1067" s="375" t="s">
        <v>859</v>
      </c>
      <c r="J1067" s="375">
        <v>74310.685630000007</v>
      </c>
      <c r="K1067" s="375">
        <v>4260.7207399999998</v>
      </c>
      <c r="L1067" s="375">
        <v>8083.0361000000003</v>
      </c>
      <c r="M1067" s="375">
        <v>99747.655140000003</v>
      </c>
      <c r="N1067" s="372">
        <v>0.51600000000000001</v>
      </c>
      <c r="O1067" s="704">
        <v>0.32188911995177816</v>
      </c>
      <c r="P1067" s="375" t="s">
        <v>619</v>
      </c>
      <c r="Q1067" s="372" t="s">
        <v>619</v>
      </c>
      <c r="R1067" s="696">
        <v>19950731</v>
      </c>
      <c r="S1067" s="375" t="s">
        <v>7396</v>
      </c>
      <c r="T1067" s="697">
        <v>0.20900000000000002</v>
      </c>
      <c r="U1067" s="372" t="s">
        <v>7397</v>
      </c>
      <c r="V1067" s="722">
        <v>0</v>
      </c>
      <c r="W1067" s="722">
        <v>0</v>
      </c>
      <c r="X1067" s="722">
        <v>0</v>
      </c>
      <c r="Y1067" s="722">
        <v>0</v>
      </c>
      <c r="Z1067" s="382" t="s">
        <v>924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7398</v>
      </c>
      <c r="B1068" s="373" t="s">
        <v>7399</v>
      </c>
      <c r="C1068" s="372" t="s">
        <v>7400</v>
      </c>
      <c r="D1068" s="374">
        <v>1601110097976</v>
      </c>
      <c r="E1068" s="372" t="s">
        <v>7401</v>
      </c>
      <c r="F1068" s="375" t="s">
        <v>1066</v>
      </c>
      <c r="G1068" s="375" t="s">
        <v>1066</v>
      </c>
      <c r="H1068" s="375" t="s">
        <v>3096</v>
      </c>
      <c r="I1068" s="375" t="s">
        <v>859</v>
      </c>
      <c r="J1068" s="375">
        <v>400068.22353999998</v>
      </c>
      <c r="K1068" s="375">
        <v>44370.217429999997</v>
      </c>
      <c r="L1068" s="375">
        <v>34887.456830000003</v>
      </c>
      <c r="M1068" s="375">
        <v>744994.38326000003</v>
      </c>
      <c r="N1068" s="372">
        <v>0.82</v>
      </c>
      <c r="O1068" s="704">
        <v>152.75951071094931</v>
      </c>
      <c r="P1068" s="375" t="s">
        <v>619</v>
      </c>
      <c r="Q1068" s="375" t="s">
        <v>619</v>
      </c>
      <c r="R1068" s="696">
        <v>20110520</v>
      </c>
      <c r="S1068" s="375" t="s">
        <v>3462</v>
      </c>
      <c r="T1068" s="697">
        <v>0.23100000000000001</v>
      </c>
      <c r="U1068" s="372" t="s">
        <v>7402</v>
      </c>
      <c r="V1068" s="722">
        <v>5.25</v>
      </c>
      <c r="W1068" s="722">
        <v>0.23</v>
      </c>
      <c r="X1068" s="722">
        <v>0.43</v>
      </c>
      <c r="Y1068" s="722">
        <v>3.84</v>
      </c>
      <c r="Z1068" s="382" t="s">
        <v>924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7403</v>
      </c>
      <c r="B1069" s="373" t="s">
        <v>7404</v>
      </c>
      <c r="C1069" s="372" t="s">
        <v>7405</v>
      </c>
      <c r="D1069" s="374">
        <v>1313110059571</v>
      </c>
      <c r="E1069" s="372" t="s">
        <v>7406</v>
      </c>
      <c r="F1069" s="375" t="s">
        <v>1272</v>
      </c>
      <c r="G1069" s="375" t="s">
        <v>1272</v>
      </c>
      <c r="H1069" s="375" t="s">
        <v>858</v>
      </c>
      <c r="I1069" s="375" t="s">
        <v>859</v>
      </c>
      <c r="J1069" s="375">
        <v>0</v>
      </c>
      <c r="K1069" s="375">
        <v>0</v>
      </c>
      <c r="L1069" s="375">
        <v>0</v>
      </c>
      <c r="M1069" s="375">
        <v>58666.257660000003</v>
      </c>
      <c r="N1069" s="372">
        <v>1.1990000000000001</v>
      </c>
      <c r="O1069" s="704">
        <v>8.6215465509825631</v>
      </c>
      <c r="P1069" s="375" t="s">
        <v>619</v>
      </c>
      <c r="Q1069" s="375" t="s">
        <v>619</v>
      </c>
      <c r="R1069" s="696">
        <v>20211111</v>
      </c>
      <c r="S1069" s="375" t="s">
        <v>7407</v>
      </c>
      <c r="T1069" s="697" t="s">
        <v>768</v>
      </c>
      <c r="U1069" s="375" t="s">
        <v>7408</v>
      </c>
      <c r="V1069" s="722">
        <v>0</v>
      </c>
      <c r="W1069" s="722">
        <v>1.74</v>
      </c>
      <c r="X1069" s="722">
        <v>0</v>
      </c>
      <c r="Y1069" s="722">
        <v>0</v>
      </c>
      <c r="Z1069" s="382">
        <v>0.39988214318669413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478</v>
      </c>
      <c r="AF1069" s="372">
        <v>661</v>
      </c>
      <c r="AG1069" s="372">
        <v>684</v>
      </c>
      <c r="AH1069" s="372">
        <v>0</v>
      </c>
    </row>
    <row r="1070" spans="1:34">
      <c r="A1070" s="372" t="s">
        <v>7409</v>
      </c>
      <c r="B1070" s="373" t="s">
        <v>7410</v>
      </c>
      <c r="C1070" s="372" t="s">
        <v>7411</v>
      </c>
      <c r="D1070" s="374">
        <v>1101110222151</v>
      </c>
      <c r="E1070" s="372" t="s">
        <v>7412</v>
      </c>
      <c r="F1070" s="375" t="s">
        <v>842</v>
      </c>
      <c r="G1070" s="375" t="s">
        <v>842</v>
      </c>
      <c r="H1070" s="375" t="s">
        <v>3096</v>
      </c>
      <c r="I1070" s="375" t="s">
        <v>859</v>
      </c>
      <c r="J1070" s="375">
        <v>277148.81068</v>
      </c>
      <c r="K1070" s="375">
        <v>4072.0561499999999</v>
      </c>
      <c r="L1070" s="375">
        <v>-112.94445</v>
      </c>
      <c r="M1070" s="375">
        <v>129694.6237</v>
      </c>
      <c r="N1070" s="372">
        <v>0.85599999999999998</v>
      </c>
      <c r="O1070" s="704">
        <v>35.053981815499299</v>
      </c>
      <c r="P1070" s="375" t="s">
        <v>619</v>
      </c>
      <c r="Q1070" s="375" t="s">
        <v>619</v>
      </c>
      <c r="R1070" s="696">
        <v>20010727</v>
      </c>
      <c r="S1070" s="375" t="s">
        <v>7413</v>
      </c>
      <c r="T1070" s="697" t="s">
        <v>768</v>
      </c>
      <c r="U1070" s="372" t="s">
        <v>7414</v>
      </c>
      <c r="V1070" s="722">
        <v>5.91</v>
      </c>
      <c r="W1070" s="722">
        <v>1.1000000000000001</v>
      </c>
      <c r="X1070" s="722">
        <v>0.4</v>
      </c>
      <c r="Y1070" s="722" t="s">
        <v>770</v>
      </c>
      <c r="Z1070" s="382">
        <v>6.3159780122659326E-2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2614</v>
      </c>
      <c r="AF1070" s="372">
        <v>3665</v>
      </c>
      <c r="AG1070" s="372">
        <v>4038</v>
      </c>
      <c r="AH1070" s="372">
        <v>0</v>
      </c>
    </row>
    <row r="1071" spans="1:34">
      <c r="A1071" s="372" t="s">
        <v>7415</v>
      </c>
      <c r="B1071" s="373" t="s">
        <v>7416</v>
      </c>
      <c r="C1071" s="372" t="s">
        <v>7417</v>
      </c>
      <c r="D1071" s="374">
        <v>1954110024732</v>
      </c>
      <c r="E1071" s="372" t="s">
        <v>7418</v>
      </c>
      <c r="F1071" s="375" t="s">
        <v>1125</v>
      </c>
      <c r="G1071" s="375" t="s">
        <v>7419</v>
      </c>
      <c r="H1071" s="375" t="s">
        <v>858</v>
      </c>
      <c r="I1071" s="375" t="s">
        <v>859</v>
      </c>
      <c r="J1071" s="375">
        <v>90140.706590000002</v>
      </c>
      <c r="K1071" s="375">
        <v>-2503.6834899999999</v>
      </c>
      <c r="L1071" s="375">
        <v>-3483.0426299999999</v>
      </c>
      <c r="M1071" s="375">
        <v>184379.03263999999</v>
      </c>
      <c r="N1071" s="372">
        <v>0.70899999999999996</v>
      </c>
      <c r="O1071" s="704">
        <v>45.1350009297932</v>
      </c>
      <c r="P1071" s="375" t="s">
        <v>619</v>
      </c>
      <c r="Q1071" s="372" t="s">
        <v>619</v>
      </c>
      <c r="R1071" s="696">
        <v>20200303</v>
      </c>
      <c r="S1071" s="372" t="s">
        <v>7420</v>
      </c>
      <c r="T1071" s="697" t="s">
        <v>768</v>
      </c>
      <c r="U1071" s="372" t="s">
        <v>7421</v>
      </c>
      <c r="V1071" s="722">
        <v>41.05</v>
      </c>
      <c r="W1071" s="722">
        <v>0.76</v>
      </c>
      <c r="X1071" s="722">
        <v>1.55</v>
      </c>
      <c r="Y1071" s="722" t="s">
        <v>770</v>
      </c>
      <c r="Z1071" s="382" t="s">
        <v>924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1060</v>
      </c>
      <c r="AF1071" s="372">
        <v>1320</v>
      </c>
      <c r="AG1071" s="372">
        <v>0</v>
      </c>
      <c r="AH1071" s="372">
        <v>0</v>
      </c>
    </row>
    <row r="1072" spans="1:34">
      <c r="A1072" s="372" t="s">
        <v>7422</v>
      </c>
      <c r="B1072" s="373" t="s">
        <v>7423</v>
      </c>
      <c r="C1072" s="372" t="s">
        <v>7424</v>
      </c>
      <c r="D1072" s="374">
        <v>1812110000922</v>
      </c>
      <c r="E1072" s="372" t="s">
        <v>7425</v>
      </c>
      <c r="F1072" s="375" t="s">
        <v>2004</v>
      </c>
      <c r="G1072" s="375" t="s">
        <v>2004</v>
      </c>
      <c r="H1072" s="375" t="s">
        <v>789</v>
      </c>
      <c r="I1072" s="375" t="s">
        <v>751</v>
      </c>
      <c r="J1072" s="375">
        <v>1943266.8478399999</v>
      </c>
      <c r="K1072" s="375">
        <v>16339.197260000001</v>
      </c>
      <c r="L1072" s="375">
        <v>3914.4921800000002</v>
      </c>
      <c r="M1072" s="375">
        <v>96439.305399999997</v>
      </c>
      <c r="N1072" s="372">
        <v>0.97599999999999998</v>
      </c>
      <c r="O1072" s="704">
        <v>42.602455136635946</v>
      </c>
      <c r="P1072" s="375" t="s">
        <v>619</v>
      </c>
      <c r="Q1072" s="375" t="s">
        <v>619</v>
      </c>
      <c r="R1072" s="696">
        <v>19970623</v>
      </c>
      <c r="S1072" s="375" t="s">
        <v>7426</v>
      </c>
      <c r="T1072" s="697">
        <v>0.20900000000000002</v>
      </c>
      <c r="U1072" s="375" t="s">
        <v>7427</v>
      </c>
      <c r="V1072" s="722">
        <v>3.86</v>
      </c>
      <c r="W1072" s="722">
        <v>1.19</v>
      </c>
      <c r="X1072" s="722">
        <v>0.06</v>
      </c>
      <c r="Y1072" s="722">
        <v>61.05</v>
      </c>
      <c r="Z1072" s="382" t="s">
        <v>924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7428</v>
      </c>
      <c r="B1073" s="373" t="s">
        <v>7429</v>
      </c>
      <c r="C1073" s="372" t="s">
        <v>7430</v>
      </c>
      <c r="D1073" s="374">
        <v>1614110049889</v>
      </c>
      <c r="E1073" s="372" t="s">
        <v>7431</v>
      </c>
      <c r="F1073" s="375" t="s">
        <v>877</v>
      </c>
      <c r="G1073" s="375" t="s">
        <v>877</v>
      </c>
      <c r="H1073" s="375" t="s">
        <v>858</v>
      </c>
      <c r="I1073" s="375" t="s">
        <v>859</v>
      </c>
      <c r="J1073" s="375">
        <v>83167.488540000006</v>
      </c>
      <c r="K1073" s="375">
        <v>-7719.1642300000003</v>
      </c>
      <c r="L1073" s="375">
        <v>-4322.3623600000001</v>
      </c>
      <c r="M1073" s="375">
        <v>97406.826749999993</v>
      </c>
      <c r="N1073" s="372">
        <v>1.5840000000000001</v>
      </c>
      <c r="O1073" s="704">
        <v>120.21938023503309</v>
      </c>
      <c r="P1073" s="375" t="s">
        <v>619</v>
      </c>
      <c r="Q1073" s="375" t="s">
        <v>619</v>
      </c>
      <c r="R1073" s="696">
        <v>20230203</v>
      </c>
      <c r="S1073" s="375" t="s">
        <v>7432</v>
      </c>
      <c r="T1073" s="697" t="s">
        <v>768</v>
      </c>
      <c r="U1073" s="372" t="s">
        <v>7433</v>
      </c>
      <c r="V1073" s="722">
        <v>93.62</v>
      </c>
      <c r="W1073" s="722">
        <v>1.87</v>
      </c>
      <c r="X1073" s="722">
        <v>1.55</v>
      </c>
      <c r="Y1073" s="722" t="s">
        <v>770</v>
      </c>
      <c r="Z1073" s="382" t="s">
        <v>924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7434</v>
      </c>
      <c r="B1074" s="373" t="s">
        <v>7435</v>
      </c>
      <c r="C1074" s="372" t="s">
        <v>7436</v>
      </c>
      <c r="D1074" s="374">
        <v>1942110094409</v>
      </c>
      <c r="E1074" s="372" t="s">
        <v>7437</v>
      </c>
      <c r="F1074" s="372" t="s">
        <v>3215</v>
      </c>
      <c r="G1074" s="375" t="s">
        <v>3215</v>
      </c>
      <c r="H1074" s="375" t="s">
        <v>858</v>
      </c>
      <c r="I1074" s="375" t="s">
        <v>859</v>
      </c>
      <c r="J1074" s="375">
        <v>362064.81823999999</v>
      </c>
      <c r="K1074" s="375">
        <v>9225.3244500000001</v>
      </c>
      <c r="L1074" s="375">
        <v>4460.1144100000001</v>
      </c>
      <c r="M1074" s="375">
        <v>76331.463000000003</v>
      </c>
      <c r="N1074" s="372">
        <v>0.89600000000000002</v>
      </c>
      <c r="O1074" s="704">
        <v>100.26340654329915</v>
      </c>
      <c r="P1074" s="375" t="s">
        <v>619</v>
      </c>
      <c r="Q1074" s="375" t="s">
        <v>619</v>
      </c>
      <c r="R1074" s="696">
        <v>20221223</v>
      </c>
      <c r="S1074" s="375" t="s">
        <v>7438</v>
      </c>
      <c r="T1074" s="697">
        <v>0.20900000000000002</v>
      </c>
      <c r="U1074" s="372" t="s">
        <v>7439</v>
      </c>
      <c r="V1074" s="722">
        <v>17.39</v>
      </c>
      <c r="W1074" s="722">
        <v>1.44</v>
      </c>
      <c r="X1074" s="722">
        <v>0.31</v>
      </c>
      <c r="Y1074" s="722">
        <v>47.66</v>
      </c>
      <c r="Z1074" s="382" t="s">
        <v>924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7440</v>
      </c>
      <c r="B1075" s="373" t="s">
        <v>7441</v>
      </c>
      <c r="C1075" s="372" t="s">
        <v>7442</v>
      </c>
      <c r="D1075" s="374">
        <v>1942110000133</v>
      </c>
      <c r="E1075" s="372" t="s">
        <v>7443</v>
      </c>
      <c r="F1075" s="372" t="s">
        <v>1614</v>
      </c>
      <c r="G1075" s="375" t="s">
        <v>1614</v>
      </c>
      <c r="H1075" s="375" t="s">
        <v>1040</v>
      </c>
      <c r="I1075" s="375" t="s">
        <v>751</v>
      </c>
      <c r="J1075" s="375">
        <v>190702.49369</v>
      </c>
      <c r="K1075" s="375">
        <v>3651.4438399999999</v>
      </c>
      <c r="L1075" s="375">
        <v>7124.2131499999996</v>
      </c>
      <c r="M1075" s="375">
        <v>59830.15137</v>
      </c>
      <c r="N1075" s="372">
        <v>0.57399999999999995</v>
      </c>
      <c r="O1075" s="704">
        <v>4.1748369998848185</v>
      </c>
      <c r="P1075" s="375" t="s">
        <v>619</v>
      </c>
      <c r="Q1075" s="372" t="s">
        <v>619</v>
      </c>
      <c r="R1075" s="696">
        <v>19890510</v>
      </c>
      <c r="S1075" s="372" t="s">
        <v>7444</v>
      </c>
      <c r="T1075" s="697">
        <v>0.20900000000000002</v>
      </c>
      <c r="U1075" s="372" t="s">
        <v>7445</v>
      </c>
      <c r="V1075" s="722">
        <v>0</v>
      </c>
      <c r="W1075" s="722">
        <v>0</v>
      </c>
      <c r="X1075" s="722">
        <v>0</v>
      </c>
      <c r="Y1075" s="722">
        <v>0</v>
      </c>
      <c r="Z1075" s="382" t="s">
        <v>924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7446</v>
      </c>
      <c r="B1076" s="373" t="s">
        <v>7447</v>
      </c>
      <c r="C1076" s="372" t="s">
        <v>7448</v>
      </c>
      <c r="D1076" s="374">
        <v>1101112262890</v>
      </c>
      <c r="E1076" s="372" t="s">
        <v>7449</v>
      </c>
      <c r="F1076" s="375" t="s">
        <v>7450</v>
      </c>
      <c r="G1076" s="375" t="s">
        <v>7450</v>
      </c>
      <c r="H1076" s="375" t="s">
        <v>1334</v>
      </c>
      <c r="I1076" s="375" t="s">
        <v>859</v>
      </c>
      <c r="J1076" s="375">
        <v>42301.769529999998</v>
      </c>
      <c r="K1076" s="375">
        <v>-17133.953150000001</v>
      </c>
      <c r="L1076" s="375">
        <v>-31491.021779999999</v>
      </c>
      <c r="M1076" s="375">
        <v>49026.897559999998</v>
      </c>
      <c r="N1076" s="372" t="s">
        <v>1023</v>
      </c>
      <c r="O1076" s="704">
        <v>34.606855243257314</v>
      </c>
      <c r="P1076" s="375" t="s">
        <v>619</v>
      </c>
      <c r="Q1076" s="375" t="s">
        <v>619</v>
      </c>
      <c r="R1076" s="696">
        <v>20141215</v>
      </c>
      <c r="S1076" s="375" t="s">
        <v>7451</v>
      </c>
      <c r="T1076" s="697" t="s">
        <v>768</v>
      </c>
      <c r="U1076" s="372" t="s">
        <v>15886</v>
      </c>
      <c r="V1076" s="722" t="s">
        <v>770</v>
      </c>
      <c r="W1076" s="722">
        <v>3.27</v>
      </c>
      <c r="X1076" s="722">
        <v>2.33</v>
      </c>
      <c r="Y1076" s="722" t="s">
        <v>770</v>
      </c>
      <c r="Z1076" s="382" t="s">
        <v>924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7452</v>
      </c>
      <c r="B1077" s="373" t="s">
        <v>7453</v>
      </c>
      <c r="C1077" s="372" t="s">
        <v>15999</v>
      </c>
      <c r="D1077" s="374">
        <v>1101110162191</v>
      </c>
      <c r="E1077" s="372" t="s">
        <v>15887</v>
      </c>
      <c r="F1077" s="375" t="s">
        <v>2482</v>
      </c>
      <c r="G1077" s="375" t="s">
        <v>2483</v>
      </c>
      <c r="H1077" s="375" t="s">
        <v>858</v>
      </c>
      <c r="I1077" s="375" t="s">
        <v>859</v>
      </c>
      <c r="J1077" s="375">
        <v>100053.81802999999</v>
      </c>
      <c r="K1077" s="375">
        <v>-1400.21765</v>
      </c>
      <c r="L1077" s="375">
        <v>-8048.6168799999996</v>
      </c>
      <c r="M1077" s="375">
        <v>52747.409590000003</v>
      </c>
      <c r="N1077" s="372">
        <v>0.312</v>
      </c>
      <c r="O1077" s="704">
        <v>79.040384060275642</v>
      </c>
      <c r="P1077" s="375" t="s">
        <v>619</v>
      </c>
      <c r="Q1077" s="375" t="s">
        <v>619</v>
      </c>
      <c r="R1077" s="696">
        <v>19900720</v>
      </c>
      <c r="S1077" s="375" t="s">
        <v>7454</v>
      </c>
      <c r="T1077" s="697" t="s">
        <v>768</v>
      </c>
      <c r="U1077" s="372" t="s">
        <v>7455</v>
      </c>
      <c r="V1077" s="722">
        <v>0</v>
      </c>
      <c r="W1077" s="722">
        <v>0</v>
      </c>
      <c r="X1077" s="722">
        <v>0</v>
      </c>
      <c r="Y1077" s="722">
        <v>0</v>
      </c>
      <c r="Z1077" s="382" t="s">
        <v>924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7456</v>
      </c>
      <c r="B1078" s="373" t="s">
        <v>7457</v>
      </c>
      <c r="C1078" s="372" t="s">
        <v>7458</v>
      </c>
      <c r="D1078" s="374">
        <v>1101112303305</v>
      </c>
      <c r="E1078" s="372" t="s">
        <v>7459</v>
      </c>
      <c r="F1078" s="375" t="s">
        <v>3177</v>
      </c>
      <c r="G1078" s="375" t="s">
        <v>3178</v>
      </c>
      <c r="H1078" s="375" t="s">
        <v>1334</v>
      </c>
      <c r="I1078" s="375" t="s">
        <v>859</v>
      </c>
      <c r="J1078" s="375">
        <v>43234.199970000001</v>
      </c>
      <c r="K1078" s="375">
        <v>14926.626759999999</v>
      </c>
      <c r="L1078" s="375">
        <v>16424.660530000001</v>
      </c>
      <c r="M1078" s="375">
        <v>47552.474479999997</v>
      </c>
      <c r="N1078" s="372">
        <v>0.51200000000000001</v>
      </c>
      <c r="O1078" s="704">
        <v>0.13862635963186368</v>
      </c>
      <c r="P1078" s="375" t="s">
        <v>619</v>
      </c>
      <c r="Q1078" s="375" t="s">
        <v>619</v>
      </c>
      <c r="R1078" s="696">
        <v>20081024</v>
      </c>
      <c r="S1078" s="375" t="s">
        <v>7460</v>
      </c>
      <c r="T1078" s="697">
        <v>0.20900000000000002</v>
      </c>
      <c r="U1078" s="375" t="s">
        <v>7461</v>
      </c>
      <c r="V1078" s="722">
        <v>9.82</v>
      </c>
      <c r="W1078" s="722">
        <v>3.23</v>
      </c>
      <c r="X1078" s="722">
        <v>3.55</v>
      </c>
      <c r="Y1078" s="722">
        <v>10.97</v>
      </c>
      <c r="Z1078" s="382">
        <v>4.7064437738631337E-2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439</v>
      </c>
      <c r="AF1078" s="372">
        <v>466</v>
      </c>
      <c r="AG1078" s="372">
        <v>494</v>
      </c>
      <c r="AH1078" s="372">
        <v>0</v>
      </c>
    </row>
    <row r="1079" spans="1:34">
      <c r="A1079" s="372" t="s">
        <v>7462</v>
      </c>
      <c r="B1079" s="373" t="s">
        <v>7463</v>
      </c>
      <c r="C1079" s="372" t="s">
        <v>7464</v>
      </c>
      <c r="D1079" s="374">
        <v>1101111902835</v>
      </c>
      <c r="E1079" s="372" t="s">
        <v>7465</v>
      </c>
      <c r="F1079" s="375" t="s">
        <v>2853</v>
      </c>
      <c r="G1079" s="375" t="s">
        <v>2853</v>
      </c>
      <c r="H1079" s="375" t="s">
        <v>1334</v>
      </c>
      <c r="I1079" s="375" t="s">
        <v>859</v>
      </c>
      <c r="J1079" s="375">
        <v>213502.02405000001</v>
      </c>
      <c r="K1079" s="375">
        <v>24169.112789999999</v>
      </c>
      <c r="L1079" s="375">
        <v>19451.49625</v>
      </c>
      <c r="M1079" s="375">
        <v>163681.30958</v>
      </c>
      <c r="N1079" s="372">
        <v>0.54700000000000004</v>
      </c>
      <c r="O1079" s="704">
        <v>51.488523770071069</v>
      </c>
      <c r="P1079" s="375" t="s">
        <v>619</v>
      </c>
      <c r="Q1079" s="372" t="s">
        <v>619</v>
      </c>
      <c r="R1079" s="696">
        <v>20031015</v>
      </c>
      <c r="S1079" s="372" t="s">
        <v>7466</v>
      </c>
      <c r="T1079" s="697">
        <v>0.20900000000000002</v>
      </c>
      <c r="U1079" s="372" t="s">
        <v>7467</v>
      </c>
      <c r="V1079" s="722">
        <v>8</v>
      </c>
      <c r="W1079" s="722">
        <v>1.36</v>
      </c>
      <c r="X1079" s="722">
        <v>0.91</v>
      </c>
      <c r="Y1079" s="722">
        <v>13.3</v>
      </c>
      <c r="Z1079" s="382">
        <v>6.7679838664306713E-2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2238.67</v>
      </c>
      <c r="AF1079" s="372">
        <v>2633.33</v>
      </c>
      <c r="AG1079" s="372">
        <v>2749</v>
      </c>
      <c r="AH1079" s="372">
        <v>0</v>
      </c>
    </row>
    <row r="1080" spans="1:34">
      <c r="A1080" s="372" t="s">
        <v>7468</v>
      </c>
      <c r="B1080" s="373" t="s">
        <v>7469</v>
      </c>
      <c r="C1080" s="372" t="s">
        <v>7470</v>
      </c>
      <c r="D1080" s="374">
        <v>1344110046664</v>
      </c>
      <c r="E1080" s="372" t="s">
        <v>7471</v>
      </c>
      <c r="F1080" s="375" t="s">
        <v>5298</v>
      </c>
      <c r="G1080" s="375" t="s">
        <v>5298</v>
      </c>
      <c r="H1080" s="375" t="s">
        <v>1313</v>
      </c>
      <c r="I1080" s="375" t="s">
        <v>751</v>
      </c>
      <c r="J1080" s="375">
        <v>1712533.8798400001</v>
      </c>
      <c r="K1080" s="375">
        <v>111870.22087</v>
      </c>
      <c r="L1080" s="375">
        <v>70169.545169999998</v>
      </c>
      <c r="M1080" s="375">
        <v>482377.46655999997</v>
      </c>
      <c r="N1080" s="372">
        <v>0.76700000000000002</v>
      </c>
      <c r="O1080" s="704">
        <v>428.15462149775681</v>
      </c>
      <c r="P1080" s="375" t="s">
        <v>619</v>
      </c>
      <c r="Q1080" s="372" t="s">
        <v>619</v>
      </c>
      <c r="R1080" s="696">
        <v>20110216</v>
      </c>
      <c r="S1080" s="372" t="s">
        <v>7472</v>
      </c>
      <c r="T1080" s="697">
        <v>0.23100000000000001</v>
      </c>
      <c r="U1080" s="372" t="s">
        <v>7473</v>
      </c>
      <c r="V1080" s="722">
        <v>4</v>
      </c>
      <c r="W1080" s="722">
        <v>0.36</v>
      </c>
      <c r="X1080" s="722">
        <v>0.1</v>
      </c>
      <c r="Y1080" s="722">
        <v>3.39</v>
      </c>
      <c r="Z1080" s="382" t="s">
        <v>924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7474</v>
      </c>
      <c r="B1081" s="373" t="s">
        <v>7475</v>
      </c>
      <c r="C1081" s="372" t="s">
        <v>7476</v>
      </c>
      <c r="D1081" s="374">
        <v>1101110048490</v>
      </c>
      <c r="E1081" s="372" t="s">
        <v>7477</v>
      </c>
      <c r="F1081" s="375" t="s">
        <v>2167</v>
      </c>
      <c r="G1081" s="375" t="s">
        <v>2168</v>
      </c>
      <c r="H1081" s="375" t="s">
        <v>1465</v>
      </c>
      <c r="I1081" s="375" t="s">
        <v>751</v>
      </c>
      <c r="J1081" s="375">
        <v>704805.55815000006</v>
      </c>
      <c r="K1081" s="375">
        <v>13748.679319999999</v>
      </c>
      <c r="L1081" s="375">
        <v>11951.67441</v>
      </c>
      <c r="M1081" s="375">
        <v>194454.42384</v>
      </c>
      <c r="N1081" s="372">
        <v>0.54200000000000004</v>
      </c>
      <c r="O1081" s="704">
        <v>63.441519480926779</v>
      </c>
      <c r="P1081" s="375" t="s">
        <v>619</v>
      </c>
      <c r="Q1081" s="375" t="s">
        <v>619</v>
      </c>
      <c r="R1081" s="696">
        <v>19770625</v>
      </c>
      <c r="S1081" s="375" t="s">
        <v>7478</v>
      </c>
      <c r="T1081" s="697">
        <v>0.20900000000000002</v>
      </c>
      <c r="U1081" s="372" t="s">
        <v>7479</v>
      </c>
      <c r="V1081" s="722">
        <v>17.32</v>
      </c>
      <c r="W1081" s="722">
        <v>1.19</v>
      </c>
      <c r="X1081" s="722">
        <v>0.33</v>
      </c>
      <c r="Y1081" s="722">
        <v>14.12</v>
      </c>
      <c r="Z1081" s="382">
        <v>5.8508382746048193E-2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7254</v>
      </c>
      <c r="AF1081" s="372">
        <v>7824</v>
      </c>
      <c r="AG1081" s="372">
        <v>8527</v>
      </c>
      <c r="AH1081" s="372">
        <v>0</v>
      </c>
    </row>
    <row r="1082" spans="1:34">
      <c r="A1082" s="372" t="s">
        <v>7480</v>
      </c>
      <c r="B1082" s="373" t="s">
        <v>7481</v>
      </c>
      <c r="C1082" s="372" t="s">
        <v>7482</v>
      </c>
      <c r="D1082" s="374">
        <v>1351110074149</v>
      </c>
      <c r="E1082" s="372" t="s">
        <v>7483</v>
      </c>
      <c r="F1082" s="375" t="s">
        <v>2715</v>
      </c>
      <c r="G1082" s="375" t="s">
        <v>2715</v>
      </c>
      <c r="H1082" s="375" t="s">
        <v>1334</v>
      </c>
      <c r="I1082" s="375" t="s">
        <v>859</v>
      </c>
      <c r="J1082" s="375">
        <v>106355.44592</v>
      </c>
      <c r="K1082" s="375">
        <v>874.30466999999999</v>
      </c>
      <c r="L1082" s="375">
        <v>4670.7301200000002</v>
      </c>
      <c r="M1082" s="375">
        <v>158127.29466000001</v>
      </c>
      <c r="N1082" s="372">
        <v>0.65500000000000003</v>
      </c>
      <c r="O1082" s="704">
        <v>36.938317440277665</v>
      </c>
      <c r="P1082" s="375" t="s">
        <v>619</v>
      </c>
      <c r="Q1082" s="372" t="s">
        <v>619</v>
      </c>
      <c r="R1082" s="696">
        <v>20101026</v>
      </c>
      <c r="S1082" s="372" t="s">
        <v>7484</v>
      </c>
      <c r="T1082" s="697">
        <v>0.20900000000000002</v>
      </c>
      <c r="U1082" s="372" t="s">
        <v>7485</v>
      </c>
      <c r="V1082" s="722">
        <v>10.130000000000001</v>
      </c>
      <c r="W1082" s="722">
        <v>0.78</v>
      </c>
      <c r="X1082" s="722">
        <v>1.1499999999999999</v>
      </c>
      <c r="Y1082" s="722">
        <v>11.55</v>
      </c>
      <c r="Z1082" s="382" t="s">
        <v>924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7486</v>
      </c>
      <c r="B1083" s="373" t="s">
        <v>7487</v>
      </c>
      <c r="C1083" s="372" t="s">
        <v>7488</v>
      </c>
      <c r="D1083" s="374">
        <v>1601110119712</v>
      </c>
      <c r="E1083" s="372" t="s">
        <v>7489</v>
      </c>
      <c r="F1083" s="372" t="s">
        <v>3177</v>
      </c>
      <c r="G1083" s="375" t="s">
        <v>3178</v>
      </c>
      <c r="H1083" s="375" t="s">
        <v>814</v>
      </c>
      <c r="I1083" s="375" t="s">
        <v>751</v>
      </c>
      <c r="J1083" s="375">
        <v>1136974.64586</v>
      </c>
      <c r="K1083" s="375">
        <v>4347.1880000000001</v>
      </c>
      <c r="L1083" s="375">
        <v>5815.5544499999996</v>
      </c>
      <c r="M1083" s="375">
        <v>198439.19248</v>
      </c>
      <c r="N1083" s="372">
        <v>0.72099999999999997</v>
      </c>
      <c r="O1083" s="704">
        <v>0</v>
      </c>
      <c r="P1083" s="375" t="s">
        <v>619</v>
      </c>
      <c r="Q1083" s="372" t="s">
        <v>619</v>
      </c>
      <c r="R1083" s="696">
        <v>20100916</v>
      </c>
      <c r="S1083" s="372" t="s">
        <v>7490</v>
      </c>
      <c r="T1083" s="697">
        <v>0.20900000000000002</v>
      </c>
      <c r="U1083" s="372" t="s">
        <v>7491</v>
      </c>
      <c r="V1083" s="722">
        <v>5.88</v>
      </c>
      <c r="W1083" s="722">
        <v>0.67</v>
      </c>
      <c r="X1083" s="722">
        <v>0.12</v>
      </c>
      <c r="Y1083" s="722">
        <v>44.55</v>
      </c>
      <c r="Z1083" s="382" t="s">
        <v>924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7492</v>
      </c>
      <c r="B1084" s="373" t="s">
        <v>7493</v>
      </c>
      <c r="C1084" s="372" t="s">
        <v>7494</v>
      </c>
      <c r="D1084" s="374">
        <v>1311110164978</v>
      </c>
      <c r="E1084" s="372" t="s">
        <v>7495</v>
      </c>
      <c r="F1084" s="375" t="s">
        <v>1182</v>
      </c>
      <c r="G1084" s="375" t="s">
        <v>3112</v>
      </c>
      <c r="H1084" s="375" t="s">
        <v>858</v>
      </c>
      <c r="I1084" s="375" t="s">
        <v>859</v>
      </c>
      <c r="J1084" s="375">
        <v>92007.948040000003</v>
      </c>
      <c r="K1084" s="375">
        <v>2137.4995199999998</v>
      </c>
      <c r="L1084" s="375">
        <v>-4420.9029399999999</v>
      </c>
      <c r="M1084" s="375">
        <v>142901.3547</v>
      </c>
      <c r="N1084" s="372">
        <v>0.81699999999999995</v>
      </c>
      <c r="O1084" s="704">
        <v>40.389235875339367</v>
      </c>
      <c r="P1084" s="375" t="s">
        <v>619</v>
      </c>
      <c r="Q1084" s="375" t="s">
        <v>619</v>
      </c>
      <c r="R1084" s="696">
        <v>20170713</v>
      </c>
      <c r="S1084" s="375" t="s">
        <v>7496</v>
      </c>
      <c r="T1084" s="697" t="s">
        <v>768</v>
      </c>
      <c r="U1084" s="372" t="s">
        <v>7497</v>
      </c>
      <c r="V1084" s="722">
        <v>24.94</v>
      </c>
      <c r="W1084" s="722">
        <v>0.64</v>
      </c>
      <c r="X1084" s="722">
        <v>0.85</v>
      </c>
      <c r="Y1084" s="722">
        <v>216.74</v>
      </c>
      <c r="Z1084" s="382" t="s">
        <v>924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7498</v>
      </c>
      <c r="B1085" s="373" t="s">
        <v>7499</v>
      </c>
      <c r="C1085" s="372" t="s">
        <v>7500</v>
      </c>
      <c r="D1085" s="374">
        <v>1201110228610</v>
      </c>
      <c r="E1085" s="372" t="s">
        <v>7501</v>
      </c>
      <c r="F1085" s="372" t="s">
        <v>995</v>
      </c>
      <c r="G1085" s="375" t="s">
        <v>996</v>
      </c>
      <c r="H1085" s="375" t="s">
        <v>858</v>
      </c>
      <c r="I1085" s="375" t="s">
        <v>859</v>
      </c>
      <c r="J1085" s="375">
        <v>58688.54896</v>
      </c>
      <c r="K1085" s="375">
        <v>-364.27188999999998</v>
      </c>
      <c r="L1085" s="375">
        <v>-436.48257999999998</v>
      </c>
      <c r="M1085" s="375">
        <v>53175.824890000004</v>
      </c>
      <c r="N1085" s="372">
        <v>1.349</v>
      </c>
      <c r="O1085" s="704">
        <v>10.779173466079463</v>
      </c>
      <c r="P1085" s="375" t="s">
        <v>619</v>
      </c>
      <c r="Q1085" s="375" t="s">
        <v>619</v>
      </c>
      <c r="R1085" s="696">
        <v>20150925</v>
      </c>
      <c r="S1085" s="375" t="s">
        <v>7502</v>
      </c>
      <c r="T1085" s="697" t="s">
        <v>768</v>
      </c>
      <c r="U1085" s="372" t="s">
        <v>7503</v>
      </c>
      <c r="V1085" s="722">
        <v>0</v>
      </c>
      <c r="W1085" s="722">
        <v>0</v>
      </c>
      <c r="X1085" s="722">
        <v>0</v>
      </c>
      <c r="Y1085" s="722">
        <v>0</v>
      </c>
      <c r="Z1085" s="382" t="s">
        <v>924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7504</v>
      </c>
      <c r="B1086" s="373" t="s">
        <v>7505</v>
      </c>
      <c r="C1086" s="372" t="s">
        <v>16000</v>
      </c>
      <c r="D1086" s="374">
        <v>1812110000758</v>
      </c>
      <c r="E1086" s="372" t="s">
        <v>16274</v>
      </c>
      <c r="F1086" s="372" t="s">
        <v>1860</v>
      </c>
      <c r="G1086" s="375" t="s">
        <v>1861</v>
      </c>
      <c r="H1086" s="375" t="s">
        <v>789</v>
      </c>
      <c r="I1086" s="375" t="s">
        <v>751</v>
      </c>
      <c r="J1086" s="375">
        <v>1781718.1578500001</v>
      </c>
      <c r="K1086" s="375">
        <v>64187.466009999996</v>
      </c>
      <c r="L1086" s="375">
        <v>44928.39645</v>
      </c>
      <c r="M1086" s="375">
        <v>448557.58955999999</v>
      </c>
      <c r="N1086" s="372">
        <v>1.024</v>
      </c>
      <c r="O1086" s="704">
        <v>251.4337374328878</v>
      </c>
      <c r="P1086" s="375" t="s">
        <v>619</v>
      </c>
      <c r="Q1086" s="375" t="s">
        <v>619</v>
      </c>
      <c r="R1086" s="696">
        <v>19971226</v>
      </c>
      <c r="S1086" s="375" t="s">
        <v>7506</v>
      </c>
      <c r="T1086" s="697">
        <v>0.23100000000000001</v>
      </c>
      <c r="U1086" s="375" t="s">
        <v>7507</v>
      </c>
      <c r="V1086" s="722">
        <v>1.85</v>
      </c>
      <c r="W1086" s="722">
        <v>0.3</v>
      </c>
      <c r="X1086" s="722">
        <v>0.08</v>
      </c>
      <c r="Y1086" s="722">
        <v>4.45</v>
      </c>
      <c r="Z1086" s="382" t="s">
        <v>924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7508</v>
      </c>
      <c r="B1087" s="373" t="s">
        <v>7509</v>
      </c>
      <c r="C1087" s="372" t="s">
        <v>16001</v>
      </c>
      <c r="D1087" s="374">
        <v>1101116384963</v>
      </c>
      <c r="E1087" s="372" t="s">
        <v>7510</v>
      </c>
      <c r="F1087" s="375" t="s">
        <v>1367</v>
      </c>
      <c r="G1087" s="375" t="s">
        <v>1367</v>
      </c>
      <c r="H1087" s="375" t="s">
        <v>858</v>
      </c>
      <c r="I1087" s="375" t="s">
        <v>859</v>
      </c>
      <c r="J1087" s="375">
        <v>12791.20023</v>
      </c>
      <c r="K1087" s="375">
        <v>-11551.30256</v>
      </c>
      <c r="L1087" s="375">
        <v>-9381.3336099999997</v>
      </c>
      <c r="M1087" s="375">
        <v>6434.5988100000004</v>
      </c>
      <c r="N1087" s="372" t="s">
        <v>1023</v>
      </c>
      <c r="O1087" s="704">
        <v>25.523324424706161</v>
      </c>
      <c r="P1087" s="375" t="s">
        <v>619</v>
      </c>
      <c r="Q1087" s="372" t="s">
        <v>619</v>
      </c>
      <c r="R1087" s="696">
        <v>20230831</v>
      </c>
      <c r="S1087" s="375" t="s">
        <v>7511</v>
      </c>
      <c r="T1087" s="697" t="s">
        <v>768</v>
      </c>
      <c r="U1087" s="375" t="s">
        <v>7512</v>
      </c>
      <c r="V1087" s="722" t="s">
        <v>770</v>
      </c>
      <c r="W1087" s="722">
        <v>8.59</v>
      </c>
      <c r="X1087" s="722">
        <v>4.21</v>
      </c>
      <c r="Y1087" s="722" t="s">
        <v>770</v>
      </c>
      <c r="Z1087" s="382" t="s">
        <v>924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7513</v>
      </c>
      <c r="B1088" s="373" t="s">
        <v>7514</v>
      </c>
      <c r="C1088" s="372" t="s">
        <v>7515</v>
      </c>
      <c r="D1088" s="374">
        <v>1341110002878</v>
      </c>
      <c r="E1088" s="372" t="s">
        <v>7516</v>
      </c>
      <c r="F1088" s="375" t="s">
        <v>890</v>
      </c>
      <c r="G1088" s="375" t="s">
        <v>891</v>
      </c>
      <c r="H1088" s="375" t="s">
        <v>852</v>
      </c>
      <c r="I1088" s="375" t="s">
        <v>751</v>
      </c>
      <c r="J1088" s="375">
        <v>1234827.25153</v>
      </c>
      <c r="K1088" s="375">
        <v>78462.247579999996</v>
      </c>
      <c r="L1088" s="375">
        <v>102507.77349000001</v>
      </c>
      <c r="M1088" s="375">
        <v>748605.06469999999</v>
      </c>
      <c r="N1088" s="372">
        <v>0.81200000000000006</v>
      </c>
      <c r="O1088" s="704">
        <v>95.904989520594981</v>
      </c>
      <c r="P1088" s="375" t="s">
        <v>619</v>
      </c>
      <c r="Q1088" s="372" t="s">
        <v>619</v>
      </c>
      <c r="R1088" s="696">
        <v>19730810</v>
      </c>
      <c r="S1088" s="372" t="s">
        <v>2635</v>
      </c>
      <c r="T1088" s="697">
        <v>0.23100000000000001</v>
      </c>
      <c r="U1088" s="372" t="s">
        <v>7517</v>
      </c>
      <c r="V1088" s="722">
        <v>4.57</v>
      </c>
      <c r="W1088" s="722">
        <v>0.39</v>
      </c>
      <c r="X1088" s="722">
        <v>0.15</v>
      </c>
      <c r="Y1088" s="722">
        <v>3.52</v>
      </c>
      <c r="Z1088" s="382">
        <v>2.5055541199066056E-2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12700</v>
      </c>
      <c r="AF1088" s="372">
        <v>13060</v>
      </c>
      <c r="AG1088" s="372">
        <v>13410</v>
      </c>
      <c r="AH1088" s="372">
        <v>0</v>
      </c>
    </row>
    <row r="1089" spans="1:34">
      <c r="A1089" s="372" t="s">
        <v>7518</v>
      </c>
      <c r="B1089" s="373" t="s">
        <v>7519</v>
      </c>
      <c r="C1089" s="372" t="s">
        <v>7520</v>
      </c>
      <c r="D1089" s="374">
        <v>1101113500249</v>
      </c>
      <c r="E1089" s="372" t="s">
        <v>7521</v>
      </c>
      <c r="F1089" s="375" t="s">
        <v>1093</v>
      </c>
      <c r="G1089" s="375" t="s">
        <v>1094</v>
      </c>
      <c r="H1089" s="375" t="s">
        <v>823</v>
      </c>
      <c r="I1089" s="375" t="s">
        <v>751</v>
      </c>
      <c r="J1089" s="375">
        <v>180654.66560000001</v>
      </c>
      <c r="K1089" s="375">
        <v>15545.993570000001</v>
      </c>
      <c r="L1089" s="375">
        <v>7716.4165300000004</v>
      </c>
      <c r="M1089" s="375">
        <v>107044.15514</v>
      </c>
      <c r="N1089" s="372">
        <v>0.36899999999999999</v>
      </c>
      <c r="O1089" s="704">
        <v>40.393266647903722</v>
      </c>
      <c r="P1089" s="375" t="s">
        <v>619</v>
      </c>
      <c r="Q1089" s="372" t="s">
        <v>619</v>
      </c>
      <c r="R1089" s="696">
        <v>20150710</v>
      </c>
      <c r="S1089" s="372" t="s">
        <v>5247</v>
      </c>
      <c r="T1089" s="697">
        <v>0.20900000000000002</v>
      </c>
      <c r="U1089" s="375" t="s">
        <v>7522</v>
      </c>
      <c r="V1089" s="722">
        <v>13.65</v>
      </c>
      <c r="W1089" s="722">
        <v>2.36</v>
      </c>
      <c r="X1089" s="722">
        <v>1.35</v>
      </c>
      <c r="Y1089" s="722">
        <v>40.369999999999997</v>
      </c>
      <c r="Z1089" s="382">
        <v>0.14146293561482826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1902.33</v>
      </c>
      <c r="AF1089" s="372">
        <v>2230.67</v>
      </c>
      <c r="AG1089" s="372">
        <v>2565</v>
      </c>
      <c r="AH1089" s="372">
        <v>0</v>
      </c>
    </row>
    <row r="1090" spans="1:34">
      <c r="A1090" s="372" t="s">
        <v>7523</v>
      </c>
      <c r="B1090" s="373" t="s">
        <v>7524</v>
      </c>
      <c r="C1090" s="372" t="s">
        <v>7525</v>
      </c>
      <c r="D1090" s="374">
        <v>1701110271528</v>
      </c>
      <c r="E1090" s="372" t="s">
        <v>7526</v>
      </c>
      <c r="F1090" s="375" t="s">
        <v>1868</v>
      </c>
      <c r="G1090" s="375" t="s">
        <v>7527</v>
      </c>
      <c r="H1090" s="375" t="s">
        <v>858</v>
      </c>
      <c r="I1090" s="375" t="s">
        <v>859</v>
      </c>
      <c r="J1090" s="375">
        <v>27415.614750000001</v>
      </c>
      <c r="K1090" s="375">
        <v>-10612.197399999999</v>
      </c>
      <c r="L1090" s="375">
        <v>-6928.3226400000003</v>
      </c>
      <c r="M1090" s="375">
        <v>130324.62127</v>
      </c>
      <c r="N1090" s="372">
        <v>0.75900000000000001</v>
      </c>
      <c r="O1090" s="704">
        <v>9.9441892828135163</v>
      </c>
      <c r="P1090" s="375" t="s">
        <v>619</v>
      </c>
      <c r="Q1090" s="375" t="s">
        <v>619</v>
      </c>
      <c r="R1090" s="696">
        <v>20150413</v>
      </c>
      <c r="S1090" s="375" t="s">
        <v>7528</v>
      </c>
      <c r="T1090" s="697" t="s">
        <v>768</v>
      </c>
      <c r="U1090" s="375" t="s">
        <v>7529</v>
      </c>
      <c r="V1090" s="722" t="s">
        <v>770</v>
      </c>
      <c r="W1090" s="722">
        <v>1.03</v>
      </c>
      <c r="X1090" s="722">
        <v>4.88</v>
      </c>
      <c r="Y1090" s="722" t="s">
        <v>770</v>
      </c>
      <c r="Z1090" s="382" t="s">
        <v>924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7530</v>
      </c>
      <c r="B1091" s="373" t="s">
        <v>7531</v>
      </c>
      <c r="C1091" s="372" t="s">
        <v>7532</v>
      </c>
      <c r="D1091" s="374">
        <v>1501110081963</v>
      </c>
      <c r="E1091" s="372" t="s">
        <v>7533</v>
      </c>
      <c r="F1091" s="375" t="s">
        <v>1753</v>
      </c>
      <c r="G1091" s="375" t="s">
        <v>1753</v>
      </c>
      <c r="H1091" s="375" t="s">
        <v>858</v>
      </c>
      <c r="I1091" s="375" t="s">
        <v>859</v>
      </c>
      <c r="J1091" s="375">
        <v>28829.055990000001</v>
      </c>
      <c r="K1091" s="375">
        <v>3096.0630000000001</v>
      </c>
      <c r="L1091" s="375">
        <v>4130.4647999999997</v>
      </c>
      <c r="M1091" s="375">
        <v>57993.58034</v>
      </c>
      <c r="N1091" s="372">
        <v>1.2390000000000001</v>
      </c>
      <c r="O1091" s="704">
        <v>0</v>
      </c>
      <c r="P1091" s="375" t="s">
        <v>619</v>
      </c>
      <c r="Q1091" s="372" t="s">
        <v>619</v>
      </c>
      <c r="R1091" s="696">
        <v>20210910</v>
      </c>
      <c r="S1091" s="372" t="s">
        <v>7534</v>
      </c>
      <c r="T1091" s="697">
        <v>0.20900000000000002</v>
      </c>
      <c r="U1091" s="372" t="s">
        <v>7535</v>
      </c>
      <c r="V1091" s="722">
        <v>0</v>
      </c>
      <c r="W1091" s="722">
        <v>0</v>
      </c>
      <c r="X1091" s="722">
        <v>0</v>
      </c>
      <c r="Y1091" s="722">
        <v>0</v>
      </c>
      <c r="Z1091" s="382" t="s">
        <v>924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7536</v>
      </c>
      <c r="B1092" s="373" t="s">
        <v>7537</v>
      </c>
      <c r="C1092" s="372" t="s">
        <v>7538</v>
      </c>
      <c r="D1092" s="374">
        <v>1101110012437</v>
      </c>
      <c r="E1092" s="372" t="s">
        <v>7539</v>
      </c>
      <c r="F1092" s="372" t="s">
        <v>1944</v>
      </c>
      <c r="G1092" s="375" t="s">
        <v>2495</v>
      </c>
      <c r="H1092" s="375" t="s">
        <v>823</v>
      </c>
      <c r="I1092" s="375" t="s">
        <v>751</v>
      </c>
      <c r="J1092" s="375">
        <v>125451.31152</v>
      </c>
      <c r="K1092" s="375">
        <v>-2008.1811700000001</v>
      </c>
      <c r="L1092" s="375">
        <v>-13149.69097</v>
      </c>
      <c r="M1092" s="375">
        <v>711136.04498999997</v>
      </c>
      <c r="N1092" s="372">
        <v>0.71299999999999997</v>
      </c>
      <c r="O1092" s="704">
        <v>0.97044297378856403</v>
      </c>
      <c r="P1092" s="375" t="s">
        <v>619</v>
      </c>
      <c r="Q1092" s="375" t="s">
        <v>619</v>
      </c>
      <c r="R1092" s="696">
        <v>19851223</v>
      </c>
      <c r="S1092" s="375" t="s">
        <v>7540</v>
      </c>
      <c r="T1092" s="697" t="s">
        <v>768</v>
      </c>
      <c r="U1092" s="372" t="s">
        <v>7541</v>
      </c>
      <c r="V1092" s="722">
        <v>0</v>
      </c>
      <c r="W1092" s="722">
        <v>0</v>
      </c>
      <c r="X1092" s="722">
        <v>0</v>
      </c>
      <c r="Y1092" s="722">
        <v>0</v>
      </c>
      <c r="Z1092" s="382" t="s">
        <v>924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7542</v>
      </c>
      <c r="B1093" s="373" t="s">
        <v>7543</v>
      </c>
      <c r="C1093" s="372" t="s">
        <v>7544</v>
      </c>
      <c r="D1093" s="374">
        <v>1101111549108</v>
      </c>
      <c r="E1093" s="372" t="s">
        <v>7545</v>
      </c>
      <c r="F1093" s="372" t="s">
        <v>5511</v>
      </c>
      <c r="G1093" s="375" t="s">
        <v>5511</v>
      </c>
      <c r="H1093" s="375" t="s">
        <v>858</v>
      </c>
      <c r="I1093" s="375" t="s">
        <v>859</v>
      </c>
      <c r="J1093" s="375">
        <v>14082.793309999999</v>
      </c>
      <c r="K1093" s="375">
        <v>-7124.98128</v>
      </c>
      <c r="L1093" s="375">
        <v>-349531.22940000001</v>
      </c>
      <c r="M1093" s="375">
        <v>53705.98472</v>
      </c>
      <c r="N1093" s="372">
        <v>1.169</v>
      </c>
      <c r="O1093" s="704">
        <v>1.7742426060809664</v>
      </c>
      <c r="P1093" s="375" t="s">
        <v>619</v>
      </c>
      <c r="Q1093" s="375" t="s">
        <v>619</v>
      </c>
      <c r="R1093" s="696">
        <v>20040102</v>
      </c>
      <c r="S1093" s="375" t="s">
        <v>7546</v>
      </c>
      <c r="T1093" s="697" t="s">
        <v>768</v>
      </c>
      <c r="U1093" s="372" t="s">
        <v>7547</v>
      </c>
      <c r="V1093" s="722">
        <v>0</v>
      </c>
      <c r="W1093" s="722">
        <v>0</v>
      </c>
      <c r="X1093" s="722">
        <v>0</v>
      </c>
      <c r="Y1093" s="722">
        <v>0</v>
      </c>
      <c r="Z1093" s="382" t="s">
        <v>924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7548</v>
      </c>
      <c r="B1094" s="373" t="s">
        <v>7549</v>
      </c>
      <c r="C1094" s="372" t="s">
        <v>7550</v>
      </c>
      <c r="D1094" s="374">
        <v>1301110007765</v>
      </c>
      <c r="E1094" s="372" t="s">
        <v>7551</v>
      </c>
      <c r="F1094" s="375" t="s">
        <v>1573</v>
      </c>
      <c r="G1094" s="375" t="s">
        <v>1574</v>
      </c>
      <c r="H1094" s="375" t="s">
        <v>858</v>
      </c>
      <c r="I1094" s="375" t="s">
        <v>859</v>
      </c>
      <c r="J1094" s="375">
        <v>70559.466329999996</v>
      </c>
      <c r="K1094" s="375">
        <v>2882.7725099999998</v>
      </c>
      <c r="L1094" s="375">
        <v>3495.32294</v>
      </c>
      <c r="M1094" s="375">
        <v>86031.225210000004</v>
      </c>
      <c r="N1094" s="372">
        <v>1.083</v>
      </c>
      <c r="O1094" s="704">
        <v>0.11240136378517163</v>
      </c>
      <c r="P1094" s="375" t="s">
        <v>619</v>
      </c>
      <c r="Q1094" s="375" t="s">
        <v>619</v>
      </c>
      <c r="R1094" s="696">
        <v>19940831</v>
      </c>
      <c r="S1094" s="375" t="s">
        <v>7552</v>
      </c>
      <c r="T1094" s="697">
        <v>0.20900000000000002</v>
      </c>
      <c r="U1094" s="375" t="s">
        <v>7553</v>
      </c>
      <c r="V1094" s="722">
        <v>0</v>
      </c>
      <c r="W1094" s="722">
        <v>0</v>
      </c>
      <c r="X1094" s="722">
        <v>0</v>
      </c>
      <c r="Y1094" s="722">
        <v>0</v>
      </c>
      <c r="Z1094" s="382" t="s">
        <v>924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7554</v>
      </c>
      <c r="B1095" s="373" t="s">
        <v>7555</v>
      </c>
      <c r="C1095" s="372" t="s">
        <v>7556</v>
      </c>
      <c r="D1095" s="374">
        <v>2111110040569</v>
      </c>
      <c r="E1095" s="372" t="s">
        <v>7557</v>
      </c>
      <c r="F1095" s="375" t="s">
        <v>1354</v>
      </c>
      <c r="G1095" s="375" t="s">
        <v>1354</v>
      </c>
      <c r="H1095" s="375" t="s">
        <v>858</v>
      </c>
      <c r="I1095" s="375" t="s">
        <v>859</v>
      </c>
      <c r="J1095" s="375">
        <v>56579.009109999999</v>
      </c>
      <c r="K1095" s="375">
        <v>9453.9083900000005</v>
      </c>
      <c r="L1095" s="375">
        <v>6887.7809600000001</v>
      </c>
      <c r="M1095" s="375">
        <v>67168.954800000007</v>
      </c>
      <c r="N1095" s="372">
        <v>0.87</v>
      </c>
      <c r="O1095" s="704">
        <v>36.299155953524384</v>
      </c>
      <c r="P1095" s="375" t="s">
        <v>619</v>
      </c>
      <c r="Q1095" s="375" t="s">
        <v>619</v>
      </c>
      <c r="R1095" s="696">
        <v>20221104</v>
      </c>
      <c r="S1095" s="375" t="s">
        <v>7558</v>
      </c>
      <c r="T1095" s="697">
        <v>0.20900000000000002</v>
      </c>
      <c r="U1095" s="372" t="s">
        <v>7559</v>
      </c>
      <c r="V1095" s="722">
        <v>11</v>
      </c>
      <c r="W1095" s="722">
        <v>1.75</v>
      </c>
      <c r="X1095" s="722">
        <v>2.2599999999999998</v>
      </c>
      <c r="Y1095" s="722">
        <v>17.98</v>
      </c>
      <c r="Z1095" s="382" t="s">
        <v>924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745.9</v>
      </c>
      <c r="AF1095" s="372">
        <v>1007</v>
      </c>
      <c r="AG1095" s="372">
        <v>0</v>
      </c>
      <c r="AH1095" s="372">
        <v>0</v>
      </c>
    </row>
    <row r="1096" spans="1:34">
      <c r="A1096" s="372" t="s">
        <v>7560</v>
      </c>
      <c r="B1096" s="373" t="s">
        <v>7561</v>
      </c>
      <c r="C1096" s="372" t="s">
        <v>7562</v>
      </c>
      <c r="D1096" s="374">
        <v>1101111773872</v>
      </c>
      <c r="E1096" s="372" t="s">
        <v>7563</v>
      </c>
      <c r="F1096" s="372" t="s">
        <v>1052</v>
      </c>
      <c r="G1096" s="375" t="s">
        <v>16101</v>
      </c>
      <c r="H1096" s="375" t="s">
        <v>858</v>
      </c>
      <c r="I1096" s="375" t="s">
        <v>859</v>
      </c>
      <c r="J1096" s="375">
        <v>80638.593370000002</v>
      </c>
      <c r="K1096" s="375">
        <v>-2330.1167300000002</v>
      </c>
      <c r="L1096" s="375">
        <v>-9606.2065600000005</v>
      </c>
      <c r="M1096" s="375">
        <v>74137.575159999993</v>
      </c>
      <c r="N1096" s="372">
        <v>0.90100000000000002</v>
      </c>
      <c r="O1096" s="704">
        <v>31.364155800164813</v>
      </c>
      <c r="P1096" s="375" t="s">
        <v>619</v>
      </c>
      <c r="Q1096" s="372" t="s">
        <v>619</v>
      </c>
      <c r="R1096" s="696">
        <v>20091009</v>
      </c>
      <c r="S1096" s="372" t="s">
        <v>7564</v>
      </c>
      <c r="T1096" s="697" t="s">
        <v>768</v>
      </c>
      <c r="U1096" s="372" t="s">
        <v>7565</v>
      </c>
      <c r="V1096" s="722">
        <v>61.38</v>
      </c>
      <c r="W1096" s="722">
        <v>1.98</v>
      </c>
      <c r="X1096" s="722">
        <v>1.91</v>
      </c>
      <c r="Y1096" s="722" t="s">
        <v>770</v>
      </c>
      <c r="Z1096" s="382" t="s">
        <v>924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7566</v>
      </c>
      <c r="B1097" s="373" t="s">
        <v>7567</v>
      </c>
      <c r="C1097" s="372" t="s">
        <v>7568</v>
      </c>
      <c r="D1097" s="374">
        <v>1101111626188</v>
      </c>
      <c r="E1097" s="372" t="s">
        <v>7569</v>
      </c>
      <c r="F1097" s="375" t="s">
        <v>1793</v>
      </c>
      <c r="G1097" s="375" t="s">
        <v>2794</v>
      </c>
      <c r="H1097" s="375" t="s">
        <v>858</v>
      </c>
      <c r="I1097" s="375" t="s">
        <v>859</v>
      </c>
      <c r="J1097" s="375">
        <v>167586.40677999999</v>
      </c>
      <c r="K1097" s="375">
        <v>7244.07665</v>
      </c>
      <c r="L1097" s="375">
        <v>1106.51693</v>
      </c>
      <c r="M1097" s="375">
        <v>130773.33848999999</v>
      </c>
      <c r="N1097" s="372">
        <v>1.0469999999999999</v>
      </c>
      <c r="O1097" s="704">
        <v>7.257917091146501</v>
      </c>
      <c r="P1097" s="375" t="s">
        <v>619</v>
      </c>
      <c r="Q1097" s="375" t="s">
        <v>619</v>
      </c>
      <c r="R1097" s="696">
        <v>20060926</v>
      </c>
      <c r="S1097" s="375" t="s">
        <v>7570</v>
      </c>
      <c r="T1097" s="697">
        <v>0.20900000000000002</v>
      </c>
      <c r="U1097" s="375" t="s">
        <v>15888</v>
      </c>
      <c r="V1097" s="722">
        <v>10.76</v>
      </c>
      <c r="W1097" s="722">
        <v>0.83</v>
      </c>
      <c r="X1097" s="722">
        <v>0.6</v>
      </c>
      <c r="Y1097" s="722">
        <v>172.77</v>
      </c>
      <c r="Z1097" s="382" t="s">
        <v>924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7571</v>
      </c>
      <c r="B1098" s="373" t="s">
        <v>7572</v>
      </c>
      <c r="C1098" s="372" t="s">
        <v>7573</v>
      </c>
      <c r="D1098" s="374">
        <v>1101110033433</v>
      </c>
      <c r="E1098" s="372" t="s">
        <v>7574</v>
      </c>
      <c r="F1098" s="372" t="s">
        <v>4296</v>
      </c>
      <c r="G1098" s="375" t="s">
        <v>4296</v>
      </c>
      <c r="H1098" s="375" t="s">
        <v>965</v>
      </c>
      <c r="I1098" s="375" t="s">
        <v>751</v>
      </c>
      <c r="J1098" s="375">
        <v>192632.99348</v>
      </c>
      <c r="K1098" s="375">
        <v>20098.181339999999</v>
      </c>
      <c r="L1098" s="375">
        <v>18820.36637</v>
      </c>
      <c r="M1098" s="375">
        <v>437920.05676000001</v>
      </c>
      <c r="N1098" s="372">
        <v>0.54800000000000004</v>
      </c>
      <c r="O1098" s="704">
        <v>0.48939419352871216</v>
      </c>
      <c r="P1098" s="375" t="s">
        <v>619</v>
      </c>
      <c r="Q1098" s="375" t="s">
        <v>619</v>
      </c>
      <c r="R1098" s="696">
        <v>19891110</v>
      </c>
      <c r="S1098" s="375" t="s">
        <v>7575</v>
      </c>
      <c r="T1098" s="697">
        <v>0.20900000000000002</v>
      </c>
      <c r="U1098" s="372" t="s">
        <v>7576</v>
      </c>
      <c r="V1098" s="722">
        <v>5.96</v>
      </c>
      <c r="W1098" s="722">
        <v>0.32</v>
      </c>
      <c r="X1098" s="722">
        <v>0.75</v>
      </c>
      <c r="Y1098" s="722">
        <v>9.5500000000000007</v>
      </c>
      <c r="Z1098" s="382" t="s">
        <v>924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7577</v>
      </c>
      <c r="B1099" s="373" t="s">
        <v>7578</v>
      </c>
      <c r="C1099" s="372" t="s">
        <v>7579</v>
      </c>
      <c r="D1099" s="374">
        <v>1101110003262</v>
      </c>
      <c r="E1099" s="372" t="s">
        <v>7580</v>
      </c>
      <c r="F1099" s="375" t="s">
        <v>2622</v>
      </c>
      <c r="G1099" s="375" t="s">
        <v>2623</v>
      </c>
      <c r="H1099" s="375" t="s">
        <v>814</v>
      </c>
      <c r="I1099" s="375" t="s">
        <v>751</v>
      </c>
      <c r="J1099" s="375">
        <v>417749.00540000002</v>
      </c>
      <c r="K1099" s="375">
        <v>22418.81179</v>
      </c>
      <c r="L1099" s="375">
        <v>25334.81106</v>
      </c>
      <c r="M1099" s="375">
        <v>391333.56779</v>
      </c>
      <c r="N1099" s="372">
        <v>0.55900000000000005</v>
      </c>
      <c r="O1099" s="704">
        <v>7.4151442493925037</v>
      </c>
      <c r="P1099" s="375" t="s">
        <v>619</v>
      </c>
      <c r="Q1099" s="372" t="s">
        <v>619</v>
      </c>
      <c r="R1099" s="696">
        <v>19560303</v>
      </c>
      <c r="S1099" s="372" t="s">
        <v>2635</v>
      </c>
      <c r="T1099" s="697">
        <v>0.23100000000000001</v>
      </c>
      <c r="U1099" s="372" t="s">
        <v>7581</v>
      </c>
      <c r="V1099" s="722">
        <v>6.53</v>
      </c>
      <c r="W1099" s="722">
        <v>0.38</v>
      </c>
      <c r="X1099" s="722">
        <v>0.32</v>
      </c>
      <c r="Y1099" s="722">
        <v>15.17</v>
      </c>
      <c r="Z1099" s="382" t="s">
        <v>924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7582</v>
      </c>
      <c r="B1100" s="373" t="s">
        <v>7583</v>
      </c>
      <c r="C1100" s="372" t="s">
        <v>7584</v>
      </c>
      <c r="D1100" s="374">
        <v>1311110153525</v>
      </c>
      <c r="E1100" s="372" t="s">
        <v>7585</v>
      </c>
      <c r="F1100" s="375" t="s">
        <v>1182</v>
      </c>
      <c r="G1100" s="375" t="s">
        <v>1183</v>
      </c>
      <c r="H1100" s="375" t="s">
        <v>858</v>
      </c>
      <c r="I1100" s="375" t="s">
        <v>859</v>
      </c>
      <c r="J1100" s="375">
        <v>168349.32449999999</v>
      </c>
      <c r="K1100" s="375">
        <v>15759.4202</v>
      </c>
      <c r="L1100" s="375">
        <v>6212.2470700000003</v>
      </c>
      <c r="M1100" s="375">
        <v>161989.61379</v>
      </c>
      <c r="N1100" s="372">
        <v>1.0149999999999999</v>
      </c>
      <c r="O1100" s="704">
        <v>13.564910026936367</v>
      </c>
      <c r="P1100" s="375" t="s">
        <v>619</v>
      </c>
      <c r="Q1100" s="375" t="s">
        <v>619</v>
      </c>
      <c r="R1100" s="696">
        <v>20150617</v>
      </c>
      <c r="S1100" s="375" t="s">
        <v>7586</v>
      </c>
      <c r="T1100" s="697">
        <v>0.20900000000000002</v>
      </c>
      <c r="U1100" s="372" t="s">
        <v>7587</v>
      </c>
      <c r="V1100" s="722">
        <v>6.85</v>
      </c>
      <c r="W1100" s="722">
        <v>0.74</v>
      </c>
      <c r="X1100" s="722">
        <v>0.74</v>
      </c>
      <c r="Y1100" s="722">
        <v>30.33</v>
      </c>
      <c r="Z1100" s="382" t="s">
        <v>924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7588</v>
      </c>
      <c r="B1101" s="373" t="s">
        <v>7589</v>
      </c>
      <c r="C1101" s="372" t="s">
        <v>7590</v>
      </c>
      <c r="D1101" s="374">
        <v>1101113660142</v>
      </c>
      <c r="E1101" s="372" t="s">
        <v>7591</v>
      </c>
      <c r="F1101" s="375" t="s">
        <v>1113</v>
      </c>
      <c r="G1101" s="375" t="s">
        <v>1333</v>
      </c>
      <c r="H1101" s="375" t="s">
        <v>1334</v>
      </c>
      <c r="I1101" s="375" t="s">
        <v>859</v>
      </c>
      <c r="J1101" s="375">
        <v>829.22418000000005</v>
      </c>
      <c r="K1101" s="375">
        <v>-30996.438440000002</v>
      </c>
      <c r="L1101" s="375">
        <v>-45272.169379999999</v>
      </c>
      <c r="M1101" s="375">
        <v>6171.9172799999997</v>
      </c>
      <c r="N1101" s="372">
        <v>1.0720000000000001</v>
      </c>
      <c r="O1101" s="704">
        <v>7.3857916710278468</v>
      </c>
      <c r="P1101" s="375" t="s">
        <v>619</v>
      </c>
      <c r="Q1101" s="375" t="s">
        <v>619</v>
      </c>
      <c r="R1101" s="696">
        <v>20140721</v>
      </c>
      <c r="S1101" s="375" t="s">
        <v>7592</v>
      </c>
      <c r="T1101" s="697" t="s">
        <v>768</v>
      </c>
      <c r="U1101" s="372" t="s">
        <v>7593</v>
      </c>
      <c r="V1101" s="722" t="s">
        <v>770</v>
      </c>
      <c r="W1101" s="722">
        <v>32.82</v>
      </c>
      <c r="X1101" s="722">
        <v>238.18</v>
      </c>
      <c r="Y1101" s="722" t="s">
        <v>770</v>
      </c>
      <c r="Z1101" s="382" t="s">
        <v>924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7594</v>
      </c>
      <c r="B1102" s="373" t="s">
        <v>7595</v>
      </c>
      <c r="C1102" s="372" t="s">
        <v>7596</v>
      </c>
      <c r="D1102" s="374">
        <v>1353110002964</v>
      </c>
      <c r="E1102" s="372" t="s">
        <v>7597</v>
      </c>
      <c r="F1102" s="375" t="s">
        <v>1367</v>
      </c>
      <c r="G1102" s="375" t="s">
        <v>1367</v>
      </c>
      <c r="H1102" s="375" t="s">
        <v>858</v>
      </c>
      <c r="I1102" s="375" t="s">
        <v>859</v>
      </c>
      <c r="J1102" s="375">
        <v>61357.381439999997</v>
      </c>
      <c r="K1102" s="375">
        <v>-2792.2474000000002</v>
      </c>
      <c r="L1102" s="375">
        <v>-1257.3147100000001</v>
      </c>
      <c r="M1102" s="375">
        <v>44025.72997</v>
      </c>
      <c r="N1102" s="372">
        <v>0.83899999999999997</v>
      </c>
      <c r="O1102" s="704">
        <v>9.0574698470033521</v>
      </c>
      <c r="P1102" s="375" t="s">
        <v>619</v>
      </c>
      <c r="Q1102" s="372" t="s">
        <v>619</v>
      </c>
      <c r="R1102" s="696">
        <v>20001229</v>
      </c>
      <c r="S1102" s="372" t="s">
        <v>7598</v>
      </c>
      <c r="T1102" s="697" t="s">
        <v>768</v>
      </c>
      <c r="U1102" s="372" t="s">
        <v>7599</v>
      </c>
      <c r="V1102" s="722">
        <v>160</v>
      </c>
      <c r="W1102" s="722">
        <v>2.44</v>
      </c>
      <c r="X1102" s="722">
        <v>1.84</v>
      </c>
      <c r="Y1102" s="722">
        <v>59.8</v>
      </c>
      <c r="Z1102" s="382">
        <v>0.14722818726915476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627</v>
      </c>
      <c r="AF1102" s="372">
        <v>768</v>
      </c>
      <c r="AG1102" s="372">
        <v>898</v>
      </c>
      <c r="AH1102" s="372">
        <v>0</v>
      </c>
    </row>
    <row r="1103" spans="1:34">
      <c r="A1103" s="372" t="s">
        <v>7600</v>
      </c>
      <c r="B1103" s="373" t="s">
        <v>7601</v>
      </c>
      <c r="C1103" s="372" t="s">
        <v>7602</v>
      </c>
      <c r="D1103" s="374">
        <v>1615110044225</v>
      </c>
      <c r="E1103" s="372" t="s">
        <v>7603</v>
      </c>
      <c r="F1103" s="375" t="s">
        <v>2219</v>
      </c>
      <c r="G1103" s="375" t="s">
        <v>2219</v>
      </c>
      <c r="H1103" s="375" t="s">
        <v>1313</v>
      </c>
      <c r="I1103" s="375" t="s">
        <v>751</v>
      </c>
      <c r="J1103" s="375">
        <v>634511.96198999998</v>
      </c>
      <c r="K1103" s="375">
        <v>52088.322930000002</v>
      </c>
      <c r="L1103" s="375">
        <v>39309.014779999998</v>
      </c>
      <c r="M1103" s="375">
        <v>287666.48975000001</v>
      </c>
      <c r="N1103" s="372">
        <v>0.74</v>
      </c>
      <c r="O1103" s="704">
        <v>140.79128551979656</v>
      </c>
      <c r="P1103" s="375" t="s">
        <v>619</v>
      </c>
      <c r="Q1103" s="375" t="s">
        <v>619</v>
      </c>
      <c r="R1103" s="696">
        <v>20160511</v>
      </c>
      <c r="S1103" s="375" t="s">
        <v>7604</v>
      </c>
      <c r="T1103" s="697">
        <v>0.23100000000000001</v>
      </c>
      <c r="U1103" s="372" t="s">
        <v>7605</v>
      </c>
      <c r="V1103" s="722">
        <v>4.54</v>
      </c>
      <c r="W1103" s="722">
        <v>0.51</v>
      </c>
      <c r="X1103" s="722">
        <v>0.27</v>
      </c>
      <c r="Y1103" s="722">
        <v>5.52</v>
      </c>
      <c r="Z1103" s="382" t="s">
        <v>924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7606</v>
      </c>
      <c r="B1104" s="373" t="s">
        <v>7607</v>
      </c>
      <c r="C1104" s="372" t="s">
        <v>7608</v>
      </c>
      <c r="D1104" s="374">
        <v>1101110137491</v>
      </c>
      <c r="E1104" s="372" t="s">
        <v>7609</v>
      </c>
      <c r="F1104" s="375" t="s">
        <v>2086</v>
      </c>
      <c r="G1104" s="375" t="s">
        <v>2086</v>
      </c>
      <c r="H1104" s="375" t="s">
        <v>809</v>
      </c>
      <c r="I1104" s="375" t="s">
        <v>751</v>
      </c>
      <c r="J1104" s="375">
        <v>289400.64062000002</v>
      </c>
      <c r="K1104" s="375">
        <v>41292.186320000001</v>
      </c>
      <c r="L1104" s="375">
        <v>37175.799930000001</v>
      </c>
      <c r="M1104" s="375">
        <v>253116.72885000001</v>
      </c>
      <c r="N1104" s="372">
        <v>0.68</v>
      </c>
      <c r="O1104" s="704">
        <v>114.31465375452406</v>
      </c>
      <c r="P1104" s="375" t="s">
        <v>619</v>
      </c>
      <c r="Q1104" s="372" t="s">
        <v>619</v>
      </c>
      <c r="R1104" s="696">
        <v>19750628</v>
      </c>
      <c r="S1104" s="372" t="s">
        <v>7610</v>
      </c>
      <c r="T1104" s="697">
        <v>0.23100000000000001</v>
      </c>
      <c r="U1104" s="372" t="s">
        <v>7611</v>
      </c>
      <c r="V1104" s="722">
        <v>0</v>
      </c>
      <c r="W1104" s="722">
        <v>0</v>
      </c>
      <c r="X1104" s="722">
        <v>0</v>
      </c>
      <c r="Y1104" s="722">
        <v>0</v>
      </c>
      <c r="Z1104" s="382" t="s">
        <v>924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7612</v>
      </c>
      <c r="B1105" s="373" t="s">
        <v>7613</v>
      </c>
      <c r="C1105" s="372" t="s">
        <v>7614</v>
      </c>
      <c r="D1105" s="374">
        <v>1942110090598</v>
      </c>
      <c r="E1105" s="372" t="s">
        <v>7615</v>
      </c>
      <c r="F1105" s="375" t="s">
        <v>1428</v>
      </c>
      <c r="G1105" s="375" t="s">
        <v>5584</v>
      </c>
      <c r="H1105" s="375" t="s">
        <v>1040</v>
      </c>
      <c r="I1105" s="375" t="s">
        <v>751</v>
      </c>
      <c r="J1105" s="375">
        <v>286837.70055000001</v>
      </c>
      <c r="K1105" s="375">
        <v>20403.12976</v>
      </c>
      <c r="L1105" s="375">
        <v>19581.929339999999</v>
      </c>
      <c r="M1105" s="375">
        <v>284368.64289000002</v>
      </c>
      <c r="N1105" s="372">
        <v>0.93899999999999995</v>
      </c>
      <c r="O1105" s="704">
        <v>1.4809893682914204</v>
      </c>
      <c r="P1105" s="375" t="s">
        <v>619</v>
      </c>
      <c r="Q1105" s="375" t="s">
        <v>619</v>
      </c>
      <c r="R1105" s="696">
        <v>20080222</v>
      </c>
      <c r="S1105" s="375" t="s">
        <v>7616</v>
      </c>
      <c r="T1105" s="697">
        <v>0.20900000000000002</v>
      </c>
      <c r="U1105" s="372" t="s">
        <v>7617</v>
      </c>
      <c r="V1105" s="722">
        <v>10.199999999999999</v>
      </c>
      <c r="W1105" s="722">
        <v>0.88</v>
      </c>
      <c r="X1105" s="722">
        <v>0.92</v>
      </c>
      <c r="Y1105" s="722">
        <v>20.47</v>
      </c>
      <c r="Z1105" s="382">
        <v>0.14168900544229235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3312</v>
      </c>
      <c r="AF1105" s="372">
        <v>4484.33</v>
      </c>
      <c r="AG1105" s="372">
        <v>5470</v>
      </c>
      <c r="AH1105" s="372">
        <v>0</v>
      </c>
    </row>
    <row r="1106" spans="1:34">
      <c r="A1106" s="372" t="s">
        <v>7618</v>
      </c>
      <c r="B1106" s="373" t="s">
        <v>7619</v>
      </c>
      <c r="C1106" s="372" t="s">
        <v>7620</v>
      </c>
      <c r="D1106" s="374">
        <v>1101113802992</v>
      </c>
      <c r="E1106" s="372" t="s">
        <v>7621</v>
      </c>
      <c r="F1106" s="375" t="s">
        <v>2121</v>
      </c>
      <c r="G1106" s="375" t="s">
        <v>4228</v>
      </c>
      <c r="H1106" s="375" t="s">
        <v>858</v>
      </c>
      <c r="I1106" s="375" t="s">
        <v>859</v>
      </c>
      <c r="J1106" s="375">
        <v>32899.112439999997</v>
      </c>
      <c r="K1106" s="375">
        <v>3120.2532799999999</v>
      </c>
      <c r="L1106" s="375">
        <v>8626.1172200000001</v>
      </c>
      <c r="M1106" s="375">
        <v>71863.567540000004</v>
      </c>
      <c r="N1106" s="372">
        <v>0.58199999999999996</v>
      </c>
      <c r="O1106" s="704">
        <v>0</v>
      </c>
      <c r="P1106" s="375" t="s">
        <v>619</v>
      </c>
      <c r="Q1106" s="372" t="s">
        <v>619</v>
      </c>
      <c r="R1106" s="696">
        <v>20130701</v>
      </c>
      <c r="S1106" s="372" t="s">
        <v>7622</v>
      </c>
      <c r="T1106" s="697">
        <v>0.20900000000000002</v>
      </c>
      <c r="U1106" s="372" t="s">
        <v>7623</v>
      </c>
      <c r="V1106" s="722">
        <v>29.72</v>
      </c>
      <c r="W1106" s="722">
        <v>1.48</v>
      </c>
      <c r="X1106" s="722">
        <v>3.9</v>
      </c>
      <c r="Y1106" s="722">
        <v>17.920000000000002</v>
      </c>
      <c r="Z1106" s="382" t="s">
        <v>924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7624</v>
      </c>
      <c r="B1107" s="373" t="s">
        <v>7625</v>
      </c>
      <c r="C1107" s="372" t="s">
        <v>7626</v>
      </c>
      <c r="D1107" s="374">
        <v>1601110052665</v>
      </c>
      <c r="E1107" s="372" t="s">
        <v>7627</v>
      </c>
      <c r="F1107" s="372" t="s">
        <v>1868</v>
      </c>
      <c r="G1107" s="375" t="s">
        <v>5820</v>
      </c>
      <c r="H1107" s="375" t="s">
        <v>858</v>
      </c>
      <c r="I1107" s="375" t="s">
        <v>859</v>
      </c>
      <c r="J1107" s="375">
        <v>195628.00227999999</v>
      </c>
      <c r="K1107" s="375">
        <v>26203.550790000001</v>
      </c>
      <c r="L1107" s="375">
        <v>23723.229449999999</v>
      </c>
      <c r="M1107" s="375">
        <v>125606.87358</v>
      </c>
      <c r="N1107" s="372">
        <v>0.91900000000000004</v>
      </c>
      <c r="O1107" s="704">
        <v>75.512690654437648</v>
      </c>
      <c r="P1107" s="375" t="s">
        <v>619</v>
      </c>
      <c r="Q1107" s="375" t="s">
        <v>619</v>
      </c>
      <c r="R1107" s="696">
        <v>20090526</v>
      </c>
      <c r="S1107" s="375" t="s">
        <v>7628</v>
      </c>
      <c r="T1107" s="697">
        <v>0.23100000000000001</v>
      </c>
      <c r="U1107" s="372" t="s">
        <v>7629</v>
      </c>
      <c r="V1107" s="722">
        <v>6.42</v>
      </c>
      <c r="W1107" s="722">
        <v>0.89</v>
      </c>
      <c r="X1107" s="722">
        <v>0.67</v>
      </c>
      <c r="Y1107" s="722">
        <v>5.99</v>
      </c>
      <c r="Z1107" s="382" t="s">
        <v>924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7630</v>
      </c>
      <c r="B1108" s="373" t="s">
        <v>7631</v>
      </c>
      <c r="C1108" s="372" t="s">
        <v>7632</v>
      </c>
      <c r="D1108" s="374">
        <v>1101110787080</v>
      </c>
      <c r="E1108" s="372" t="s">
        <v>7633</v>
      </c>
      <c r="F1108" s="375" t="s">
        <v>4220</v>
      </c>
      <c r="G1108" s="375" t="s">
        <v>4221</v>
      </c>
      <c r="H1108" s="375" t="s">
        <v>1334</v>
      </c>
      <c r="I1108" s="375" t="s">
        <v>859</v>
      </c>
      <c r="J1108" s="375">
        <v>169086.76285</v>
      </c>
      <c r="K1108" s="375">
        <v>15993.523499999999</v>
      </c>
      <c r="L1108" s="375">
        <v>15962.04363</v>
      </c>
      <c r="M1108" s="375">
        <v>48352.320440000003</v>
      </c>
      <c r="N1108" s="372">
        <v>5.8999999999999997E-2</v>
      </c>
      <c r="O1108" s="704">
        <v>15.11423229331804</v>
      </c>
      <c r="P1108" s="375" t="s">
        <v>619</v>
      </c>
      <c r="Q1108" s="372" t="s">
        <v>619</v>
      </c>
      <c r="R1108" s="696">
        <v>20020129</v>
      </c>
      <c r="S1108" s="372" t="s">
        <v>7634</v>
      </c>
      <c r="T1108" s="697">
        <v>0.20900000000000002</v>
      </c>
      <c r="U1108" s="372" t="s">
        <v>7635</v>
      </c>
      <c r="V1108" s="722">
        <v>6.27</v>
      </c>
      <c r="W1108" s="722">
        <v>2.95</v>
      </c>
      <c r="X1108" s="722">
        <v>0.85</v>
      </c>
      <c r="Y1108" s="722">
        <v>10.96</v>
      </c>
      <c r="Z1108" s="382" t="s">
        <v>924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7636</v>
      </c>
      <c r="B1109" s="373" t="s">
        <v>7637</v>
      </c>
      <c r="C1109" s="372" t="s">
        <v>7638</v>
      </c>
      <c r="D1109" s="374">
        <v>1101110295778</v>
      </c>
      <c r="E1109" s="372" t="s">
        <v>7639</v>
      </c>
      <c r="F1109" s="375" t="s">
        <v>7002</v>
      </c>
      <c r="G1109" s="375" t="s">
        <v>7002</v>
      </c>
      <c r="H1109" s="375" t="s">
        <v>4844</v>
      </c>
      <c r="I1109" s="375" t="s">
        <v>859</v>
      </c>
      <c r="J1109" s="375">
        <v>333749.78232</v>
      </c>
      <c r="K1109" s="375">
        <v>49673.027520000003</v>
      </c>
      <c r="L1109" s="375">
        <v>57643.550199999998</v>
      </c>
      <c r="M1109" s="375">
        <v>355094.31627000001</v>
      </c>
      <c r="N1109" s="372">
        <v>0.65100000000000002</v>
      </c>
      <c r="O1109" s="704">
        <v>20.073430028374311</v>
      </c>
      <c r="P1109" s="375" t="s">
        <v>619</v>
      </c>
      <c r="Q1109" s="372" t="s">
        <v>619</v>
      </c>
      <c r="R1109" s="696">
        <v>20001221</v>
      </c>
      <c r="S1109" s="372" t="s">
        <v>7640</v>
      </c>
      <c r="T1109" s="697">
        <v>0.23100000000000001</v>
      </c>
      <c r="U1109" s="375" t="s">
        <v>7641</v>
      </c>
      <c r="V1109" s="722">
        <v>2.95</v>
      </c>
      <c r="W1109" s="722">
        <v>0.46</v>
      </c>
      <c r="X1109" s="722">
        <v>0.49</v>
      </c>
      <c r="Y1109" s="722">
        <v>3.73</v>
      </c>
      <c r="Z1109" s="382" t="s">
        <v>924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7642</v>
      </c>
      <c r="B1110" s="373" t="s">
        <v>7643</v>
      </c>
      <c r="C1110" s="372" t="s">
        <v>7644</v>
      </c>
      <c r="D1110" s="374">
        <v>1942110042721</v>
      </c>
      <c r="E1110" s="372" t="s">
        <v>7645</v>
      </c>
      <c r="F1110" s="375" t="s">
        <v>3333</v>
      </c>
      <c r="G1110" s="375" t="s">
        <v>3333</v>
      </c>
      <c r="H1110" s="375" t="s">
        <v>3096</v>
      </c>
      <c r="I1110" s="375" t="s">
        <v>859</v>
      </c>
      <c r="J1110" s="375">
        <v>2132463.2522399998</v>
      </c>
      <c r="K1110" s="375">
        <v>25248.670529999999</v>
      </c>
      <c r="L1110" s="375">
        <v>-6299.90852</v>
      </c>
      <c r="M1110" s="375">
        <v>408981.05125000002</v>
      </c>
      <c r="N1110" s="372">
        <v>0.79400000000000004</v>
      </c>
      <c r="O1110" s="704">
        <v>750.27011730573486</v>
      </c>
      <c r="P1110" s="375" t="s">
        <v>619</v>
      </c>
      <c r="Q1110" s="372" t="s">
        <v>619</v>
      </c>
      <c r="R1110" s="696">
        <v>20041201</v>
      </c>
      <c r="S1110" s="372" t="s">
        <v>7646</v>
      </c>
      <c r="T1110" s="697" t="s">
        <v>768</v>
      </c>
      <c r="U1110" s="372" t="s">
        <v>7647</v>
      </c>
      <c r="V1110" s="722">
        <v>15.43</v>
      </c>
      <c r="W1110" s="722">
        <v>0.36</v>
      </c>
      <c r="X1110" s="722">
        <v>7.0000000000000007E-2</v>
      </c>
      <c r="Y1110" s="722" t="s">
        <v>770</v>
      </c>
      <c r="Z1110" s="382" t="s">
        <v>924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7648</v>
      </c>
      <c r="B1111" s="373" t="s">
        <v>7649</v>
      </c>
      <c r="C1111" s="372" t="s">
        <v>7650</v>
      </c>
      <c r="D1111" s="374">
        <v>1101110219398</v>
      </c>
      <c r="E1111" s="372" t="s">
        <v>7651</v>
      </c>
      <c r="F1111" s="372" t="s">
        <v>2037</v>
      </c>
      <c r="G1111" s="375" t="s">
        <v>7153</v>
      </c>
      <c r="H1111" s="375" t="s">
        <v>3096</v>
      </c>
      <c r="I1111" s="375" t="s">
        <v>859</v>
      </c>
      <c r="J1111" s="375">
        <v>473730.3173</v>
      </c>
      <c r="K1111" s="375">
        <v>2264.0280499999999</v>
      </c>
      <c r="L1111" s="375">
        <v>1667.1206999999999</v>
      </c>
      <c r="M1111" s="375">
        <v>416394.62452000001</v>
      </c>
      <c r="N1111" s="372">
        <v>0.84</v>
      </c>
      <c r="O1111" s="704">
        <v>82.344505285046083</v>
      </c>
      <c r="P1111" s="375" t="s">
        <v>619</v>
      </c>
      <c r="Q1111" s="372" t="s">
        <v>619</v>
      </c>
      <c r="R1111" s="696">
        <v>19950831</v>
      </c>
      <c r="S1111" s="372" t="s">
        <v>7652</v>
      </c>
      <c r="T1111" s="697">
        <v>0.20900000000000002</v>
      </c>
      <c r="U1111" s="372" t="s">
        <v>7653</v>
      </c>
      <c r="V1111" s="722">
        <v>24.74</v>
      </c>
      <c r="W1111" s="722">
        <v>0.28999999999999998</v>
      </c>
      <c r="X1111" s="722">
        <v>0.26</v>
      </c>
      <c r="Y1111" s="722">
        <v>17.55</v>
      </c>
      <c r="Z1111" s="382" t="s">
        <v>924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7654</v>
      </c>
      <c r="B1112" s="373" t="s">
        <v>7655</v>
      </c>
      <c r="C1112" s="372" t="s">
        <v>7656</v>
      </c>
      <c r="D1112" s="374">
        <v>2301110172244</v>
      </c>
      <c r="E1112" s="372" t="s">
        <v>7657</v>
      </c>
      <c r="F1112" s="375" t="s">
        <v>1093</v>
      </c>
      <c r="G1112" s="375" t="s">
        <v>5851</v>
      </c>
      <c r="H1112" s="375" t="s">
        <v>823</v>
      </c>
      <c r="I1112" s="375" t="s">
        <v>751</v>
      </c>
      <c r="J1112" s="375">
        <v>252295.08444999999</v>
      </c>
      <c r="K1112" s="375">
        <v>29616.417969999999</v>
      </c>
      <c r="L1112" s="375">
        <v>32431.153539999999</v>
      </c>
      <c r="M1112" s="375">
        <v>157812.84753</v>
      </c>
      <c r="N1112" s="372">
        <v>0.435</v>
      </c>
      <c r="O1112" s="704">
        <v>0.22191117367672997</v>
      </c>
      <c r="P1112" s="375" t="s">
        <v>619</v>
      </c>
      <c r="Q1112" s="372" t="s">
        <v>619</v>
      </c>
      <c r="R1112" s="696">
        <v>20110215</v>
      </c>
      <c r="S1112" s="372" t="s">
        <v>7658</v>
      </c>
      <c r="T1112" s="697">
        <v>0.23100000000000001</v>
      </c>
      <c r="U1112" s="372" t="s">
        <v>7659</v>
      </c>
      <c r="V1112" s="722">
        <v>0</v>
      </c>
      <c r="W1112" s="722">
        <v>0</v>
      </c>
      <c r="X1112" s="722">
        <v>0</v>
      </c>
      <c r="Y1112" s="722">
        <v>0</v>
      </c>
      <c r="Z1112" s="382" t="s">
        <v>924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7660</v>
      </c>
      <c r="B1113" s="373" t="s">
        <v>7661</v>
      </c>
      <c r="C1113" s="372" t="s">
        <v>7662</v>
      </c>
      <c r="D1113" s="374">
        <v>1101110006349</v>
      </c>
      <c r="E1113" s="372" t="s">
        <v>7663</v>
      </c>
      <c r="F1113" s="375" t="s">
        <v>1381</v>
      </c>
      <c r="G1113" s="375" t="s">
        <v>1382</v>
      </c>
      <c r="H1113" s="375" t="s">
        <v>1383</v>
      </c>
      <c r="I1113" s="375" t="s">
        <v>751</v>
      </c>
      <c r="J1113" s="375">
        <v>758052.05238999997</v>
      </c>
      <c r="K1113" s="375">
        <v>-1659.06197</v>
      </c>
      <c r="L1113" s="375">
        <v>6684.1628000000001</v>
      </c>
      <c r="M1113" s="375">
        <v>258388.39334000001</v>
      </c>
      <c r="N1113" s="372">
        <v>0.82699999999999996</v>
      </c>
      <c r="O1113" s="704">
        <v>16.877742978622095</v>
      </c>
      <c r="P1113" s="375" t="s">
        <v>619</v>
      </c>
      <c r="Q1113" s="372" t="s">
        <v>619</v>
      </c>
      <c r="R1113" s="696">
        <v>19770625</v>
      </c>
      <c r="S1113" s="372" t="s">
        <v>7664</v>
      </c>
      <c r="T1113" s="697">
        <v>0.20900000000000002</v>
      </c>
      <c r="U1113" s="372" t="s">
        <v>7665</v>
      </c>
      <c r="V1113" s="722">
        <v>0</v>
      </c>
      <c r="W1113" s="722">
        <v>0</v>
      </c>
      <c r="X1113" s="722">
        <v>0</v>
      </c>
      <c r="Y1113" s="722">
        <v>0</v>
      </c>
      <c r="Z1113" s="382" t="s">
        <v>924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7666</v>
      </c>
      <c r="B1114" s="373" t="s">
        <v>7667</v>
      </c>
      <c r="C1114" s="372" t="s">
        <v>7668</v>
      </c>
      <c r="D1114" s="374">
        <v>1201110350124</v>
      </c>
      <c r="E1114" s="372" t="s">
        <v>7669</v>
      </c>
      <c r="F1114" s="375" t="s">
        <v>1566</v>
      </c>
      <c r="G1114" s="375" t="s">
        <v>1566</v>
      </c>
      <c r="H1114" s="375" t="s">
        <v>3096</v>
      </c>
      <c r="I1114" s="375" t="s">
        <v>859</v>
      </c>
      <c r="J1114" s="375">
        <v>0</v>
      </c>
      <c r="K1114" s="375">
        <v>0</v>
      </c>
      <c r="L1114" s="375">
        <v>0</v>
      </c>
      <c r="M1114" s="375">
        <v>23763.174480000001</v>
      </c>
      <c r="N1114" s="372">
        <v>0.40699999999999997</v>
      </c>
      <c r="O1114" s="704">
        <v>1.6204521142814132</v>
      </c>
      <c r="P1114" s="375" t="s">
        <v>16112</v>
      </c>
      <c r="Q1114" s="372" t="s">
        <v>16113</v>
      </c>
      <c r="R1114" s="696">
        <v>20040825</v>
      </c>
      <c r="S1114" s="375" t="s">
        <v>7670</v>
      </c>
      <c r="T1114" s="697" t="s">
        <v>768</v>
      </c>
      <c r="U1114" s="372" t="s">
        <v>7671</v>
      </c>
      <c r="V1114" s="722">
        <v>0</v>
      </c>
      <c r="W1114" s="722">
        <v>6.38</v>
      </c>
      <c r="X1114" s="722">
        <v>0</v>
      </c>
      <c r="Y1114" s="722">
        <v>0</v>
      </c>
      <c r="Z1114" s="382" t="s">
        <v>924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7672</v>
      </c>
      <c r="B1115" s="373" t="s">
        <v>7673</v>
      </c>
      <c r="C1115" s="372" t="s">
        <v>7674</v>
      </c>
      <c r="D1115" s="374">
        <v>2001110180384</v>
      </c>
      <c r="E1115" s="372" t="s">
        <v>7675</v>
      </c>
      <c r="F1115" s="375" t="s">
        <v>6607</v>
      </c>
      <c r="G1115" s="375" t="s">
        <v>6607</v>
      </c>
      <c r="H1115" s="375" t="s">
        <v>858</v>
      </c>
      <c r="I1115" s="375" t="s">
        <v>859</v>
      </c>
      <c r="J1115" s="375">
        <v>32194.769939999998</v>
      </c>
      <c r="K1115" s="375">
        <v>-32068.325959999998</v>
      </c>
      <c r="L1115" s="375">
        <v>-34316.811970000002</v>
      </c>
      <c r="M1115" s="375">
        <v>83400.940119999999</v>
      </c>
      <c r="N1115" s="372">
        <v>0.86899999999999999</v>
      </c>
      <c r="O1115" s="704">
        <v>43.492203671571822</v>
      </c>
      <c r="P1115" s="375" t="s">
        <v>619</v>
      </c>
      <c r="Q1115" s="375" t="s">
        <v>619</v>
      </c>
      <c r="R1115" s="696">
        <v>20140227</v>
      </c>
      <c r="S1115" s="375" t="s">
        <v>7676</v>
      </c>
      <c r="T1115" s="697" t="s">
        <v>768</v>
      </c>
      <c r="U1115" s="375" t="s">
        <v>7677</v>
      </c>
      <c r="V1115" s="722" t="s">
        <v>770</v>
      </c>
      <c r="W1115" s="722">
        <v>1.27</v>
      </c>
      <c r="X1115" s="722">
        <v>3.56</v>
      </c>
      <c r="Y1115" s="722" t="s">
        <v>770</v>
      </c>
      <c r="Z1115" s="382" t="s">
        <v>924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7678</v>
      </c>
      <c r="B1116" s="373" t="s">
        <v>7679</v>
      </c>
      <c r="C1116" s="372" t="s">
        <v>7680</v>
      </c>
      <c r="D1116" s="374">
        <v>1101110040793</v>
      </c>
      <c r="E1116" s="372" t="s">
        <v>7681</v>
      </c>
      <c r="F1116" s="375" t="s">
        <v>1595</v>
      </c>
      <c r="G1116" s="375" t="s">
        <v>16109</v>
      </c>
      <c r="H1116" s="375" t="s">
        <v>823</v>
      </c>
      <c r="I1116" s="375" t="s">
        <v>751</v>
      </c>
      <c r="J1116" s="375">
        <v>71957.628379999995</v>
      </c>
      <c r="K1116" s="375">
        <v>14985.65014</v>
      </c>
      <c r="L1116" s="375">
        <v>16875.651330000001</v>
      </c>
      <c r="M1116" s="375">
        <v>164394.81279</v>
      </c>
      <c r="N1116" s="372">
        <v>0.84099999999999997</v>
      </c>
      <c r="O1116" s="704">
        <v>0.32313919548853359</v>
      </c>
      <c r="P1116" s="375" t="s">
        <v>619</v>
      </c>
      <c r="Q1116" s="375" t="s">
        <v>619</v>
      </c>
      <c r="R1116" s="696">
        <v>19921022</v>
      </c>
      <c r="S1116" s="375" t="s">
        <v>7682</v>
      </c>
      <c r="T1116" s="697">
        <v>0.20900000000000002</v>
      </c>
      <c r="U1116" s="375" t="s">
        <v>7683</v>
      </c>
      <c r="V1116" s="722">
        <v>7.06</v>
      </c>
      <c r="W1116" s="722">
        <v>0.74</v>
      </c>
      <c r="X1116" s="722">
        <v>1.71</v>
      </c>
      <c r="Y1116" s="722">
        <v>8.8800000000000008</v>
      </c>
      <c r="Z1116" s="382">
        <v>0.14168747260147763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712</v>
      </c>
      <c r="AF1116" s="372">
        <v>866</v>
      </c>
      <c r="AG1116" s="372">
        <v>1202</v>
      </c>
      <c r="AH1116" s="372">
        <v>0</v>
      </c>
    </row>
    <row r="1117" spans="1:34">
      <c r="A1117" s="372" t="s">
        <v>7684</v>
      </c>
      <c r="B1117" s="373" t="s">
        <v>7685</v>
      </c>
      <c r="C1117" s="372" t="s">
        <v>7686</v>
      </c>
      <c r="D1117" s="374">
        <v>1348110043711</v>
      </c>
      <c r="E1117" s="372" t="s">
        <v>7687</v>
      </c>
      <c r="F1117" s="375" t="s">
        <v>1273</v>
      </c>
      <c r="G1117" s="375" t="s">
        <v>1449</v>
      </c>
      <c r="H1117" s="375" t="s">
        <v>858</v>
      </c>
      <c r="I1117" s="375" t="s">
        <v>859</v>
      </c>
      <c r="J1117" s="375">
        <v>173560.67649000001</v>
      </c>
      <c r="K1117" s="375">
        <v>17434.943090000001</v>
      </c>
      <c r="L1117" s="375">
        <v>17663.70145</v>
      </c>
      <c r="M1117" s="375">
        <v>235482.71974</v>
      </c>
      <c r="N1117" s="372">
        <v>1.113</v>
      </c>
      <c r="O1117" s="704">
        <v>44.93270385845868</v>
      </c>
      <c r="P1117" s="375" t="s">
        <v>619</v>
      </c>
      <c r="Q1117" s="372" t="s">
        <v>619</v>
      </c>
      <c r="R1117" s="696">
        <v>20031229</v>
      </c>
      <c r="S1117" s="372" t="s">
        <v>7688</v>
      </c>
      <c r="T1117" s="697">
        <v>0.20900000000000002</v>
      </c>
      <c r="U1117" s="375" t="s">
        <v>7689</v>
      </c>
      <c r="V1117" s="722">
        <v>5</v>
      </c>
      <c r="W1117" s="722">
        <v>0.56999999999999995</v>
      </c>
      <c r="X1117" s="722">
        <v>0.84</v>
      </c>
      <c r="Y1117" s="722">
        <v>10.17</v>
      </c>
      <c r="Z1117" s="382">
        <v>0.1137129635298495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1868</v>
      </c>
      <c r="AF1117" s="372">
        <v>2176</v>
      </c>
      <c r="AG1117" s="372">
        <v>2460</v>
      </c>
      <c r="AH1117" s="372">
        <v>0</v>
      </c>
    </row>
    <row r="1118" spans="1:34">
      <c r="A1118" s="372" t="s">
        <v>7690</v>
      </c>
      <c r="B1118" s="373" t="s">
        <v>7691</v>
      </c>
      <c r="C1118" s="372" t="s">
        <v>7692</v>
      </c>
      <c r="D1118" s="374">
        <v>1760110006963</v>
      </c>
      <c r="E1118" s="372" t="s">
        <v>7693</v>
      </c>
      <c r="F1118" s="375" t="s">
        <v>1273</v>
      </c>
      <c r="G1118" s="375" t="s">
        <v>1273</v>
      </c>
      <c r="H1118" s="375" t="s">
        <v>858</v>
      </c>
      <c r="I1118" s="375" t="s">
        <v>859</v>
      </c>
      <c r="J1118" s="375">
        <v>168912.19128999999</v>
      </c>
      <c r="K1118" s="375">
        <v>-1865.79476</v>
      </c>
      <c r="L1118" s="375">
        <v>-5326.16734</v>
      </c>
      <c r="M1118" s="375">
        <v>103373.49208</v>
      </c>
      <c r="N1118" s="372">
        <v>0.89700000000000002</v>
      </c>
      <c r="O1118" s="704">
        <v>74.418775724932175</v>
      </c>
      <c r="P1118" s="375" t="s">
        <v>619</v>
      </c>
      <c r="Q1118" s="372" t="s">
        <v>619</v>
      </c>
      <c r="R1118" s="696">
        <v>20170828</v>
      </c>
      <c r="S1118" s="372" t="s">
        <v>7694</v>
      </c>
      <c r="T1118" s="697" t="s">
        <v>768</v>
      </c>
      <c r="U1118" s="375" t="s">
        <v>7695</v>
      </c>
      <c r="V1118" s="722">
        <v>13.85</v>
      </c>
      <c r="W1118" s="722">
        <v>0.98</v>
      </c>
      <c r="X1118" s="722">
        <v>0.57999999999999996</v>
      </c>
      <c r="Y1118" s="722" t="s">
        <v>770</v>
      </c>
      <c r="Z1118" s="382" t="s">
        <v>924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7696</v>
      </c>
      <c r="B1119" s="373" t="s">
        <v>7697</v>
      </c>
      <c r="C1119" s="372" t="s">
        <v>7698</v>
      </c>
      <c r="D1119" s="374">
        <v>1358110124726</v>
      </c>
      <c r="E1119" s="372" t="s">
        <v>7699</v>
      </c>
      <c r="F1119" s="375" t="s">
        <v>1761</v>
      </c>
      <c r="G1119" s="375" t="s">
        <v>2235</v>
      </c>
      <c r="H1119" s="375" t="s">
        <v>858</v>
      </c>
      <c r="I1119" s="375" t="s">
        <v>859</v>
      </c>
      <c r="J1119" s="375">
        <v>380548.73806</v>
      </c>
      <c r="K1119" s="375">
        <v>12741.497869999999</v>
      </c>
      <c r="L1119" s="375">
        <v>11027.7906</v>
      </c>
      <c r="M1119" s="375">
        <v>160930.28305</v>
      </c>
      <c r="N1119" s="372">
        <v>0.93600000000000005</v>
      </c>
      <c r="O1119" s="704">
        <v>162.70971681419223</v>
      </c>
      <c r="P1119" s="375" t="s">
        <v>619</v>
      </c>
      <c r="Q1119" s="372" t="s">
        <v>619</v>
      </c>
      <c r="R1119" s="696">
        <v>20110808</v>
      </c>
      <c r="S1119" s="372" t="s">
        <v>7700</v>
      </c>
      <c r="T1119" s="697">
        <v>0.20900000000000002</v>
      </c>
      <c r="U1119" s="375" t="s">
        <v>7701</v>
      </c>
      <c r="V1119" s="722">
        <v>9.1300000000000008</v>
      </c>
      <c r="W1119" s="722">
        <v>0.67</v>
      </c>
      <c r="X1119" s="722">
        <v>0.3</v>
      </c>
      <c r="Y1119" s="722">
        <v>16.8</v>
      </c>
      <c r="Z1119" s="382" t="s">
        <v>924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7702</v>
      </c>
      <c r="B1120" s="373" t="s">
        <v>7703</v>
      </c>
      <c r="C1120" s="372" t="s">
        <v>7704</v>
      </c>
      <c r="D1120" s="374">
        <v>1311110246859</v>
      </c>
      <c r="E1120" s="372" t="s">
        <v>7705</v>
      </c>
      <c r="F1120" s="375" t="s">
        <v>1367</v>
      </c>
      <c r="G1120" s="375" t="s">
        <v>1367</v>
      </c>
      <c r="H1120" s="375" t="s">
        <v>858</v>
      </c>
      <c r="I1120" s="375" t="s">
        <v>859</v>
      </c>
      <c r="J1120" s="375">
        <v>130672.5892</v>
      </c>
      <c r="K1120" s="375">
        <v>-16383.67268</v>
      </c>
      <c r="L1120" s="375">
        <v>-15256.285320000001</v>
      </c>
      <c r="M1120" s="375">
        <v>48912.817860000003</v>
      </c>
      <c r="N1120" s="372">
        <v>0.876</v>
      </c>
      <c r="O1120" s="704">
        <v>36.201134786374325</v>
      </c>
      <c r="P1120" s="375" t="s">
        <v>619</v>
      </c>
      <c r="Q1120" s="375" t="s">
        <v>619</v>
      </c>
      <c r="R1120" s="696">
        <v>20191018</v>
      </c>
      <c r="S1120" s="375" t="s">
        <v>7706</v>
      </c>
      <c r="T1120" s="697" t="s">
        <v>768</v>
      </c>
      <c r="U1120" s="375" t="s">
        <v>7707</v>
      </c>
      <c r="V1120" s="722" t="s">
        <v>770</v>
      </c>
      <c r="W1120" s="722">
        <v>2.56</v>
      </c>
      <c r="X1120" s="722">
        <v>0.7</v>
      </c>
      <c r="Y1120" s="722" t="s">
        <v>770</v>
      </c>
      <c r="Z1120" s="382" t="s">
        <v>924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7708</v>
      </c>
      <c r="B1121" s="373" t="s">
        <v>7709</v>
      </c>
      <c r="C1121" s="372" t="s">
        <v>7710</v>
      </c>
      <c r="D1121" s="374">
        <v>1101116501830</v>
      </c>
      <c r="E1121" s="372" t="s">
        <v>7711</v>
      </c>
      <c r="F1121" s="372" t="s">
        <v>2029</v>
      </c>
      <c r="G1121" s="375" t="s">
        <v>4403</v>
      </c>
      <c r="H1121" s="375" t="s">
        <v>1528</v>
      </c>
      <c r="I1121" s="375" t="s">
        <v>859</v>
      </c>
      <c r="J1121" s="375">
        <v>34495.544479999997</v>
      </c>
      <c r="K1121" s="375">
        <v>-16863.87715</v>
      </c>
      <c r="L1121" s="375">
        <v>-17543.100979999999</v>
      </c>
      <c r="M1121" s="375">
        <v>32129.816409999999</v>
      </c>
      <c r="N1121" s="372">
        <v>0.67700000000000005</v>
      </c>
      <c r="O1121" s="704">
        <v>32.448336586720295</v>
      </c>
      <c r="P1121" s="375" t="s">
        <v>619</v>
      </c>
      <c r="Q1121" s="372" t="s">
        <v>619</v>
      </c>
      <c r="R1121" s="696">
        <v>20220428</v>
      </c>
      <c r="S1121" s="372" t="s">
        <v>7712</v>
      </c>
      <c r="T1121" s="697" t="s">
        <v>768</v>
      </c>
      <c r="U1121" s="372" t="s">
        <v>7713</v>
      </c>
      <c r="V1121" s="722" t="s">
        <v>770</v>
      </c>
      <c r="W1121" s="722">
        <v>2.1800000000000002</v>
      </c>
      <c r="X1121" s="722">
        <v>2.0499999999999998</v>
      </c>
      <c r="Y1121" s="722" t="s">
        <v>770</v>
      </c>
      <c r="Z1121" s="382" t="s">
        <v>924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7714</v>
      </c>
      <c r="B1122" s="373" t="s">
        <v>7715</v>
      </c>
      <c r="C1122" s="372" t="s">
        <v>7716</v>
      </c>
      <c r="D1122" s="374">
        <v>1348110216516</v>
      </c>
      <c r="E1122" s="372" t="s">
        <v>7717</v>
      </c>
      <c r="F1122" s="375" t="s">
        <v>2051</v>
      </c>
      <c r="G1122" s="375" t="s">
        <v>4694</v>
      </c>
      <c r="H1122" s="375" t="s">
        <v>858</v>
      </c>
      <c r="I1122" s="375" t="s">
        <v>859</v>
      </c>
      <c r="J1122" s="375">
        <v>131287.98819</v>
      </c>
      <c r="K1122" s="375">
        <v>10670.640719999999</v>
      </c>
      <c r="L1122" s="375">
        <v>13685.61054</v>
      </c>
      <c r="M1122" s="375">
        <v>248574.21419</v>
      </c>
      <c r="N1122" s="372">
        <v>0.77200000000000002</v>
      </c>
      <c r="O1122" s="704">
        <v>4.2271838121310426</v>
      </c>
      <c r="P1122" s="375" t="s">
        <v>619</v>
      </c>
      <c r="Q1122" s="372" t="s">
        <v>619</v>
      </c>
      <c r="R1122" s="696">
        <v>20160411</v>
      </c>
      <c r="S1122" s="372" t="s">
        <v>7718</v>
      </c>
      <c r="T1122" s="697">
        <v>0.20900000000000002</v>
      </c>
      <c r="U1122" s="372" t="s">
        <v>7719</v>
      </c>
      <c r="V1122" s="722">
        <v>7.53</v>
      </c>
      <c r="W1122" s="722">
        <v>0.44</v>
      </c>
      <c r="X1122" s="722">
        <v>0.89</v>
      </c>
      <c r="Y1122" s="722">
        <v>10.45</v>
      </c>
      <c r="Z1122" s="382">
        <v>1.6151603972829776E-2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1321.5</v>
      </c>
      <c r="AF1122" s="372">
        <v>1423.5</v>
      </c>
      <c r="AG1122" s="372">
        <v>1524.5</v>
      </c>
      <c r="AH1122" s="372">
        <v>0</v>
      </c>
    </row>
    <row r="1123" spans="1:34">
      <c r="A1123" s="372" t="s">
        <v>7720</v>
      </c>
      <c r="B1123" s="373" t="s">
        <v>7721</v>
      </c>
      <c r="C1123" s="372" t="s">
        <v>7722</v>
      </c>
      <c r="D1123" s="374">
        <v>1101110305288</v>
      </c>
      <c r="E1123" s="372" t="s">
        <v>7723</v>
      </c>
      <c r="F1123" s="375" t="s">
        <v>7724</v>
      </c>
      <c r="G1123" s="375" t="s">
        <v>7724</v>
      </c>
      <c r="H1123" s="375" t="s">
        <v>814</v>
      </c>
      <c r="I1123" s="375" t="s">
        <v>751</v>
      </c>
      <c r="J1123" s="375">
        <v>1537765.6690700001</v>
      </c>
      <c r="K1123" s="375">
        <v>28850.803029999999</v>
      </c>
      <c r="L1123" s="375">
        <v>16577.755109999998</v>
      </c>
      <c r="M1123" s="375">
        <v>298812.22474999999</v>
      </c>
      <c r="N1123" s="372">
        <v>0.71599999999999997</v>
      </c>
      <c r="O1123" s="704">
        <v>259.45516359657643</v>
      </c>
      <c r="P1123" s="375" t="s">
        <v>619</v>
      </c>
      <c r="Q1123" s="372" t="s">
        <v>619</v>
      </c>
      <c r="R1123" s="696">
        <v>20010727</v>
      </c>
      <c r="S1123" s="375" t="s">
        <v>7725</v>
      </c>
      <c r="T1123" s="697">
        <v>0.20900000000000002</v>
      </c>
      <c r="U1123" s="372" t="s">
        <v>7726</v>
      </c>
      <c r="V1123" s="722">
        <v>5.0599999999999996</v>
      </c>
      <c r="W1123" s="722">
        <v>0.47</v>
      </c>
      <c r="X1123" s="722">
        <v>0.09</v>
      </c>
      <c r="Y1123" s="722">
        <v>11.4</v>
      </c>
      <c r="Z1123" s="382">
        <v>2.5702495157250871E-2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15775.05</v>
      </c>
      <c r="AF1123" s="372">
        <v>16333.65</v>
      </c>
      <c r="AG1123" s="372">
        <v>16480</v>
      </c>
      <c r="AH1123" s="372">
        <v>0</v>
      </c>
    </row>
    <row r="1124" spans="1:34">
      <c r="A1124" s="372" t="s">
        <v>7727</v>
      </c>
      <c r="B1124" s="373" t="s">
        <v>7728</v>
      </c>
      <c r="C1124" s="372" t="s">
        <v>7729</v>
      </c>
      <c r="D1124" s="374">
        <v>1101110265523</v>
      </c>
      <c r="E1124" s="372" t="s">
        <v>7730</v>
      </c>
      <c r="F1124" s="375" t="s">
        <v>6835</v>
      </c>
      <c r="G1124" s="375" t="s">
        <v>6835</v>
      </c>
      <c r="H1124" s="375" t="s">
        <v>1334</v>
      </c>
      <c r="I1124" s="375" t="s">
        <v>859</v>
      </c>
      <c r="J1124" s="375">
        <v>348976.24735999998</v>
      </c>
      <c r="K1124" s="375">
        <v>3595.5891999999999</v>
      </c>
      <c r="L1124" s="375">
        <v>-23500.905920000001</v>
      </c>
      <c r="M1124" s="375">
        <v>158926.52734</v>
      </c>
      <c r="N1124" s="372">
        <v>0.80500000000000005</v>
      </c>
      <c r="O1124" s="704">
        <v>78.866842930814457</v>
      </c>
      <c r="P1124" s="375" t="s">
        <v>619</v>
      </c>
      <c r="Q1124" s="375" t="s">
        <v>619</v>
      </c>
      <c r="R1124" s="696">
        <v>19940218</v>
      </c>
      <c r="S1124" s="375" t="s">
        <v>7731</v>
      </c>
      <c r="T1124" s="697" t="s">
        <v>768</v>
      </c>
      <c r="U1124" s="372" t="s">
        <v>7732</v>
      </c>
      <c r="V1124" s="722">
        <v>13.96</v>
      </c>
      <c r="W1124" s="722">
        <v>0.56999999999999995</v>
      </c>
      <c r="X1124" s="722">
        <v>0.28999999999999998</v>
      </c>
      <c r="Y1124" s="722" t="s">
        <v>770</v>
      </c>
      <c r="Z1124" s="382" t="s">
        <v>924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7733</v>
      </c>
      <c r="B1125" s="373" t="s">
        <v>7734</v>
      </c>
      <c r="C1125" s="372" t="s">
        <v>7735</v>
      </c>
      <c r="D1125" s="374">
        <v>1942110000472</v>
      </c>
      <c r="E1125" s="372" t="s">
        <v>7736</v>
      </c>
      <c r="F1125" s="372" t="s">
        <v>890</v>
      </c>
      <c r="G1125" s="375" t="s">
        <v>891</v>
      </c>
      <c r="H1125" s="375" t="s">
        <v>852</v>
      </c>
      <c r="I1125" s="375" t="s">
        <v>751</v>
      </c>
      <c r="J1125" s="375">
        <v>1183337.4231499999</v>
      </c>
      <c r="K1125" s="375">
        <v>38057.919280000002</v>
      </c>
      <c r="L1125" s="375">
        <v>38759.089979999997</v>
      </c>
      <c r="M1125" s="375">
        <v>550485.00719000003</v>
      </c>
      <c r="N1125" s="372">
        <v>0.84</v>
      </c>
      <c r="O1125" s="704">
        <v>154.52495855444354</v>
      </c>
      <c r="P1125" s="375" t="s">
        <v>619</v>
      </c>
      <c r="Q1125" s="372" t="s">
        <v>619</v>
      </c>
      <c r="R1125" s="696">
        <v>19890530</v>
      </c>
      <c r="S1125" s="372" t="s">
        <v>7737</v>
      </c>
      <c r="T1125" s="697">
        <v>0.23100000000000001</v>
      </c>
      <c r="U1125" s="372" t="s">
        <v>7738</v>
      </c>
      <c r="V1125" s="722">
        <v>5.07</v>
      </c>
      <c r="W1125" s="722">
        <v>0.35</v>
      </c>
      <c r="X1125" s="722">
        <v>0.11</v>
      </c>
      <c r="Y1125" s="722">
        <v>8.56</v>
      </c>
      <c r="Z1125" s="382" t="s">
        <v>924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7739</v>
      </c>
      <c r="B1126" s="373" t="s">
        <v>7740</v>
      </c>
      <c r="C1126" s="372" t="s">
        <v>7741</v>
      </c>
      <c r="D1126" s="374">
        <v>1101111192981</v>
      </c>
      <c r="E1126" s="372" t="s">
        <v>7742</v>
      </c>
      <c r="F1126" s="375" t="s">
        <v>1354</v>
      </c>
      <c r="G1126" s="375" t="s">
        <v>1354</v>
      </c>
      <c r="H1126" s="375" t="s">
        <v>858</v>
      </c>
      <c r="I1126" s="375" t="s">
        <v>859</v>
      </c>
      <c r="J1126" s="375">
        <v>121167.61356</v>
      </c>
      <c r="K1126" s="375">
        <v>11454.39998</v>
      </c>
      <c r="L1126" s="375">
        <v>10114.22516</v>
      </c>
      <c r="M1126" s="375">
        <v>144987.75802000001</v>
      </c>
      <c r="N1126" s="372">
        <v>0.54400000000000004</v>
      </c>
      <c r="O1126" s="704">
        <v>21.83220979935275</v>
      </c>
      <c r="P1126" s="375" t="s">
        <v>619</v>
      </c>
      <c r="Q1126" s="375" t="s">
        <v>619</v>
      </c>
      <c r="R1126" s="696">
        <v>20010515</v>
      </c>
      <c r="S1126" s="375" t="s">
        <v>7743</v>
      </c>
      <c r="T1126" s="697">
        <v>0.20900000000000002</v>
      </c>
      <c r="U1126" s="372" t="s">
        <v>15889</v>
      </c>
      <c r="V1126" s="722">
        <v>10.71</v>
      </c>
      <c r="W1126" s="722">
        <v>1.24</v>
      </c>
      <c r="X1126" s="722">
        <v>1.48</v>
      </c>
      <c r="Y1126" s="722">
        <v>23.17</v>
      </c>
      <c r="Z1126" s="382">
        <v>0.13473369545511704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1278</v>
      </c>
      <c r="AF1126" s="372">
        <v>1470</v>
      </c>
      <c r="AG1126" s="372">
        <v>1686</v>
      </c>
      <c r="AH1126" s="372">
        <v>0</v>
      </c>
    </row>
    <row r="1127" spans="1:34">
      <c r="A1127" s="372" t="s">
        <v>7744</v>
      </c>
      <c r="B1127" s="373" t="s">
        <v>7745</v>
      </c>
      <c r="C1127" s="372" t="s">
        <v>7746</v>
      </c>
      <c r="D1127" s="374">
        <v>1101114445072</v>
      </c>
      <c r="E1127" s="372" t="s">
        <v>7747</v>
      </c>
      <c r="F1127" s="375" t="s">
        <v>1367</v>
      </c>
      <c r="G1127" s="375" t="s">
        <v>1367</v>
      </c>
      <c r="H1127" s="375" t="s">
        <v>858</v>
      </c>
      <c r="I1127" s="375" t="s">
        <v>859</v>
      </c>
      <c r="J1127" s="375">
        <v>28187.231</v>
      </c>
      <c r="K1127" s="375">
        <v>-18651.35802</v>
      </c>
      <c r="L1127" s="375">
        <v>-17191.823899999999</v>
      </c>
      <c r="M1127" s="375">
        <v>11885.32584</v>
      </c>
      <c r="N1127" s="372">
        <v>0.78900000000000003</v>
      </c>
      <c r="O1127" s="704">
        <v>40.313438619082703</v>
      </c>
      <c r="P1127" s="375" t="s">
        <v>619</v>
      </c>
      <c r="Q1127" s="375" t="s">
        <v>619</v>
      </c>
      <c r="R1127" s="696">
        <v>20210727</v>
      </c>
      <c r="S1127" s="372" t="s">
        <v>7748</v>
      </c>
      <c r="T1127" s="697" t="s">
        <v>768</v>
      </c>
      <c r="U1127" s="372" t="s">
        <v>7749</v>
      </c>
      <c r="V1127" s="722" t="s">
        <v>770</v>
      </c>
      <c r="W1127" s="722">
        <v>4.8600000000000003</v>
      </c>
      <c r="X1127" s="722">
        <v>2.09</v>
      </c>
      <c r="Y1127" s="722" t="s">
        <v>770</v>
      </c>
      <c r="Z1127" s="382" t="s">
        <v>924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7750</v>
      </c>
      <c r="B1128" s="373" t="s">
        <v>7751</v>
      </c>
      <c r="C1128" s="372" t="s">
        <v>7752</v>
      </c>
      <c r="D1128" s="374">
        <v>1341110036992</v>
      </c>
      <c r="E1128" s="372" t="s">
        <v>7753</v>
      </c>
      <c r="F1128" s="375" t="s">
        <v>7754</v>
      </c>
      <c r="G1128" s="375" t="s">
        <v>7754</v>
      </c>
      <c r="H1128" s="375" t="s">
        <v>1334</v>
      </c>
      <c r="I1128" s="375" t="s">
        <v>859</v>
      </c>
      <c r="J1128" s="375">
        <v>375525.14181</v>
      </c>
      <c r="K1128" s="375">
        <v>-15063.3557</v>
      </c>
      <c r="L1128" s="375">
        <v>-10358.02918</v>
      </c>
      <c r="M1128" s="375">
        <v>289519.71483000001</v>
      </c>
      <c r="N1128" s="372">
        <v>0.56899999999999995</v>
      </c>
      <c r="O1128" s="704">
        <v>147.33845322356473</v>
      </c>
      <c r="P1128" s="375" t="s">
        <v>619</v>
      </c>
      <c r="Q1128" s="372" t="s">
        <v>619</v>
      </c>
      <c r="R1128" s="696">
        <v>19991229</v>
      </c>
      <c r="S1128" s="372" t="s">
        <v>7755</v>
      </c>
      <c r="T1128" s="697" t="s">
        <v>768</v>
      </c>
      <c r="U1128" s="372" t="s">
        <v>7756</v>
      </c>
      <c r="V1128" s="722">
        <v>28.47</v>
      </c>
      <c r="W1128" s="722">
        <v>0.36</v>
      </c>
      <c r="X1128" s="722">
        <v>0.31</v>
      </c>
      <c r="Y1128" s="722" t="s">
        <v>770</v>
      </c>
      <c r="Z1128" s="382" t="s">
        <v>924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7757</v>
      </c>
      <c r="B1129" s="373" t="s">
        <v>7758</v>
      </c>
      <c r="C1129" s="372" t="s">
        <v>7759</v>
      </c>
      <c r="D1129" s="374">
        <v>1701110017237</v>
      </c>
      <c r="E1129" s="372" t="s">
        <v>7760</v>
      </c>
      <c r="F1129" s="375" t="s">
        <v>2622</v>
      </c>
      <c r="G1129" s="375" t="s">
        <v>2623</v>
      </c>
      <c r="H1129" s="375" t="s">
        <v>814</v>
      </c>
      <c r="I1129" s="375" t="s">
        <v>751</v>
      </c>
      <c r="J1129" s="375">
        <v>1215493.3891799999</v>
      </c>
      <c r="K1129" s="375">
        <v>27135.88305</v>
      </c>
      <c r="L1129" s="375">
        <v>44184.752840000001</v>
      </c>
      <c r="M1129" s="375">
        <v>575923.98037</v>
      </c>
      <c r="N1129" s="372">
        <v>1.08</v>
      </c>
      <c r="O1129" s="704">
        <v>191.46733663366794</v>
      </c>
      <c r="P1129" s="375" t="s">
        <v>619</v>
      </c>
      <c r="Q1129" s="372" t="s">
        <v>619</v>
      </c>
      <c r="R1129" s="696">
        <v>19991222</v>
      </c>
      <c r="S1129" s="372" t="s">
        <v>7761</v>
      </c>
      <c r="T1129" s="697">
        <v>0.23100000000000001</v>
      </c>
      <c r="U1129" s="372" t="s">
        <v>7762</v>
      </c>
      <c r="V1129" s="722">
        <v>4.38</v>
      </c>
      <c r="W1129" s="722">
        <v>0.3</v>
      </c>
      <c r="X1129" s="722">
        <v>0.11</v>
      </c>
      <c r="Y1129" s="722">
        <v>5.12</v>
      </c>
      <c r="Z1129" s="382" t="s">
        <v>924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7763</v>
      </c>
      <c r="B1130" s="373" t="s">
        <v>7764</v>
      </c>
      <c r="C1130" s="372" t="s">
        <v>7765</v>
      </c>
      <c r="D1130" s="374">
        <v>1601110172108</v>
      </c>
      <c r="E1130" s="372" t="s">
        <v>7766</v>
      </c>
      <c r="F1130" s="375" t="s">
        <v>1182</v>
      </c>
      <c r="G1130" s="375" t="s">
        <v>1183</v>
      </c>
      <c r="H1130" s="375" t="s">
        <v>858</v>
      </c>
      <c r="I1130" s="375" t="s">
        <v>859</v>
      </c>
      <c r="J1130" s="375">
        <v>13197.102919999999</v>
      </c>
      <c r="K1130" s="375">
        <v>1435.4991</v>
      </c>
      <c r="L1130" s="375">
        <v>3593.9937799999998</v>
      </c>
      <c r="M1130" s="375">
        <v>62304.369180000002</v>
      </c>
      <c r="N1130" s="372" t="s">
        <v>1023</v>
      </c>
      <c r="O1130" s="704">
        <v>0</v>
      </c>
      <c r="P1130" s="375" t="s">
        <v>619</v>
      </c>
      <c r="Q1130" s="375" t="s">
        <v>619</v>
      </c>
      <c r="R1130" s="696">
        <v>20231026</v>
      </c>
      <c r="S1130" s="375" t="s">
        <v>7767</v>
      </c>
      <c r="T1130" s="697">
        <v>0.20900000000000002</v>
      </c>
      <c r="U1130" s="375" t="s">
        <v>7768</v>
      </c>
      <c r="V1130" s="722">
        <v>100.53</v>
      </c>
      <c r="W1130" s="722">
        <v>2.59</v>
      </c>
      <c r="X1130" s="722">
        <v>12.08</v>
      </c>
      <c r="Y1130" s="722">
        <v>48.33</v>
      </c>
      <c r="Z1130" s="382" t="s">
        <v>924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7769</v>
      </c>
      <c r="B1131" s="373" t="s">
        <v>7770</v>
      </c>
      <c r="C1131" s="372" t="s">
        <v>7771</v>
      </c>
      <c r="D1131" s="374">
        <v>1101116895217</v>
      </c>
      <c r="E1131" s="372" t="s">
        <v>7772</v>
      </c>
      <c r="F1131" s="375" t="s">
        <v>5597</v>
      </c>
      <c r="G1131" s="375" t="s">
        <v>5597</v>
      </c>
      <c r="H1131" s="375" t="s">
        <v>1528</v>
      </c>
      <c r="I1131" s="375" t="s">
        <v>859</v>
      </c>
      <c r="J1131" s="375">
        <v>127349.20335</v>
      </c>
      <c r="K1131" s="375">
        <v>26373.142049999999</v>
      </c>
      <c r="L1131" s="375">
        <v>21762.541949999999</v>
      </c>
      <c r="M1131" s="375">
        <v>116776.93373999999</v>
      </c>
      <c r="N1131" s="372">
        <v>0.48299999999999998</v>
      </c>
      <c r="O1131" s="704">
        <v>50.982340410624531</v>
      </c>
      <c r="P1131" s="375" t="s">
        <v>619</v>
      </c>
      <c r="Q1131" s="375" t="s">
        <v>619</v>
      </c>
      <c r="R1131" s="696">
        <v>20181221</v>
      </c>
      <c r="S1131" s="375" t="s">
        <v>7773</v>
      </c>
      <c r="T1131" s="697">
        <v>0.23100000000000001</v>
      </c>
      <c r="U1131" s="372" t="s">
        <v>7774</v>
      </c>
      <c r="V1131" s="722">
        <v>2.97</v>
      </c>
      <c r="W1131" s="722">
        <v>1.21</v>
      </c>
      <c r="X1131" s="722">
        <v>1.04</v>
      </c>
      <c r="Y1131" s="722">
        <v>7.47</v>
      </c>
      <c r="Z1131" s="382">
        <v>0.11886920559545033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1443.5</v>
      </c>
      <c r="AF1131" s="372">
        <v>1530</v>
      </c>
      <c r="AG1131" s="372">
        <v>1745</v>
      </c>
      <c r="AH1131" s="372">
        <v>0</v>
      </c>
    </row>
    <row r="1132" spans="1:34">
      <c r="A1132" s="372" t="s">
        <v>7775</v>
      </c>
      <c r="B1132" s="373" t="s">
        <v>7776</v>
      </c>
      <c r="C1132" s="372" t="s">
        <v>7777</v>
      </c>
      <c r="D1132" s="374">
        <v>1101111983653</v>
      </c>
      <c r="E1132" s="372" t="s">
        <v>7778</v>
      </c>
      <c r="F1132" s="375" t="s">
        <v>2121</v>
      </c>
      <c r="G1132" s="375" t="s">
        <v>16275</v>
      </c>
      <c r="H1132" s="375" t="s">
        <v>858</v>
      </c>
      <c r="I1132" s="375" t="s">
        <v>859</v>
      </c>
      <c r="J1132" s="375">
        <v>95632.243050000005</v>
      </c>
      <c r="K1132" s="375">
        <v>4030.31889</v>
      </c>
      <c r="L1132" s="375">
        <v>-2442.4199600000002</v>
      </c>
      <c r="M1132" s="375">
        <v>83032.895860000004</v>
      </c>
      <c r="N1132" s="372">
        <v>0.69299999999999995</v>
      </c>
      <c r="O1132" s="704">
        <v>64.657760800575659</v>
      </c>
      <c r="P1132" s="375" t="s">
        <v>619</v>
      </c>
      <c r="Q1132" s="372" t="s">
        <v>619</v>
      </c>
      <c r="R1132" s="696">
        <v>20130305</v>
      </c>
      <c r="S1132" s="372" t="s">
        <v>7779</v>
      </c>
      <c r="T1132" s="697" t="s">
        <v>768</v>
      </c>
      <c r="U1132" s="372" t="s">
        <v>7780</v>
      </c>
      <c r="V1132" s="722">
        <v>12.62</v>
      </c>
      <c r="W1132" s="722">
        <v>1.19</v>
      </c>
      <c r="X1132" s="722">
        <v>0.89</v>
      </c>
      <c r="Y1132" s="722" t="s">
        <v>770</v>
      </c>
      <c r="Z1132" s="382" t="s">
        <v>924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7781</v>
      </c>
      <c r="B1133" s="373" t="s">
        <v>7782</v>
      </c>
      <c r="C1133" s="372" t="s">
        <v>7783</v>
      </c>
      <c r="D1133" s="374">
        <v>1341110422240</v>
      </c>
      <c r="E1133" s="372" t="s">
        <v>7784</v>
      </c>
      <c r="F1133" s="375" t="s">
        <v>16098</v>
      </c>
      <c r="G1133" s="375" t="s">
        <v>16098</v>
      </c>
      <c r="H1133" s="375" t="s">
        <v>858</v>
      </c>
      <c r="I1133" s="375" t="s">
        <v>859</v>
      </c>
      <c r="J1133" s="375">
        <v>24089.699809999998</v>
      </c>
      <c r="K1133" s="375">
        <v>-39098.883009999998</v>
      </c>
      <c r="L1133" s="375">
        <v>-40180.375919999999</v>
      </c>
      <c r="M1133" s="375">
        <v>102097.42774</v>
      </c>
      <c r="N1133" s="372">
        <v>1.0429999999999999</v>
      </c>
      <c r="O1133" s="704">
        <v>27.598226959063421</v>
      </c>
      <c r="P1133" s="375" t="s">
        <v>619</v>
      </c>
      <c r="Q1133" s="372" t="s">
        <v>619</v>
      </c>
      <c r="R1133" s="696">
        <v>20181226</v>
      </c>
      <c r="S1133" s="372" t="s">
        <v>7785</v>
      </c>
      <c r="T1133" s="697" t="s">
        <v>768</v>
      </c>
      <c r="U1133" s="372" t="s">
        <v>7786</v>
      </c>
      <c r="V1133" s="722" t="s">
        <v>770</v>
      </c>
      <c r="W1133" s="722">
        <v>2.2999999999999998</v>
      </c>
      <c r="X1133" s="722">
        <v>5.26</v>
      </c>
      <c r="Y1133" s="722" t="s">
        <v>770</v>
      </c>
      <c r="Z1133" s="382" t="s">
        <v>924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7787</v>
      </c>
      <c r="B1134" s="373" t="s">
        <v>7788</v>
      </c>
      <c r="C1134" s="372" t="s">
        <v>7789</v>
      </c>
      <c r="D1134" s="374">
        <v>1301110012050</v>
      </c>
      <c r="E1134" s="372" t="s">
        <v>7790</v>
      </c>
      <c r="F1134" s="375" t="s">
        <v>3882</v>
      </c>
      <c r="G1134" s="375" t="s">
        <v>7791</v>
      </c>
      <c r="H1134" s="375" t="s">
        <v>892</v>
      </c>
      <c r="I1134" s="375" t="s">
        <v>859</v>
      </c>
      <c r="J1134" s="375">
        <v>109248.58749999999</v>
      </c>
      <c r="K1134" s="375">
        <v>22774.56004</v>
      </c>
      <c r="L1134" s="375">
        <v>22796.313419999999</v>
      </c>
      <c r="M1134" s="375">
        <v>179551.22474999999</v>
      </c>
      <c r="N1134" s="372">
        <v>0.97199999999999998</v>
      </c>
      <c r="O1134" s="704">
        <v>0</v>
      </c>
      <c r="P1134" s="375" t="s">
        <v>619</v>
      </c>
      <c r="Q1134" s="375" t="s">
        <v>619</v>
      </c>
      <c r="R1134" s="696">
        <v>19910705</v>
      </c>
      <c r="S1134" s="375" t="s">
        <v>7792</v>
      </c>
      <c r="T1134" s="697">
        <v>0.23100000000000001</v>
      </c>
      <c r="U1134" s="372" t="s">
        <v>7793</v>
      </c>
      <c r="V1134" s="722">
        <v>0</v>
      </c>
      <c r="W1134" s="722">
        <v>0</v>
      </c>
      <c r="X1134" s="722">
        <v>0</v>
      </c>
      <c r="Y1134" s="722">
        <v>0</v>
      </c>
      <c r="Z1134" s="382" t="s">
        <v>924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7794</v>
      </c>
      <c r="B1135" s="373" t="s">
        <v>7795</v>
      </c>
      <c r="C1135" s="372" t="s">
        <v>7796</v>
      </c>
      <c r="D1135" s="374">
        <v>1101116058485</v>
      </c>
      <c r="E1135" s="372" t="s">
        <v>7797</v>
      </c>
      <c r="F1135" s="375" t="s">
        <v>1113</v>
      </c>
      <c r="G1135" s="375" t="s">
        <v>1333</v>
      </c>
      <c r="H1135" s="375" t="s">
        <v>1334</v>
      </c>
      <c r="I1135" s="375" t="s">
        <v>859</v>
      </c>
      <c r="J1135" s="375">
        <v>1772.3733999999999</v>
      </c>
      <c r="K1135" s="375">
        <v>-14505.50438</v>
      </c>
      <c r="L1135" s="375">
        <v>-16491.61032</v>
      </c>
      <c r="M1135" s="375">
        <v>31733.46199</v>
      </c>
      <c r="N1135" s="372">
        <v>1.0649999999999999</v>
      </c>
      <c r="O1135" s="704">
        <v>23.20031367827854</v>
      </c>
      <c r="P1135" s="375" t="s">
        <v>619</v>
      </c>
      <c r="Q1135" s="372" t="s">
        <v>619</v>
      </c>
      <c r="R1135" s="696">
        <v>20210722</v>
      </c>
      <c r="S1135" s="372" t="s">
        <v>7798</v>
      </c>
      <c r="T1135" s="697" t="s">
        <v>768</v>
      </c>
      <c r="U1135" s="372" t="s">
        <v>7799</v>
      </c>
      <c r="V1135" s="722">
        <v>0</v>
      </c>
      <c r="W1135" s="722">
        <v>0</v>
      </c>
      <c r="X1135" s="722">
        <v>0</v>
      </c>
      <c r="Y1135" s="722">
        <v>0</v>
      </c>
      <c r="Z1135" s="382" t="s">
        <v>924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7800</v>
      </c>
      <c r="B1136" s="373" t="s">
        <v>7801</v>
      </c>
      <c r="C1136" s="372" t="s">
        <v>7802</v>
      </c>
      <c r="D1136" s="374">
        <v>1101111284449</v>
      </c>
      <c r="E1136" s="372" t="s">
        <v>7803</v>
      </c>
      <c r="F1136" s="375" t="s">
        <v>12089</v>
      </c>
      <c r="G1136" s="375" t="s">
        <v>12089</v>
      </c>
      <c r="H1136" s="375" t="s">
        <v>3096</v>
      </c>
      <c r="I1136" s="375" t="s">
        <v>859</v>
      </c>
      <c r="J1136" s="375">
        <v>682867.92449</v>
      </c>
      <c r="K1136" s="375">
        <v>29357.003130000001</v>
      </c>
      <c r="L1136" s="375">
        <v>21298.47925</v>
      </c>
      <c r="M1136" s="375">
        <v>126161.43141999999</v>
      </c>
      <c r="N1136" s="372">
        <v>1.0449999999999999</v>
      </c>
      <c r="O1136" s="704">
        <v>121.33616983884919</v>
      </c>
      <c r="P1136" s="375" t="s">
        <v>619</v>
      </c>
      <c r="Q1136" s="375" t="s">
        <v>619</v>
      </c>
      <c r="R1136" s="696">
        <v>20160202</v>
      </c>
      <c r="S1136" s="375" t="s">
        <v>7805</v>
      </c>
      <c r="T1136" s="697">
        <v>0.23100000000000001</v>
      </c>
      <c r="U1136" s="372" t="s">
        <v>7806</v>
      </c>
      <c r="V1136" s="722">
        <v>5.82</v>
      </c>
      <c r="W1136" s="722">
        <v>0.87</v>
      </c>
      <c r="X1136" s="722">
        <v>0.16</v>
      </c>
      <c r="Y1136" s="722">
        <v>6.82</v>
      </c>
      <c r="Z1136" s="382" t="s">
        <v>924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7807</v>
      </c>
      <c r="B1137" s="373" t="s">
        <v>7808</v>
      </c>
      <c r="C1137" s="372" t="s">
        <v>7809</v>
      </c>
      <c r="D1137" s="374">
        <v>1101111921140</v>
      </c>
      <c r="E1137" s="372" t="s">
        <v>7810</v>
      </c>
      <c r="F1137" s="372" t="s">
        <v>7811</v>
      </c>
      <c r="G1137" s="375" t="s">
        <v>7812</v>
      </c>
      <c r="H1137" s="375" t="s">
        <v>3096</v>
      </c>
      <c r="I1137" s="375" t="s">
        <v>859</v>
      </c>
      <c r="J1137" s="375">
        <v>239484.63024999999</v>
      </c>
      <c r="K1137" s="375">
        <v>14347.65056</v>
      </c>
      <c r="L1137" s="375">
        <v>4872.8455199999999</v>
      </c>
      <c r="M1137" s="375">
        <v>190515.01162</v>
      </c>
      <c r="N1137" s="372">
        <v>0.81599999999999995</v>
      </c>
      <c r="O1137" s="704">
        <v>138.54257595481957</v>
      </c>
      <c r="P1137" s="375" t="s">
        <v>619</v>
      </c>
      <c r="Q1137" s="375" t="s">
        <v>619</v>
      </c>
      <c r="R1137" s="696">
        <v>20170125</v>
      </c>
      <c r="S1137" s="375" t="s">
        <v>7813</v>
      </c>
      <c r="T1137" s="697">
        <v>0.20900000000000002</v>
      </c>
      <c r="U1137" s="372" t="s">
        <v>7814</v>
      </c>
      <c r="V1137" s="722">
        <v>12.57</v>
      </c>
      <c r="W1137" s="722">
        <v>0.56000000000000005</v>
      </c>
      <c r="X1137" s="722">
        <v>0.46</v>
      </c>
      <c r="Y1137" s="722">
        <v>34.22</v>
      </c>
      <c r="Z1137" s="382" t="s">
        <v>924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7815</v>
      </c>
      <c r="B1138" s="373" t="s">
        <v>7816</v>
      </c>
      <c r="C1138" s="372" t="s">
        <v>7817</v>
      </c>
      <c r="D1138" s="374">
        <v>2149110002560</v>
      </c>
      <c r="E1138" s="372" t="s">
        <v>7818</v>
      </c>
      <c r="F1138" s="375" t="s">
        <v>766</v>
      </c>
      <c r="G1138" s="375" t="s">
        <v>766</v>
      </c>
      <c r="H1138" s="375" t="s">
        <v>750</v>
      </c>
      <c r="I1138" s="375" t="s">
        <v>751</v>
      </c>
      <c r="J1138" s="375">
        <v>126403.77297000001</v>
      </c>
      <c r="K1138" s="375">
        <v>-298.37878000000001</v>
      </c>
      <c r="L1138" s="375">
        <v>3488.5899899999999</v>
      </c>
      <c r="M1138" s="375">
        <v>234330.05716</v>
      </c>
      <c r="N1138" s="372">
        <v>0.65900000000000003</v>
      </c>
      <c r="O1138" s="704">
        <v>0.22408394501201107</v>
      </c>
      <c r="P1138" s="375" t="s">
        <v>619</v>
      </c>
      <c r="Q1138" s="372" t="s">
        <v>619</v>
      </c>
      <c r="R1138" s="696">
        <v>19961016</v>
      </c>
      <c r="S1138" s="372" t="s">
        <v>7819</v>
      </c>
      <c r="T1138" s="697">
        <v>0.20900000000000002</v>
      </c>
      <c r="U1138" s="372" t="s">
        <v>7820</v>
      </c>
      <c r="V1138" s="722">
        <v>19.760000000000002</v>
      </c>
      <c r="W1138" s="722">
        <v>0.43</v>
      </c>
      <c r="X1138" s="722">
        <v>0.86</v>
      </c>
      <c r="Y1138" s="722">
        <v>35.49</v>
      </c>
      <c r="Z1138" s="382" t="s">
        <v>924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7821</v>
      </c>
      <c r="B1139" s="373" t="s">
        <v>7822</v>
      </c>
      <c r="C1139" s="372" t="s">
        <v>7823</v>
      </c>
      <c r="D1139" s="374">
        <v>1101110382020</v>
      </c>
      <c r="E1139" s="372" t="s">
        <v>7824</v>
      </c>
      <c r="F1139" s="375" t="s">
        <v>1038</v>
      </c>
      <c r="G1139" s="375" t="s">
        <v>1039</v>
      </c>
      <c r="H1139" s="375" t="s">
        <v>858</v>
      </c>
      <c r="I1139" s="375" t="s">
        <v>859</v>
      </c>
      <c r="J1139" s="375">
        <v>50873.757030000001</v>
      </c>
      <c r="K1139" s="375">
        <v>-20234.35888</v>
      </c>
      <c r="L1139" s="375">
        <v>-28660.59274</v>
      </c>
      <c r="M1139" s="375">
        <v>70438.065329999998</v>
      </c>
      <c r="N1139" s="372">
        <v>0.96899999999999997</v>
      </c>
      <c r="O1139" s="704">
        <v>115.03557435457495</v>
      </c>
      <c r="P1139" s="375" t="s">
        <v>619</v>
      </c>
      <c r="Q1139" s="375" t="s">
        <v>619</v>
      </c>
      <c r="R1139" s="696">
        <v>19931124</v>
      </c>
      <c r="S1139" s="375" t="s">
        <v>7825</v>
      </c>
      <c r="T1139" s="697" t="s">
        <v>768</v>
      </c>
      <c r="U1139" s="372" t="s">
        <v>7826</v>
      </c>
      <c r="V1139" s="722" t="s">
        <v>770</v>
      </c>
      <c r="W1139" s="722">
        <v>1.85</v>
      </c>
      <c r="X1139" s="722">
        <v>2.2599999999999998</v>
      </c>
      <c r="Y1139" s="722" t="s">
        <v>770</v>
      </c>
      <c r="Z1139" s="382" t="s">
        <v>924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7827</v>
      </c>
      <c r="B1140" s="373" t="s">
        <v>7828</v>
      </c>
      <c r="C1140" s="372" t="s">
        <v>7829</v>
      </c>
      <c r="D1140" s="374">
        <v>1701110000745</v>
      </c>
      <c r="E1140" s="372" t="s">
        <v>7830</v>
      </c>
      <c r="F1140" s="372" t="s">
        <v>1951</v>
      </c>
      <c r="G1140" s="375" t="s">
        <v>7831</v>
      </c>
      <c r="H1140" s="375" t="s">
        <v>858</v>
      </c>
      <c r="I1140" s="375" t="s">
        <v>859</v>
      </c>
      <c r="J1140" s="375">
        <v>159083.35654000001</v>
      </c>
      <c r="K1140" s="375">
        <v>11533.03717</v>
      </c>
      <c r="L1140" s="375">
        <v>11643.53895</v>
      </c>
      <c r="M1140" s="375">
        <v>182231.20426</v>
      </c>
      <c r="N1140" s="372">
        <v>0.82</v>
      </c>
      <c r="O1140" s="704">
        <v>7.0721357850070721</v>
      </c>
      <c r="P1140" s="375" t="s">
        <v>619</v>
      </c>
      <c r="Q1140" s="375" t="s">
        <v>619</v>
      </c>
      <c r="R1140" s="696">
        <v>19941116</v>
      </c>
      <c r="S1140" s="375" t="s">
        <v>7832</v>
      </c>
      <c r="T1140" s="697">
        <v>0.20900000000000002</v>
      </c>
      <c r="U1140" s="372" t="s">
        <v>7833</v>
      </c>
      <c r="V1140" s="722">
        <v>7.07</v>
      </c>
      <c r="W1140" s="722">
        <v>0.82</v>
      </c>
      <c r="X1140" s="722">
        <v>0.82</v>
      </c>
      <c r="Y1140" s="722">
        <v>18.75</v>
      </c>
      <c r="Z1140" s="382" t="s">
        <v>924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7834</v>
      </c>
      <c r="B1141" s="373" t="s">
        <v>7835</v>
      </c>
      <c r="C1141" s="372" t="s">
        <v>7836</v>
      </c>
      <c r="D1141" s="374">
        <v>1601110235641</v>
      </c>
      <c r="E1141" s="372" t="s">
        <v>7837</v>
      </c>
      <c r="F1141" s="375" t="s">
        <v>1113</v>
      </c>
      <c r="G1141" s="375" t="s">
        <v>1333</v>
      </c>
      <c r="H1141" s="375" t="s">
        <v>1334</v>
      </c>
      <c r="I1141" s="375" t="s">
        <v>859</v>
      </c>
      <c r="J1141" s="375">
        <v>4922.1878200000001</v>
      </c>
      <c r="K1141" s="375">
        <v>-10421.74999</v>
      </c>
      <c r="L1141" s="375">
        <v>-20051.488689999998</v>
      </c>
      <c r="M1141" s="375">
        <v>20036.97565</v>
      </c>
      <c r="N1141" s="372" t="s">
        <v>1023</v>
      </c>
      <c r="O1141" s="704">
        <v>1.5150986381667246</v>
      </c>
      <c r="P1141" s="375" t="s">
        <v>619</v>
      </c>
      <c r="Q1141" s="375" t="s">
        <v>619</v>
      </c>
      <c r="R1141" s="696">
        <v>20231205</v>
      </c>
      <c r="S1141" s="375" t="s">
        <v>7838</v>
      </c>
      <c r="T1141" s="697" t="s">
        <v>768</v>
      </c>
      <c r="U1141" s="375" t="s">
        <v>7839</v>
      </c>
      <c r="V1141" s="722">
        <v>0</v>
      </c>
      <c r="W1141" s="722">
        <v>0</v>
      </c>
      <c r="X1141" s="722">
        <v>0</v>
      </c>
      <c r="Y1141" s="722">
        <v>0</v>
      </c>
      <c r="Z1141" s="382" t="s">
        <v>924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7840</v>
      </c>
      <c r="B1142" s="373" t="s">
        <v>7841</v>
      </c>
      <c r="C1142" s="372" t="s">
        <v>7842</v>
      </c>
      <c r="D1142" s="374">
        <v>1101110366719</v>
      </c>
      <c r="E1142" s="372" t="s">
        <v>7843</v>
      </c>
      <c r="F1142" s="375" t="s">
        <v>2423</v>
      </c>
      <c r="G1142" s="375" t="s">
        <v>2424</v>
      </c>
      <c r="H1142" s="375" t="s">
        <v>1040</v>
      </c>
      <c r="I1142" s="375" t="s">
        <v>751</v>
      </c>
      <c r="J1142" s="375">
        <v>480465.32978999999</v>
      </c>
      <c r="K1142" s="375">
        <v>30277.469010000001</v>
      </c>
      <c r="L1142" s="375">
        <v>18840.427930000002</v>
      </c>
      <c r="M1142" s="375">
        <v>113256.19206</v>
      </c>
      <c r="N1142" s="372">
        <v>1.1160000000000001</v>
      </c>
      <c r="O1142" s="704">
        <v>159.86835797612656</v>
      </c>
      <c r="P1142" s="375" t="s">
        <v>619</v>
      </c>
      <c r="Q1142" s="372" t="s">
        <v>619</v>
      </c>
      <c r="R1142" s="696">
        <v>20010807</v>
      </c>
      <c r="S1142" s="375" t="s">
        <v>7844</v>
      </c>
      <c r="T1142" s="697">
        <v>0.20900000000000002</v>
      </c>
      <c r="U1142" s="375" t="s">
        <v>7845</v>
      </c>
      <c r="V1142" s="722">
        <v>6.62</v>
      </c>
      <c r="W1142" s="722">
        <v>0.95</v>
      </c>
      <c r="X1142" s="722">
        <v>0.24</v>
      </c>
      <c r="Y1142" s="722">
        <v>8.86</v>
      </c>
      <c r="Z1142" s="382">
        <v>0.23328520378514161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5411.75</v>
      </c>
      <c r="AF1142" s="372">
        <v>4724.67</v>
      </c>
      <c r="AG1142" s="372">
        <v>5603</v>
      </c>
      <c r="AH1142" s="372">
        <v>0</v>
      </c>
    </row>
    <row r="1143" spans="1:34">
      <c r="A1143" s="372" t="s">
        <v>7846</v>
      </c>
      <c r="B1143" s="373" t="s">
        <v>7847</v>
      </c>
      <c r="C1143" s="372" t="s">
        <v>7848</v>
      </c>
      <c r="D1143" s="374">
        <v>1760110003901</v>
      </c>
      <c r="E1143" s="372" t="s">
        <v>7849</v>
      </c>
      <c r="F1143" s="375" t="s">
        <v>842</v>
      </c>
      <c r="G1143" s="375" t="s">
        <v>842</v>
      </c>
      <c r="H1143" s="375" t="s">
        <v>3096</v>
      </c>
      <c r="I1143" s="375" t="s">
        <v>859</v>
      </c>
      <c r="J1143" s="375">
        <v>392269.01143999997</v>
      </c>
      <c r="K1143" s="375">
        <v>20314.80069</v>
      </c>
      <c r="L1143" s="375">
        <v>23118.663499999999</v>
      </c>
      <c r="M1143" s="375">
        <v>235548.70681999999</v>
      </c>
      <c r="N1143" s="372">
        <v>0.68100000000000005</v>
      </c>
      <c r="O1143" s="704">
        <v>174.33216888218232</v>
      </c>
      <c r="P1143" s="375" t="s">
        <v>619</v>
      </c>
      <c r="Q1143" s="372" t="s">
        <v>619</v>
      </c>
      <c r="R1143" s="696">
        <v>20020709</v>
      </c>
      <c r="S1143" s="372" t="s">
        <v>7850</v>
      </c>
      <c r="T1143" s="697">
        <v>0.23100000000000001</v>
      </c>
      <c r="U1143" s="372" t="s">
        <v>7851</v>
      </c>
      <c r="V1143" s="722">
        <v>8</v>
      </c>
      <c r="W1143" s="722">
        <v>0.77</v>
      </c>
      <c r="X1143" s="722">
        <v>0.33</v>
      </c>
      <c r="Y1143" s="722">
        <v>10</v>
      </c>
      <c r="Z1143" s="382" t="s">
        <v>924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7852</v>
      </c>
      <c r="B1144" s="373" t="s">
        <v>7853</v>
      </c>
      <c r="C1144" s="372" t="s">
        <v>7854</v>
      </c>
      <c r="D1144" s="374">
        <v>1101112034562</v>
      </c>
      <c r="E1144" s="372" t="s">
        <v>7855</v>
      </c>
      <c r="F1144" s="372" t="s">
        <v>2029</v>
      </c>
      <c r="G1144" s="375" t="s">
        <v>7240</v>
      </c>
      <c r="H1144" s="375" t="s">
        <v>1528</v>
      </c>
      <c r="I1144" s="375" t="s">
        <v>859</v>
      </c>
      <c r="J1144" s="375">
        <v>109037.50463</v>
      </c>
      <c r="K1144" s="375">
        <v>-18312.13868</v>
      </c>
      <c r="L1144" s="375">
        <v>-33801.785170000003</v>
      </c>
      <c r="M1144" s="375">
        <v>26217.032360000001</v>
      </c>
      <c r="N1144" s="372">
        <v>0.76900000000000002</v>
      </c>
      <c r="O1144" s="704">
        <v>28.564329766177622</v>
      </c>
      <c r="P1144" s="375" t="s">
        <v>619</v>
      </c>
      <c r="Q1144" s="375" t="s">
        <v>619</v>
      </c>
      <c r="R1144" s="696">
        <v>20221206</v>
      </c>
      <c r="S1144" s="375" t="s">
        <v>7856</v>
      </c>
      <c r="T1144" s="697" t="s">
        <v>768</v>
      </c>
      <c r="U1144" s="372" t="s">
        <v>7857</v>
      </c>
      <c r="V1144" s="722" t="s">
        <v>770</v>
      </c>
      <c r="W1144" s="722">
        <v>5.51</v>
      </c>
      <c r="X1144" s="722">
        <v>1.24</v>
      </c>
      <c r="Y1144" s="722" t="s">
        <v>770</v>
      </c>
      <c r="Z1144" s="382">
        <v>9.6290854193315845E-2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1083</v>
      </c>
      <c r="AF1144" s="372">
        <v>1216</v>
      </c>
      <c r="AG1144" s="372">
        <v>1374</v>
      </c>
      <c r="AH1144" s="372">
        <v>0</v>
      </c>
    </row>
    <row r="1145" spans="1:34">
      <c r="A1145" s="372" t="s">
        <v>7858</v>
      </c>
      <c r="B1145" s="373" t="s">
        <v>7859</v>
      </c>
      <c r="C1145" s="372" t="s">
        <v>7860</v>
      </c>
      <c r="D1145" s="374">
        <v>1201110005703</v>
      </c>
      <c r="E1145" s="372" t="s">
        <v>7861</v>
      </c>
      <c r="F1145" s="372" t="s">
        <v>4249</v>
      </c>
      <c r="G1145" s="375" t="s">
        <v>7862</v>
      </c>
      <c r="H1145" s="375" t="s">
        <v>823</v>
      </c>
      <c r="I1145" s="375" t="s">
        <v>751</v>
      </c>
      <c r="J1145" s="375">
        <v>363037.54814000003</v>
      </c>
      <c r="K1145" s="375">
        <v>20599.727070000001</v>
      </c>
      <c r="L1145" s="375">
        <v>5616.7598200000002</v>
      </c>
      <c r="M1145" s="375">
        <v>260913.38007000001</v>
      </c>
      <c r="N1145" s="372">
        <v>0.96799999999999997</v>
      </c>
      <c r="O1145" s="704">
        <v>182.38384644797219</v>
      </c>
      <c r="P1145" s="375" t="s">
        <v>619</v>
      </c>
      <c r="Q1145" s="372" t="s">
        <v>619</v>
      </c>
      <c r="R1145" s="696">
        <v>19951005</v>
      </c>
      <c r="S1145" s="372" t="s">
        <v>7863</v>
      </c>
      <c r="T1145" s="697">
        <v>0.20900000000000002</v>
      </c>
      <c r="U1145" s="372" t="s">
        <v>7864</v>
      </c>
      <c r="V1145" s="722">
        <v>7.39</v>
      </c>
      <c r="W1145" s="722">
        <v>0.56999999999999995</v>
      </c>
      <c r="X1145" s="722">
        <v>0.37</v>
      </c>
      <c r="Y1145" s="722">
        <v>39.83</v>
      </c>
      <c r="Z1145" s="382" t="s">
        <v>924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7865</v>
      </c>
      <c r="B1146" s="373" t="s">
        <v>7866</v>
      </c>
      <c r="C1146" s="372" t="s">
        <v>7867</v>
      </c>
      <c r="D1146" s="374">
        <v>1601110084890</v>
      </c>
      <c r="E1146" s="372" t="s">
        <v>7868</v>
      </c>
      <c r="F1146" s="375" t="s">
        <v>16098</v>
      </c>
      <c r="G1146" s="375" t="s">
        <v>16098</v>
      </c>
      <c r="H1146" s="375" t="s">
        <v>858</v>
      </c>
      <c r="I1146" s="375" t="s">
        <v>859</v>
      </c>
      <c r="J1146" s="375">
        <v>82072.411840000001</v>
      </c>
      <c r="K1146" s="375">
        <v>-11728.101629999999</v>
      </c>
      <c r="L1146" s="375">
        <v>-8272.9618499999997</v>
      </c>
      <c r="M1146" s="375">
        <v>178678.97024</v>
      </c>
      <c r="N1146" s="372">
        <v>0.91700000000000004</v>
      </c>
      <c r="O1146" s="704">
        <v>4.0159043811790207</v>
      </c>
      <c r="P1146" s="375" t="s">
        <v>619</v>
      </c>
      <c r="Q1146" s="372" t="s">
        <v>619</v>
      </c>
      <c r="R1146" s="696">
        <v>20130925</v>
      </c>
      <c r="S1146" s="372" t="s">
        <v>7869</v>
      </c>
      <c r="T1146" s="697" t="s">
        <v>768</v>
      </c>
      <c r="U1146" s="372" t="s">
        <v>7870</v>
      </c>
      <c r="V1146" s="722" t="s">
        <v>770</v>
      </c>
      <c r="W1146" s="722">
        <v>0.68</v>
      </c>
      <c r="X1146" s="722">
        <v>1.56</v>
      </c>
      <c r="Y1146" s="722" t="s">
        <v>770</v>
      </c>
      <c r="Z1146" s="382" t="s">
        <v>924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7871</v>
      </c>
      <c r="B1147" s="373" t="s">
        <v>7872</v>
      </c>
      <c r="C1147" s="372" t="s">
        <v>7873</v>
      </c>
      <c r="D1147" s="374">
        <v>1801110000587</v>
      </c>
      <c r="E1147" s="372" t="s">
        <v>7874</v>
      </c>
      <c r="F1147" s="375" t="s">
        <v>2482</v>
      </c>
      <c r="G1147" s="375" t="s">
        <v>7875</v>
      </c>
      <c r="H1147" s="375" t="s">
        <v>809</v>
      </c>
      <c r="I1147" s="375" t="s">
        <v>751</v>
      </c>
      <c r="J1147" s="375">
        <v>433987.99874000001</v>
      </c>
      <c r="K1147" s="375">
        <v>20610.31179</v>
      </c>
      <c r="L1147" s="375">
        <v>22885.244279999999</v>
      </c>
      <c r="M1147" s="375">
        <v>353174.37083000003</v>
      </c>
      <c r="N1147" s="372">
        <v>0.60099999999999998</v>
      </c>
      <c r="O1147" s="704">
        <v>2.3473811011053636</v>
      </c>
      <c r="P1147" s="375" t="s">
        <v>619</v>
      </c>
      <c r="Q1147" s="372" t="s">
        <v>619</v>
      </c>
      <c r="R1147" s="696">
        <v>19691212</v>
      </c>
      <c r="S1147" s="372" t="s">
        <v>7876</v>
      </c>
      <c r="T1147" s="697">
        <v>0.23100000000000001</v>
      </c>
      <c r="U1147" s="372" t="s">
        <v>7877</v>
      </c>
      <c r="V1147" s="722">
        <v>5.2</v>
      </c>
      <c r="W1147" s="722">
        <v>0.42</v>
      </c>
      <c r="X1147" s="722">
        <v>0.34</v>
      </c>
      <c r="Y1147" s="722">
        <v>8.76</v>
      </c>
      <c r="Z1147" s="382" t="s">
        <v>924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7878</v>
      </c>
      <c r="B1148" s="373" t="s">
        <v>7879</v>
      </c>
      <c r="C1148" s="372" t="s">
        <v>7880</v>
      </c>
      <c r="D1148" s="374">
        <v>1341110048674</v>
      </c>
      <c r="E1148" s="372" t="s">
        <v>7881</v>
      </c>
      <c r="F1148" s="375" t="s">
        <v>2181</v>
      </c>
      <c r="G1148" s="375" t="s">
        <v>7882</v>
      </c>
      <c r="H1148" s="375" t="s">
        <v>858</v>
      </c>
      <c r="I1148" s="375" t="s">
        <v>859</v>
      </c>
      <c r="J1148" s="375">
        <v>0</v>
      </c>
      <c r="K1148" s="375">
        <v>0</v>
      </c>
      <c r="L1148" s="375">
        <v>0</v>
      </c>
      <c r="M1148" s="375">
        <v>56974.087469999999</v>
      </c>
      <c r="N1148" s="372">
        <v>0.29599999999999999</v>
      </c>
      <c r="O1148" s="704">
        <v>15.9901539983696</v>
      </c>
      <c r="P1148" s="375" t="s">
        <v>619</v>
      </c>
      <c r="Q1148" s="372" t="s">
        <v>619</v>
      </c>
      <c r="R1148" s="696">
        <v>20030203</v>
      </c>
      <c r="S1148" s="372" t="s">
        <v>7883</v>
      </c>
      <c r="T1148" s="697" t="s">
        <v>768</v>
      </c>
      <c r="U1148" s="372" t="s">
        <v>7884</v>
      </c>
      <c r="V1148" s="722">
        <v>0</v>
      </c>
      <c r="W1148" s="722">
        <v>2.44</v>
      </c>
      <c r="X1148" s="722">
        <v>0</v>
      </c>
      <c r="Y1148" s="722">
        <v>0</v>
      </c>
      <c r="Z1148" s="382" t="s">
        <v>924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7885</v>
      </c>
      <c r="B1149" s="373" t="s">
        <v>7886</v>
      </c>
      <c r="C1149" s="372" t="s">
        <v>16002</v>
      </c>
      <c r="D1149" s="374">
        <v>1101117695210</v>
      </c>
      <c r="E1149" s="372" t="s">
        <v>16003</v>
      </c>
      <c r="F1149" s="375" t="s">
        <v>5511</v>
      </c>
      <c r="G1149" s="375" t="s">
        <v>5511</v>
      </c>
      <c r="H1149" s="375" t="s">
        <v>858</v>
      </c>
      <c r="I1149" s="375" t="s">
        <v>859</v>
      </c>
      <c r="J1149" s="375">
        <v>0</v>
      </c>
      <c r="K1149" s="375">
        <v>0</v>
      </c>
      <c r="L1149" s="375">
        <v>0</v>
      </c>
      <c r="M1149" s="375">
        <v>2361.5032500000002</v>
      </c>
      <c r="N1149" s="372">
        <v>0.76700000000000002</v>
      </c>
      <c r="O1149" s="704">
        <v>42.473123060632247</v>
      </c>
      <c r="P1149" s="375" t="s">
        <v>619</v>
      </c>
      <c r="Q1149" s="372" t="s">
        <v>619</v>
      </c>
      <c r="R1149" s="696">
        <v>20210226</v>
      </c>
      <c r="S1149" s="375" t="s">
        <v>7887</v>
      </c>
      <c r="T1149" s="697" t="s">
        <v>768</v>
      </c>
      <c r="U1149" s="375" t="s">
        <v>7888</v>
      </c>
      <c r="V1149" s="722">
        <v>0</v>
      </c>
      <c r="W1149" s="722">
        <v>18.100000000000001</v>
      </c>
      <c r="X1149" s="722">
        <v>0</v>
      </c>
      <c r="Y1149" s="722">
        <v>0</v>
      </c>
      <c r="Z1149" s="382" t="s">
        <v>924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7889</v>
      </c>
      <c r="B1150" s="373" t="s">
        <v>7890</v>
      </c>
      <c r="C1150" s="372" t="s">
        <v>7891</v>
      </c>
      <c r="D1150" s="374">
        <v>1101111992670</v>
      </c>
      <c r="E1150" s="372" t="s">
        <v>7892</v>
      </c>
      <c r="F1150" s="375" t="s">
        <v>1113</v>
      </c>
      <c r="G1150" s="375" t="s">
        <v>1333</v>
      </c>
      <c r="H1150" s="375" t="s">
        <v>1334</v>
      </c>
      <c r="I1150" s="375" t="s">
        <v>859</v>
      </c>
      <c r="J1150" s="375">
        <v>370.65834000000001</v>
      </c>
      <c r="K1150" s="375">
        <v>-7147.2179500000002</v>
      </c>
      <c r="L1150" s="375">
        <v>-4613.9260999999997</v>
      </c>
      <c r="M1150" s="375">
        <v>32689.361949999999</v>
      </c>
      <c r="N1150" s="372">
        <v>0.80100000000000005</v>
      </c>
      <c r="O1150" s="704">
        <v>8.9920757356265018</v>
      </c>
      <c r="P1150" s="375" t="s">
        <v>619</v>
      </c>
      <c r="Q1150" s="375" t="s">
        <v>619</v>
      </c>
      <c r="R1150" s="696">
        <v>20211022</v>
      </c>
      <c r="S1150" s="375" t="s">
        <v>7893</v>
      </c>
      <c r="T1150" s="697" t="s">
        <v>768</v>
      </c>
      <c r="U1150" s="372" t="s">
        <v>7894</v>
      </c>
      <c r="V1150" s="722">
        <v>0</v>
      </c>
      <c r="W1150" s="722">
        <v>0</v>
      </c>
      <c r="X1150" s="722">
        <v>0</v>
      </c>
      <c r="Y1150" s="722">
        <v>0</v>
      </c>
      <c r="Z1150" s="382" t="s">
        <v>924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7895</v>
      </c>
      <c r="B1151" s="373" t="s">
        <v>7896</v>
      </c>
      <c r="C1151" s="372" t="s">
        <v>7897</v>
      </c>
      <c r="D1151" s="374">
        <v>1350110049673</v>
      </c>
      <c r="E1151" s="372" t="s">
        <v>7898</v>
      </c>
      <c r="F1151" s="375" t="s">
        <v>1272</v>
      </c>
      <c r="G1151" s="375" t="s">
        <v>1272</v>
      </c>
      <c r="H1151" s="375" t="s">
        <v>858</v>
      </c>
      <c r="I1151" s="375" t="s">
        <v>859</v>
      </c>
      <c r="J1151" s="375">
        <v>50892.442860000003</v>
      </c>
      <c r="K1151" s="375">
        <v>-21391.219570000001</v>
      </c>
      <c r="L1151" s="375">
        <v>-37248.797420000003</v>
      </c>
      <c r="M1151" s="375">
        <v>28917.87844</v>
      </c>
      <c r="N1151" s="372">
        <v>0.94199999999999995</v>
      </c>
      <c r="O1151" s="704">
        <v>20.2221844854549</v>
      </c>
      <c r="P1151" s="375" t="s">
        <v>619</v>
      </c>
      <c r="Q1151" s="372" t="s">
        <v>619</v>
      </c>
      <c r="R1151" s="696">
        <v>20220228</v>
      </c>
      <c r="S1151" s="372" t="s">
        <v>7899</v>
      </c>
      <c r="T1151" s="697" t="s">
        <v>768</v>
      </c>
      <c r="U1151" s="372" t="s">
        <v>7900</v>
      </c>
      <c r="V1151" s="722" t="s">
        <v>770</v>
      </c>
      <c r="W1151" s="722">
        <v>7.09</v>
      </c>
      <c r="X1151" s="722">
        <v>4.03</v>
      </c>
      <c r="Y1151" s="722" t="s">
        <v>770</v>
      </c>
      <c r="Z1151" s="382" t="s">
        <v>924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7901</v>
      </c>
      <c r="B1152" s="373" t="s">
        <v>7902</v>
      </c>
      <c r="C1152" s="372" t="s">
        <v>7903</v>
      </c>
      <c r="D1152" s="374">
        <v>1101110123797</v>
      </c>
      <c r="E1152" s="372" t="s">
        <v>7904</v>
      </c>
      <c r="F1152" s="375" t="s">
        <v>890</v>
      </c>
      <c r="G1152" s="375" t="s">
        <v>891</v>
      </c>
      <c r="H1152" s="375" t="s">
        <v>852</v>
      </c>
      <c r="I1152" s="375" t="s">
        <v>751</v>
      </c>
      <c r="J1152" s="375">
        <v>400088.48298999999</v>
      </c>
      <c r="K1152" s="375">
        <v>2263.29873</v>
      </c>
      <c r="L1152" s="375">
        <v>4023.1157600000001</v>
      </c>
      <c r="M1152" s="375">
        <v>334214.96337000001</v>
      </c>
      <c r="N1152" s="372">
        <v>0.55300000000000005</v>
      </c>
      <c r="O1152" s="704">
        <v>84.257555980962167</v>
      </c>
      <c r="P1152" s="375" t="s">
        <v>619</v>
      </c>
      <c r="Q1152" s="372" t="s">
        <v>619</v>
      </c>
      <c r="R1152" s="696">
        <v>19760629</v>
      </c>
      <c r="S1152" s="372" t="s">
        <v>7905</v>
      </c>
      <c r="T1152" s="697">
        <v>0.20900000000000002</v>
      </c>
      <c r="U1152" s="372" t="s">
        <v>7906</v>
      </c>
      <c r="V1152" s="722">
        <v>9.92</v>
      </c>
      <c r="W1152" s="722">
        <v>0.57999999999999996</v>
      </c>
      <c r="X1152" s="722">
        <v>0.33</v>
      </c>
      <c r="Y1152" s="722">
        <v>37.5</v>
      </c>
      <c r="Z1152" s="382" t="s">
        <v>924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7907</v>
      </c>
      <c r="B1153" s="373" t="s">
        <v>7908</v>
      </c>
      <c r="C1153" s="372" t="s">
        <v>7909</v>
      </c>
      <c r="D1153" s="374">
        <v>1101110008200</v>
      </c>
      <c r="E1153" s="372" t="s">
        <v>7910</v>
      </c>
      <c r="F1153" s="372" t="s">
        <v>1320</v>
      </c>
      <c r="G1153" s="375" t="s">
        <v>16103</v>
      </c>
      <c r="H1153" s="375" t="s">
        <v>781</v>
      </c>
      <c r="I1153" s="375" t="s">
        <v>751</v>
      </c>
      <c r="J1153" s="375">
        <v>87627.614660000007</v>
      </c>
      <c r="K1153" s="375">
        <v>-3225.9863799999998</v>
      </c>
      <c r="L1153" s="375">
        <v>-3263.0399000000002</v>
      </c>
      <c r="M1153" s="375">
        <v>37091.85785</v>
      </c>
      <c r="N1153" s="372">
        <v>0.40699999999999997</v>
      </c>
      <c r="O1153" s="704">
        <v>51.927417439602607</v>
      </c>
      <c r="P1153" s="375" t="s">
        <v>619</v>
      </c>
      <c r="Q1153" s="375" t="s">
        <v>619</v>
      </c>
      <c r="R1153" s="696">
        <v>19900119</v>
      </c>
      <c r="S1153" s="375" t="s">
        <v>7911</v>
      </c>
      <c r="T1153" s="697" t="s">
        <v>768</v>
      </c>
      <c r="U1153" s="372" t="s">
        <v>7912</v>
      </c>
      <c r="V1153" s="722">
        <v>0</v>
      </c>
      <c r="W1153" s="722">
        <v>0</v>
      </c>
      <c r="X1153" s="722">
        <v>0</v>
      </c>
      <c r="Y1153" s="722">
        <v>0</v>
      </c>
      <c r="Z1153" s="382" t="s">
        <v>924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7913</v>
      </c>
      <c r="B1154" s="373" t="s">
        <v>7914</v>
      </c>
      <c r="C1154" s="372" t="s">
        <v>7915</v>
      </c>
      <c r="D1154" s="374">
        <v>1348110004870</v>
      </c>
      <c r="E1154" s="372" t="s">
        <v>7916</v>
      </c>
      <c r="F1154" s="375" t="s">
        <v>2072</v>
      </c>
      <c r="G1154" s="375" t="s">
        <v>3400</v>
      </c>
      <c r="H1154" s="375" t="s">
        <v>858</v>
      </c>
      <c r="I1154" s="375" t="s">
        <v>859</v>
      </c>
      <c r="J1154" s="375">
        <v>552310.05383999995</v>
      </c>
      <c r="K1154" s="375">
        <v>50505.586329999998</v>
      </c>
      <c r="L1154" s="375">
        <v>59838.501680000001</v>
      </c>
      <c r="M1154" s="375">
        <v>365319.55352000002</v>
      </c>
      <c r="N1154" s="372">
        <v>0.85399999999999998</v>
      </c>
      <c r="O1154" s="704">
        <v>0.13287479724860835</v>
      </c>
      <c r="P1154" s="375" t="s">
        <v>619</v>
      </c>
      <c r="Q1154" s="372" t="s">
        <v>619</v>
      </c>
      <c r="R1154" s="696">
        <v>20050125</v>
      </c>
      <c r="S1154" s="375" t="s">
        <v>7917</v>
      </c>
      <c r="T1154" s="697">
        <v>0.23100000000000001</v>
      </c>
      <c r="U1154" s="372" t="s">
        <v>7918</v>
      </c>
      <c r="V1154" s="722">
        <v>2.4</v>
      </c>
      <c r="W1154" s="722">
        <v>0.41</v>
      </c>
      <c r="X1154" s="722">
        <v>0.27</v>
      </c>
      <c r="Y1154" s="722">
        <v>2.79</v>
      </c>
      <c r="Z1154" s="382" t="s">
        <v>924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7919</v>
      </c>
      <c r="B1155" s="373" t="s">
        <v>7920</v>
      </c>
      <c r="C1155" s="372" t="s">
        <v>7921</v>
      </c>
      <c r="D1155" s="374">
        <v>1812110000906</v>
      </c>
      <c r="E1155" s="372" t="s">
        <v>7922</v>
      </c>
      <c r="F1155" s="375" t="s">
        <v>2100</v>
      </c>
      <c r="G1155" s="375" t="s">
        <v>2100</v>
      </c>
      <c r="H1155" s="375" t="s">
        <v>852</v>
      </c>
      <c r="I1155" s="375" t="s">
        <v>751</v>
      </c>
      <c r="J1155" s="375">
        <v>303444.571</v>
      </c>
      <c r="K1155" s="375">
        <v>17716.108370000002</v>
      </c>
      <c r="L1155" s="375">
        <v>18103.255880000001</v>
      </c>
      <c r="M1155" s="375">
        <v>465000.69118000002</v>
      </c>
      <c r="N1155" s="372">
        <v>0.95799999999999996</v>
      </c>
      <c r="O1155" s="704">
        <v>24.908969806849569</v>
      </c>
      <c r="P1155" s="375" t="s">
        <v>619</v>
      </c>
      <c r="Q1155" s="375" t="s">
        <v>619</v>
      </c>
      <c r="R1155" s="696">
        <v>19970307</v>
      </c>
      <c r="S1155" s="375" t="s">
        <v>851</v>
      </c>
      <c r="T1155" s="697">
        <v>0.20900000000000002</v>
      </c>
      <c r="U1155" s="372" t="s">
        <v>7923</v>
      </c>
      <c r="V1155" s="722">
        <v>5.69</v>
      </c>
      <c r="W1155" s="722">
        <v>0.38</v>
      </c>
      <c r="X1155" s="722">
        <v>0.59</v>
      </c>
      <c r="Y1155" s="722">
        <v>13.2</v>
      </c>
      <c r="Z1155" s="382" t="s">
        <v>924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7924</v>
      </c>
      <c r="B1156" s="373" t="s">
        <v>7925</v>
      </c>
      <c r="C1156" s="372" t="s">
        <v>7926</v>
      </c>
      <c r="D1156" s="374">
        <v>1101116314449</v>
      </c>
      <c r="E1156" s="372" t="s">
        <v>7927</v>
      </c>
      <c r="F1156" s="372" t="s">
        <v>1272</v>
      </c>
      <c r="G1156" s="375" t="s">
        <v>1272</v>
      </c>
      <c r="H1156" s="375" t="s">
        <v>858</v>
      </c>
      <c r="I1156" s="375" t="s">
        <v>859</v>
      </c>
      <c r="J1156" s="375">
        <v>69356.832410000003</v>
      </c>
      <c r="K1156" s="375">
        <v>6298.3724199999997</v>
      </c>
      <c r="L1156" s="375">
        <v>5943.91957</v>
      </c>
      <c r="M1156" s="375">
        <v>50111.48848</v>
      </c>
      <c r="N1156" s="372">
        <v>0.72299999999999998</v>
      </c>
      <c r="O1156" s="704">
        <v>2.6748816119602652</v>
      </c>
      <c r="P1156" s="375" t="s">
        <v>619</v>
      </c>
      <c r="Q1156" s="375" t="s">
        <v>619</v>
      </c>
      <c r="R1156" s="696">
        <v>20170601</v>
      </c>
      <c r="S1156" s="375" t="s">
        <v>7928</v>
      </c>
      <c r="T1156" s="697">
        <v>0.20900000000000002</v>
      </c>
      <c r="U1156" s="372" t="s">
        <v>7929</v>
      </c>
      <c r="V1156" s="722">
        <v>20.99</v>
      </c>
      <c r="W1156" s="722">
        <v>3.57</v>
      </c>
      <c r="X1156" s="722">
        <v>2.5499999999999998</v>
      </c>
      <c r="Y1156" s="722">
        <v>29.62</v>
      </c>
      <c r="Z1156" s="382" t="s">
        <v>924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7930</v>
      </c>
      <c r="B1157" s="373" t="s">
        <v>7931</v>
      </c>
      <c r="C1157" s="372" t="s">
        <v>7932</v>
      </c>
      <c r="D1157" s="374">
        <v>1101110412778</v>
      </c>
      <c r="E1157" s="372" t="s">
        <v>7933</v>
      </c>
      <c r="F1157" s="372" t="s">
        <v>7934</v>
      </c>
      <c r="G1157" s="375" t="s">
        <v>7934</v>
      </c>
      <c r="H1157" s="375" t="s">
        <v>1334</v>
      </c>
      <c r="I1157" s="375" t="s">
        <v>859</v>
      </c>
      <c r="J1157" s="375">
        <v>77082.092279999997</v>
      </c>
      <c r="K1157" s="375">
        <v>3007.33347</v>
      </c>
      <c r="L1157" s="375">
        <v>3434.3653599999998</v>
      </c>
      <c r="M1157" s="375">
        <v>56993.723899999997</v>
      </c>
      <c r="N1157" s="372" t="s">
        <v>1023</v>
      </c>
      <c r="O1157" s="704">
        <v>0.35307118531191617</v>
      </c>
      <c r="P1157" s="375" t="s">
        <v>619</v>
      </c>
      <c r="Q1157" s="375" t="s">
        <v>619</v>
      </c>
      <c r="R1157" s="696">
        <v>19970704</v>
      </c>
      <c r="S1157" s="375" t="s">
        <v>16301</v>
      </c>
      <c r="T1157" s="697">
        <v>0.20900000000000002</v>
      </c>
      <c r="U1157" s="375" t="s">
        <v>15890</v>
      </c>
      <c r="V1157" s="722">
        <v>0</v>
      </c>
      <c r="W1157" s="722">
        <v>0</v>
      </c>
      <c r="X1157" s="722">
        <v>0</v>
      </c>
      <c r="Y1157" s="722">
        <v>0</v>
      </c>
      <c r="Z1157" s="382" t="s">
        <v>924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7935</v>
      </c>
      <c r="B1158" s="373" t="s">
        <v>7936</v>
      </c>
      <c r="C1158" s="372" t="s">
        <v>7937</v>
      </c>
      <c r="D1158" s="374">
        <v>1348110106600</v>
      </c>
      <c r="E1158" s="372" t="s">
        <v>7938</v>
      </c>
      <c r="F1158" s="375" t="s">
        <v>3233</v>
      </c>
      <c r="G1158" s="375" t="s">
        <v>3233</v>
      </c>
      <c r="H1158" s="375" t="s">
        <v>858</v>
      </c>
      <c r="I1158" s="375" t="s">
        <v>859</v>
      </c>
      <c r="J1158" s="375">
        <v>58250.670330000001</v>
      </c>
      <c r="K1158" s="375">
        <v>10706.956469999999</v>
      </c>
      <c r="L1158" s="375">
        <v>9909.3593799999999</v>
      </c>
      <c r="M1158" s="375">
        <v>73442.34461</v>
      </c>
      <c r="N1158" s="372">
        <v>0.94599999999999995</v>
      </c>
      <c r="O1158" s="704">
        <v>44.339881609507451</v>
      </c>
      <c r="P1158" s="375" t="s">
        <v>619</v>
      </c>
      <c r="Q1158" s="372" t="s">
        <v>619</v>
      </c>
      <c r="R1158" s="696">
        <v>20191025</v>
      </c>
      <c r="S1158" s="372" t="s">
        <v>7939</v>
      </c>
      <c r="T1158" s="697">
        <v>0.20900000000000002</v>
      </c>
      <c r="U1158" s="372" t="s">
        <v>7940</v>
      </c>
      <c r="V1158" s="722">
        <v>11.15</v>
      </c>
      <c r="W1158" s="722">
        <v>1.83</v>
      </c>
      <c r="X1158" s="722">
        <v>2.29</v>
      </c>
      <c r="Y1158" s="722">
        <v>16.86</v>
      </c>
      <c r="Z1158" s="382">
        <v>7.9225247464439041E-2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758</v>
      </c>
      <c r="AF1158" s="372">
        <v>714</v>
      </c>
      <c r="AG1158" s="372">
        <v>840</v>
      </c>
      <c r="AH1158" s="372">
        <v>0</v>
      </c>
    </row>
    <row r="1159" spans="1:34">
      <c r="A1159" s="372" t="s">
        <v>7941</v>
      </c>
      <c r="B1159" s="373" t="s">
        <v>7942</v>
      </c>
      <c r="C1159" s="372" t="s">
        <v>7943</v>
      </c>
      <c r="D1159" s="374">
        <v>1501110006185</v>
      </c>
      <c r="E1159" s="372" t="s">
        <v>7944</v>
      </c>
      <c r="F1159" s="375" t="s">
        <v>618</v>
      </c>
      <c r="G1159" s="375" t="s">
        <v>618</v>
      </c>
      <c r="H1159" s="375" t="s">
        <v>858</v>
      </c>
      <c r="I1159" s="375" t="s">
        <v>859</v>
      </c>
      <c r="J1159" s="375">
        <v>1258134.9979300001</v>
      </c>
      <c r="K1159" s="375">
        <v>-175252.03632000001</v>
      </c>
      <c r="L1159" s="375">
        <v>-152607.52319000001</v>
      </c>
      <c r="M1159" s="375">
        <v>347484.66350999998</v>
      </c>
      <c r="N1159" s="372">
        <v>1.08</v>
      </c>
      <c r="O1159" s="704">
        <v>939.1631034478678</v>
      </c>
      <c r="P1159" s="375" t="s">
        <v>619</v>
      </c>
      <c r="Q1159" s="375" t="s">
        <v>619</v>
      </c>
      <c r="R1159" s="696">
        <v>19991229</v>
      </c>
      <c r="S1159" s="375" t="s">
        <v>2285</v>
      </c>
      <c r="T1159" s="697" t="s">
        <v>768</v>
      </c>
      <c r="U1159" s="372" t="s">
        <v>7945</v>
      </c>
      <c r="V1159" s="722" t="s">
        <v>770</v>
      </c>
      <c r="W1159" s="722">
        <v>1.1399999999999999</v>
      </c>
      <c r="X1159" s="722">
        <v>7.0000000000000007E-2</v>
      </c>
      <c r="Y1159" s="722" t="s">
        <v>770</v>
      </c>
      <c r="Z1159" s="382" t="s">
        <v>924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7946</v>
      </c>
      <c r="B1160" s="373" t="s">
        <v>7947</v>
      </c>
      <c r="C1160" s="372" t="s">
        <v>7948</v>
      </c>
      <c r="D1160" s="374">
        <v>1901110002721</v>
      </c>
      <c r="E1160" s="372" t="s">
        <v>7949</v>
      </c>
      <c r="F1160" s="375" t="s">
        <v>1951</v>
      </c>
      <c r="G1160" s="375" t="s">
        <v>1952</v>
      </c>
      <c r="H1160" s="375" t="s">
        <v>1313</v>
      </c>
      <c r="I1160" s="375" t="s">
        <v>751</v>
      </c>
      <c r="J1160" s="375">
        <v>149912.10371</v>
      </c>
      <c r="K1160" s="375">
        <v>16896.75563</v>
      </c>
      <c r="L1160" s="375">
        <v>67828.21819</v>
      </c>
      <c r="M1160" s="375">
        <v>564124.62821</v>
      </c>
      <c r="N1160" s="372">
        <v>0.72799999999999998</v>
      </c>
      <c r="O1160" s="704">
        <v>36.673210459439368</v>
      </c>
      <c r="P1160" s="375" t="s">
        <v>619</v>
      </c>
      <c r="Q1160" s="375" t="s">
        <v>619</v>
      </c>
      <c r="R1160" s="696">
        <v>19980727</v>
      </c>
      <c r="S1160" s="375" t="s">
        <v>1953</v>
      </c>
      <c r="T1160" s="697">
        <v>0.23100000000000001</v>
      </c>
      <c r="U1160" s="372" t="s">
        <v>7950</v>
      </c>
      <c r="V1160" s="722">
        <v>6.3</v>
      </c>
      <c r="W1160" s="722">
        <v>0.28999999999999998</v>
      </c>
      <c r="X1160" s="722">
        <v>1.1399999999999999</v>
      </c>
      <c r="Y1160" s="722">
        <v>3.33</v>
      </c>
      <c r="Z1160" s="382" t="s">
        <v>924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7951</v>
      </c>
      <c r="B1161" s="373" t="s">
        <v>7952</v>
      </c>
      <c r="C1161" s="372" t="s">
        <v>7953</v>
      </c>
      <c r="D1161" s="374">
        <v>1101110511273</v>
      </c>
      <c r="E1161" s="372" t="s">
        <v>7954</v>
      </c>
      <c r="F1161" s="372" t="s">
        <v>3882</v>
      </c>
      <c r="G1161" s="375" t="s">
        <v>7791</v>
      </c>
      <c r="H1161" s="375" t="s">
        <v>892</v>
      </c>
      <c r="I1161" s="375" t="s">
        <v>859</v>
      </c>
      <c r="J1161" s="375">
        <v>20276.168669999999</v>
      </c>
      <c r="K1161" s="375">
        <v>6311.80782</v>
      </c>
      <c r="L1161" s="375">
        <v>6353.2736699999996</v>
      </c>
      <c r="M1161" s="375">
        <v>133694.77953999999</v>
      </c>
      <c r="N1161" s="372">
        <v>1.0029999999999999</v>
      </c>
      <c r="O1161" s="704">
        <v>0</v>
      </c>
      <c r="P1161" s="375" t="s">
        <v>619</v>
      </c>
      <c r="Q1161" s="375" t="s">
        <v>619</v>
      </c>
      <c r="R1161" s="696">
        <v>19890830</v>
      </c>
      <c r="S1161" s="375" t="s">
        <v>7792</v>
      </c>
      <c r="T1161" s="697">
        <v>0.20900000000000002</v>
      </c>
      <c r="U1161" s="372" t="s">
        <v>7955</v>
      </c>
      <c r="V1161" s="722">
        <v>0</v>
      </c>
      <c r="W1161" s="722">
        <v>0</v>
      </c>
      <c r="X1161" s="722">
        <v>0</v>
      </c>
      <c r="Y1161" s="722">
        <v>0</v>
      </c>
      <c r="Z1161" s="382" t="s">
        <v>924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7956</v>
      </c>
      <c r="B1162" s="373" t="s">
        <v>7957</v>
      </c>
      <c r="C1162" s="372" t="s">
        <v>7958</v>
      </c>
      <c r="D1162" s="374">
        <v>1101114962042</v>
      </c>
      <c r="E1162" s="372" t="s">
        <v>7959</v>
      </c>
      <c r="F1162" s="375" t="s">
        <v>1693</v>
      </c>
      <c r="G1162" s="375" t="s">
        <v>1693</v>
      </c>
      <c r="H1162" s="375" t="s">
        <v>1334</v>
      </c>
      <c r="I1162" s="375" t="s">
        <v>859</v>
      </c>
      <c r="J1162" s="375">
        <v>104879.04640000001</v>
      </c>
      <c r="K1162" s="375">
        <v>-4145.4544100000003</v>
      </c>
      <c r="L1162" s="375">
        <v>-6065.8776099999995</v>
      </c>
      <c r="M1162" s="375">
        <v>29528.64399</v>
      </c>
      <c r="N1162" s="372">
        <v>1.0840000000000001</v>
      </c>
      <c r="O1162" s="704">
        <v>50.688817588602461</v>
      </c>
      <c r="P1162" s="375" t="s">
        <v>619</v>
      </c>
      <c r="Q1162" s="375" t="s">
        <v>619</v>
      </c>
      <c r="R1162" s="696">
        <v>20210121</v>
      </c>
      <c r="S1162" s="375" t="s">
        <v>7960</v>
      </c>
      <c r="T1162" s="697" t="s">
        <v>768</v>
      </c>
      <c r="U1162" s="372" t="s">
        <v>7961</v>
      </c>
      <c r="V1162" s="722" t="s">
        <v>770</v>
      </c>
      <c r="W1162" s="722">
        <v>1.82</v>
      </c>
      <c r="X1162" s="722">
        <v>0.61</v>
      </c>
      <c r="Y1162" s="722" t="s">
        <v>770</v>
      </c>
      <c r="Z1162" s="382">
        <v>0.12194957661058026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1068</v>
      </c>
      <c r="AF1162" s="372">
        <v>1288</v>
      </c>
      <c r="AG1162" s="372">
        <v>1690</v>
      </c>
      <c r="AH1162" s="372">
        <v>0</v>
      </c>
    </row>
    <row r="1163" spans="1:34">
      <c r="A1163" s="372" t="s">
        <v>7962</v>
      </c>
      <c r="B1163" s="373" t="s">
        <v>7963</v>
      </c>
      <c r="C1163" s="372" t="s">
        <v>7964</v>
      </c>
      <c r="D1163" s="374">
        <v>1201110764789</v>
      </c>
      <c r="E1163" s="372" t="s">
        <v>7965</v>
      </c>
      <c r="F1163" s="375" t="s">
        <v>1817</v>
      </c>
      <c r="G1163" s="375" t="s">
        <v>1818</v>
      </c>
      <c r="H1163" s="375" t="s">
        <v>858</v>
      </c>
      <c r="I1163" s="375" t="s">
        <v>859</v>
      </c>
      <c r="J1163" s="375">
        <v>13494.49193</v>
      </c>
      <c r="K1163" s="375">
        <v>-15577.399729999999</v>
      </c>
      <c r="L1163" s="375">
        <v>-16346.30207</v>
      </c>
      <c r="M1163" s="375">
        <v>6462.2674999999999</v>
      </c>
      <c r="N1163" s="372" t="s">
        <v>1023</v>
      </c>
      <c r="O1163" s="704">
        <v>25.60237428237933</v>
      </c>
      <c r="P1163" s="375" t="s">
        <v>619</v>
      </c>
      <c r="Q1163" s="372" t="s">
        <v>619</v>
      </c>
      <c r="R1163" s="696">
        <v>20230719</v>
      </c>
      <c r="S1163" s="372" t="s">
        <v>7966</v>
      </c>
      <c r="T1163" s="697" t="s">
        <v>768</v>
      </c>
      <c r="U1163" s="372" t="s">
        <v>7967</v>
      </c>
      <c r="V1163" s="722" t="s">
        <v>770</v>
      </c>
      <c r="W1163" s="722">
        <v>10.17</v>
      </c>
      <c r="X1163" s="722">
        <v>4.8499999999999996</v>
      </c>
      <c r="Y1163" s="722" t="s">
        <v>770</v>
      </c>
      <c r="Z1163" s="382" t="s">
        <v>924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7968</v>
      </c>
      <c r="B1164" s="373" t="s">
        <v>7969</v>
      </c>
      <c r="C1164" s="372" t="s">
        <v>7970</v>
      </c>
      <c r="D1164" s="374">
        <v>1101113306861</v>
      </c>
      <c r="E1164" s="372" t="s">
        <v>7971</v>
      </c>
      <c r="F1164" s="372" t="s">
        <v>1066</v>
      </c>
      <c r="G1164" s="375" t="s">
        <v>1066</v>
      </c>
      <c r="H1164" s="375" t="s">
        <v>3096</v>
      </c>
      <c r="I1164" s="375" t="s">
        <v>859</v>
      </c>
      <c r="J1164" s="375">
        <v>16841.623780000002</v>
      </c>
      <c r="K1164" s="375">
        <v>-4720.8629899999996</v>
      </c>
      <c r="L1164" s="375">
        <v>-8394.1796099999992</v>
      </c>
      <c r="M1164" s="375">
        <v>114046.00675</v>
      </c>
      <c r="N1164" s="372">
        <v>0.70499999999999996</v>
      </c>
      <c r="O1164" s="704">
        <v>68.216557089382164</v>
      </c>
      <c r="P1164" s="375" t="s">
        <v>619</v>
      </c>
      <c r="Q1164" s="372" t="s">
        <v>619</v>
      </c>
      <c r="R1164" s="696">
        <v>20220124</v>
      </c>
      <c r="S1164" s="372" t="s">
        <v>7972</v>
      </c>
      <c r="T1164" s="697" t="s">
        <v>768</v>
      </c>
      <c r="U1164" s="372" t="s">
        <v>7973</v>
      </c>
      <c r="V1164" s="722" t="s">
        <v>770</v>
      </c>
      <c r="W1164" s="722">
        <v>1.1000000000000001</v>
      </c>
      <c r="X1164" s="722">
        <v>7.87</v>
      </c>
      <c r="Y1164" s="722" t="s">
        <v>770</v>
      </c>
      <c r="Z1164" s="382" t="s">
        <v>924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7974</v>
      </c>
      <c r="B1165" s="373" t="s">
        <v>7975</v>
      </c>
      <c r="C1165" s="372" t="s">
        <v>7976</v>
      </c>
      <c r="D1165" s="374">
        <v>2801110078161</v>
      </c>
      <c r="E1165" s="372" t="s">
        <v>7977</v>
      </c>
      <c r="F1165" s="375" t="s">
        <v>5858</v>
      </c>
      <c r="G1165" s="375" t="s">
        <v>5858</v>
      </c>
      <c r="H1165" s="375" t="s">
        <v>858</v>
      </c>
      <c r="I1165" s="375" t="s">
        <v>859</v>
      </c>
      <c r="J1165" s="375">
        <v>0</v>
      </c>
      <c r="K1165" s="375">
        <v>0</v>
      </c>
      <c r="L1165" s="375">
        <v>0</v>
      </c>
      <c r="M1165" s="375">
        <v>74944.118889999998</v>
      </c>
      <c r="N1165" s="372">
        <v>0.79300000000000004</v>
      </c>
      <c r="O1165" s="704">
        <v>0.54591118270388017</v>
      </c>
      <c r="P1165" s="375" t="s">
        <v>619</v>
      </c>
      <c r="Q1165" s="375" t="s">
        <v>619</v>
      </c>
      <c r="R1165" s="696">
        <v>20220323</v>
      </c>
      <c r="S1165" s="375" t="s">
        <v>7978</v>
      </c>
      <c r="T1165" s="697" t="s">
        <v>768</v>
      </c>
      <c r="U1165" s="372" t="s">
        <v>7979</v>
      </c>
      <c r="V1165" s="722">
        <v>0</v>
      </c>
      <c r="W1165" s="722">
        <v>1.52</v>
      </c>
      <c r="X1165" s="722">
        <v>0</v>
      </c>
      <c r="Y1165" s="722">
        <v>0</v>
      </c>
      <c r="Z1165" s="382" t="s">
        <v>924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7980</v>
      </c>
      <c r="B1166" s="373" t="s">
        <v>7981</v>
      </c>
      <c r="C1166" s="372" t="s">
        <v>7982</v>
      </c>
      <c r="D1166" s="374">
        <v>1301110008961</v>
      </c>
      <c r="E1166" s="372" t="s">
        <v>7983</v>
      </c>
      <c r="F1166" s="375" t="s">
        <v>1860</v>
      </c>
      <c r="G1166" s="375" t="s">
        <v>7984</v>
      </c>
      <c r="H1166" s="375" t="s">
        <v>858</v>
      </c>
      <c r="I1166" s="375" t="s">
        <v>859</v>
      </c>
      <c r="J1166" s="375">
        <v>929740.45891000004</v>
      </c>
      <c r="K1166" s="375">
        <v>39602.313119999999</v>
      </c>
      <c r="L1166" s="375">
        <v>19865.837930000002</v>
      </c>
      <c r="M1166" s="375">
        <v>219799.14726999999</v>
      </c>
      <c r="N1166" s="372">
        <v>0.872</v>
      </c>
      <c r="O1166" s="704">
        <v>185.46269387522113</v>
      </c>
      <c r="P1166" s="375" t="s">
        <v>619</v>
      </c>
      <c r="Q1166" s="375" t="s">
        <v>619</v>
      </c>
      <c r="R1166" s="696">
        <v>19941019</v>
      </c>
      <c r="S1166" s="375" t="s">
        <v>7985</v>
      </c>
      <c r="T1166" s="697">
        <v>0.20900000000000002</v>
      </c>
      <c r="U1166" s="375" t="s">
        <v>7986</v>
      </c>
      <c r="V1166" s="722">
        <v>5.58</v>
      </c>
      <c r="W1166" s="722">
        <v>0.63</v>
      </c>
      <c r="X1166" s="722">
        <v>0.15</v>
      </c>
      <c r="Y1166" s="722">
        <v>11.4</v>
      </c>
      <c r="Z1166" s="382" t="s">
        <v>924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7987</v>
      </c>
      <c r="B1167" s="373" t="s">
        <v>7988</v>
      </c>
      <c r="C1167" s="372" t="s">
        <v>7989</v>
      </c>
      <c r="D1167" s="374">
        <v>1101113430040</v>
      </c>
      <c r="E1167" s="372" t="s">
        <v>7990</v>
      </c>
      <c r="F1167" s="375" t="s">
        <v>1093</v>
      </c>
      <c r="G1167" s="375" t="s">
        <v>1094</v>
      </c>
      <c r="H1167" s="375" t="s">
        <v>858</v>
      </c>
      <c r="I1167" s="375" t="s">
        <v>859</v>
      </c>
      <c r="J1167" s="375">
        <v>28384.862509999999</v>
      </c>
      <c r="K1167" s="375">
        <v>-4333.2683800000004</v>
      </c>
      <c r="L1167" s="375">
        <v>-13129.928599999999</v>
      </c>
      <c r="M1167" s="375">
        <v>27620.309410000002</v>
      </c>
      <c r="N1167" s="372">
        <v>0.94199999999999995</v>
      </c>
      <c r="O1167" s="704">
        <v>23.67823903680474</v>
      </c>
      <c r="P1167" s="375" t="s">
        <v>619</v>
      </c>
      <c r="Q1167" s="372" t="s">
        <v>619</v>
      </c>
      <c r="R1167" s="696">
        <v>20191111</v>
      </c>
      <c r="S1167" s="372" t="s">
        <v>7991</v>
      </c>
      <c r="T1167" s="697" t="s">
        <v>768</v>
      </c>
      <c r="U1167" s="375" t="s">
        <v>7992</v>
      </c>
      <c r="V1167" s="722">
        <v>113510.19</v>
      </c>
      <c r="W1167" s="722">
        <v>4.75</v>
      </c>
      <c r="X1167" s="722">
        <v>5.99</v>
      </c>
      <c r="Y1167" s="722" t="s">
        <v>770</v>
      </c>
      <c r="Z1167" s="382" t="s">
        <v>924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284</v>
      </c>
      <c r="AF1167" s="372">
        <v>0</v>
      </c>
      <c r="AG1167" s="372">
        <v>0</v>
      </c>
      <c r="AH1167" s="372">
        <v>0</v>
      </c>
    </row>
    <row r="1168" spans="1:34">
      <c r="A1168" s="372" t="s">
        <v>7993</v>
      </c>
      <c r="B1168" s="373" t="s">
        <v>7994</v>
      </c>
      <c r="C1168" s="372" t="s">
        <v>7995</v>
      </c>
      <c r="D1168" s="374">
        <v>1101111412256</v>
      </c>
      <c r="E1168" s="372" t="s">
        <v>7996</v>
      </c>
      <c r="F1168" s="375" t="s">
        <v>5896</v>
      </c>
      <c r="G1168" s="375" t="s">
        <v>5896</v>
      </c>
      <c r="H1168" s="375" t="s">
        <v>814</v>
      </c>
      <c r="I1168" s="375" t="s">
        <v>751</v>
      </c>
      <c r="J1168" s="375">
        <v>502952.60755000002</v>
      </c>
      <c r="K1168" s="375">
        <v>17842.61966</v>
      </c>
      <c r="L1168" s="375">
        <v>16118.92282</v>
      </c>
      <c r="M1168" s="375">
        <v>72306.69786</v>
      </c>
      <c r="N1168" s="372">
        <v>0.57299999999999995</v>
      </c>
      <c r="O1168" s="704">
        <v>17.130560605851461</v>
      </c>
      <c r="P1168" s="375" t="s">
        <v>619</v>
      </c>
      <c r="Q1168" s="372" t="s">
        <v>619</v>
      </c>
      <c r="R1168" s="696">
        <v>20071025</v>
      </c>
      <c r="S1168" s="372" t="s">
        <v>7997</v>
      </c>
      <c r="T1168" s="697">
        <v>0.20900000000000002</v>
      </c>
      <c r="U1168" s="372" t="s">
        <v>7998</v>
      </c>
      <c r="V1168" s="722">
        <v>3.47</v>
      </c>
      <c r="W1168" s="722">
        <v>2.0099999999999998</v>
      </c>
      <c r="X1168" s="722">
        <v>0.32</v>
      </c>
      <c r="Y1168" s="722">
        <v>12.43</v>
      </c>
      <c r="Z1168" s="382" t="s">
        <v>924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7999</v>
      </c>
      <c r="B1169" s="373" t="s">
        <v>8000</v>
      </c>
      <c r="C1169" s="372" t="s">
        <v>8001</v>
      </c>
      <c r="D1169" s="374">
        <v>1358110085019</v>
      </c>
      <c r="E1169" s="372" t="s">
        <v>8002</v>
      </c>
      <c r="F1169" s="372" t="s">
        <v>1246</v>
      </c>
      <c r="G1169" s="375" t="s">
        <v>1246</v>
      </c>
      <c r="H1169" s="375" t="s">
        <v>858</v>
      </c>
      <c r="I1169" s="375" t="s">
        <v>859</v>
      </c>
      <c r="J1169" s="375">
        <v>87275.486139999994</v>
      </c>
      <c r="K1169" s="375">
        <v>4066.2672600000001</v>
      </c>
      <c r="L1169" s="375">
        <v>-2884.9743899999999</v>
      </c>
      <c r="M1169" s="375">
        <v>105102.04213</v>
      </c>
      <c r="N1169" s="372">
        <v>0.86399999999999999</v>
      </c>
      <c r="O1169" s="704">
        <v>13.472807051978874</v>
      </c>
      <c r="P1169" s="375" t="s">
        <v>619</v>
      </c>
      <c r="Q1169" s="372" t="s">
        <v>619</v>
      </c>
      <c r="R1169" s="696">
        <v>20051118</v>
      </c>
      <c r="S1169" s="372" t="s">
        <v>8003</v>
      </c>
      <c r="T1169" s="697" t="s">
        <v>768</v>
      </c>
      <c r="U1169" s="372" t="s">
        <v>8004</v>
      </c>
      <c r="V1169" s="722">
        <v>28.63</v>
      </c>
      <c r="W1169" s="722">
        <v>1.81</v>
      </c>
      <c r="X1169" s="722">
        <v>2.1800000000000002</v>
      </c>
      <c r="Y1169" s="722" t="s">
        <v>770</v>
      </c>
      <c r="Z1169" s="382" t="s">
        <v>924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8005</v>
      </c>
      <c r="B1170" s="373" t="s">
        <v>8006</v>
      </c>
      <c r="C1170" s="372" t="s">
        <v>8007</v>
      </c>
      <c r="D1170" s="374">
        <v>1650110006768</v>
      </c>
      <c r="E1170" s="372" t="s">
        <v>8008</v>
      </c>
      <c r="F1170" s="375" t="s">
        <v>1354</v>
      </c>
      <c r="G1170" s="375" t="s">
        <v>1354</v>
      </c>
      <c r="H1170" s="375" t="s">
        <v>823</v>
      </c>
      <c r="I1170" s="375" t="s">
        <v>751</v>
      </c>
      <c r="J1170" s="375">
        <v>986451.45915999997</v>
      </c>
      <c r="K1170" s="375">
        <v>29496.84821</v>
      </c>
      <c r="L1170" s="375">
        <v>13863.93082</v>
      </c>
      <c r="M1170" s="375">
        <v>323450.01202999998</v>
      </c>
      <c r="N1170" s="372">
        <v>0.745</v>
      </c>
      <c r="O1170" s="704">
        <v>140.42452139076264</v>
      </c>
      <c r="P1170" s="375" t="s">
        <v>619</v>
      </c>
      <c r="Q1170" s="375" t="s">
        <v>619</v>
      </c>
      <c r="R1170" s="696">
        <v>20060925</v>
      </c>
      <c r="S1170" s="375" t="s">
        <v>8009</v>
      </c>
      <c r="T1170" s="697">
        <v>0.20900000000000002</v>
      </c>
      <c r="U1170" s="372" t="s">
        <v>8010</v>
      </c>
      <c r="V1170" s="722">
        <v>5.5</v>
      </c>
      <c r="W1170" s="722">
        <v>0.39</v>
      </c>
      <c r="X1170" s="722">
        <v>0.14000000000000001</v>
      </c>
      <c r="Y1170" s="722">
        <v>15.03</v>
      </c>
      <c r="Z1170" s="382" t="s">
        <v>924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8011</v>
      </c>
      <c r="B1171" s="373" t="s">
        <v>8012</v>
      </c>
      <c r="C1171" s="372" t="s">
        <v>8013</v>
      </c>
      <c r="D1171" s="374">
        <v>1101111234543</v>
      </c>
      <c r="E1171" s="372" t="s">
        <v>8014</v>
      </c>
      <c r="F1171" s="375" t="s">
        <v>1148</v>
      </c>
      <c r="G1171" s="375" t="s">
        <v>1148</v>
      </c>
      <c r="H1171" s="375" t="s">
        <v>8015</v>
      </c>
      <c r="I1171" s="375" t="s">
        <v>859</v>
      </c>
      <c r="J1171" s="375">
        <v>948540.02599999995</v>
      </c>
      <c r="K1171" s="375">
        <v>43998.31508</v>
      </c>
      <c r="L1171" s="375">
        <v>38568.83812</v>
      </c>
      <c r="M1171" s="375">
        <v>240890.00787999999</v>
      </c>
      <c r="N1171" s="372">
        <v>0.63500000000000001</v>
      </c>
      <c r="O1171" s="704">
        <v>113.50428559078982</v>
      </c>
      <c r="P1171" s="375" t="s">
        <v>619</v>
      </c>
      <c r="Q1171" s="372" t="s">
        <v>619</v>
      </c>
      <c r="R1171" s="696">
        <v>20191210</v>
      </c>
      <c r="S1171" s="372" t="s">
        <v>8016</v>
      </c>
      <c r="T1171" s="697">
        <v>0.23100000000000001</v>
      </c>
      <c r="U1171" s="372" t="s">
        <v>8017</v>
      </c>
      <c r="V1171" s="722">
        <v>3.55</v>
      </c>
      <c r="W1171" s="722">
        <v>0.67</v>
      </c>
      <c r="X1171" s="722">
        <v>0.18</v>
      </c>
      <c r="Y1171" s="722">
        <v>5.93</v>
      </c>
      <c r="Z1171" s="382" t="s">
        <v>924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8018</v>
      </c>
      <c r="B1172" s="373" t="s">
        <v>8019</v>
      </c>
      <c r="C1172" s="372" t="s">
        <v>8020</v>
      </c>
      <c r="D1172" s="374">
        <v>1101111767510</v>
      </c>
      <c r="E1172" s="372" t="s">
        <v>8021</v>
      </c>
      <c r="F1172" s="375" t="s">
        <v>4733</v>
      </c>
      <c r="G1172" s="375" t="s">
        <v>5965</v>
      </c>
      <c r="H1172" s="375" t="s">
        <v>1334</v>
      </c>
      <c r="I1172" s="375" t="s">
        <v>859</v>
      </c>
      <c r="J1172" s="375">
        <v>84991.926380000004</v>
      </c>
      <c r="K1172" s="375">
        <v>2848.1473599999999</v>
      </c>
      <c r="L1172" s="375">
        <v>10121.739589999999</v>
      </c>
      <c r="M1172" s="375">
        <v>175844.91292</v>
      </c>
      <c r="N1172" s="372">
        <v>0.61699999999999999</v>
      </c>
      <c r="O1172" s="704">
        <v>9.1346547543139867</v>
      </c>
      <c r="P1172" s="375" t="s">
        <v>619</v>
      </c>
      <c r="Q1172" s="372" t="s">
        <v>619</v>
      </c>
      <c r="R1172" s="696">
        <v>20040728</v>
      </c>
      <c r="S1172" s="372" t="s">
        <v>8022</v>
      </c>
      <c r="T1172" s="697">
        <v>0.20900000000000002</v>
      </c>
      <c r="U1172" s="372" t="s">
        <v>8023</v>
      </c>
      <c r="V1172" s="722">
        <v>18.21</v>
      </c>
      <c r="W1172" s="722">
        <v>0.69</v>
      </c>
      <c r="X1172" s="722">
        <v>1.5</v>
      </c>
      <c r="Y1172" s="722">
        <v>15.55</v>
      </c>
      <c r="Z1172" s="382" t="s">
        <v>924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8024</v>
      </c>
      <c r="B1173" s="373" t="s">
        <v>8025</v>
      </c>
      <c r="C1173" s="372" t="s">
        <v>8026</v>
      </c>
      <c r="D1173" s="374">
        <v>1101113734955</v>
      </c>
      <c r="E1173" s="372" t="s">
        <v>8027</v>
      </c>
      <c r="F1173" s="375" t="s">
        <v>1693</v>
      </c>
      <c r="G1173" s="375" t="s">
        <v>1693</v>
      </c>
      <c r="H1173" s="375" t="s">
        <v>1334</v>
      </c>
      <c r="I1173" s="375" t="s">
        <v>859</v>
      </c>
      <c r="J1173" s="375">
        <v>44718.345289999997</v>
      </c>
      <c r="K1173" s="375">
        <v>9838.95471</v>
      </c>
      <c r="L1173" s="375">
        <v>13189.85752</v>
      </c>
      <c r="M1173" s="375">
        <v>118017.07424</v>
      </c>
      <c r="N1173" s="372">
        <v>0.621</v>
      </c>
      <c r="O1173" s="704">
        <v>3.9559579775036822</v>
      </c>
      <c r="P1173" s="375" t="s">
        <v>619</v>
      </c>
      <c r="Q1173" s="372" t="s">
        <v>619</v>
      </c>
      <c r="R1173" s="696">
        <v>20161031</v>
      </c>
      <c r="S1173" s="372" t="s">
        <v>8028</v>
      </c>
      <c r="T1173" s="697">
        <v>0.20900000000000002</v>
      </c>
      <c r="U1173" s="372" t="s">
        <v>8029</v>
      </c>
      <c r="V1173" s="722">
        <v>7.74</v>
      </c>
      <c r="W1173" s="722">
        <v>0.65</v>
      </c>
      <c r="X1173" s="722">
        <v>1.98</v>
      </c>
      <c r="Y1173" s="722">
        <v>8.69</v>
      </c>
      <c r="Z1173" s="382" t="s">
        <v>924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580</v>
      </c>
      <c r="AG1173" s="372">
        <v>0</v>
      </c>
      <c r="AH1173" s="372">
        <v>0</v>
      </c>
    </row>
    <row r="1174" spans="1:34">
      <c r="A1174" s="372" t="s">
        <v>8030</v>
      </c>
      <c r="B1174" s="373" t="s">
        <v>8031</v>
      </c>
      <c r="C1174" s="372" t="s">
        <v>16077</v>
      </c>
      <c r="D1174" s="374">
        <v>1450110002801</v>
      </c>
      <c r="E1174" s="372" t="s">
        <v>16078</v>
      </c>
      <c r="F1174" s="375" t="s">
        <v>3286</v>
      </c>
      <c r="G1174" s="375" t="s">
        <v>8032</v>
      </c>
      <c r="H1174" s="375" t="s">
        <v>814</v>
      </c>
      <c r="I1174" s="375" t="s">
        <v>751</v>
      </c>
      <c r="J1174" s="375">
        <v>274385.12781999999</v>
      </c>
      <c r="K1174" s="375">
        <v>31223.428970000001</v>
      </c>
      <c r="L1174" s="375">
        <v>23774.873899999999</v>
      </c>
      <c r="M1174" s="375">
        <v>393268.03427</v>
      </c>
      <c r="N1174" s="372">
        <v>0.61899999999999999</v>
      </c>
      <c r="O1174" s="704">
        <v>156.20165079243674</v>
      </c>
      <c r="P1174" s="375" t="s">
        <v>619</v>
      </c>
      <c r="Q1174" s="372" t="s">
        <v>619</v>
      </c>
      <c r="R1174" s="696">
        <v>20160527</v>
      </c>
      <c r="S1174" s="372" t="s">
        <v>8033</v>
      </c>
      <c r="T1174" s="697">
        <v>0.23100000000000001</v>
      </c>
      <c r="U1174" s="372" t="s">
        <v>8034</v>
      </c>
      <c r="V1174" s="722">
        <v>7.77</v>
      </c>
      <c r="W1174" s="722">
        <v>0.51</v>
      </c>
      <c r="X1174" s="722">
        <v>0.74</v>
      </c>
      <c r="Y1174" s="722">
        <v>10.82</v>
      </c>
      <c r="Z1174" s="382">
        <v>0.18942113925083159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3386.5</v>
      </c>
      <c r="AF1174" s="372">
        <v>3795</v>
      </c>
      <c r="AG1174" s="372">
        <v>4236</v>
      </c>
      <c r="AH1174" s="372">
        <v>4364</v>
      </c>
    </row>
    <row r="1175" spans="1:34">
      <c r="A1175" s="372" t="s">
        <v>8035</v>
      </c>
      <c r="B1175" s="373" t="s">
        <v>8036</v>
      </c>
      <c r="C1175" s="372" t="s">
        <v>16302</v>
      </c>
      <c r="D1175" s="374">
        <v>1351110082291</v>
      </c>
      <c r="E1175" s="372" t="s">
        <v>8037</v>
      </c>
      <c r="F1175" s="375" t="s">
        <v>2121</v>
      </c>
      <c r="G1175" s="375" t="s">
        <v>4228</v>
      </c>
      <c r="H1175" s="375" t="s">
        <v>858</v>
      </c>
      <c r="I1175" s="375" t="s">
        <v>859</v>
      </c>
      <c r="J1175" s="375">
        <v>0</v>
      </c>
      <c r="K1175" s="375">
        <v>0</v>
      </c>
      <c r="L1175" s="375">
        <v>0</v>
      </c>
      <c r="M1175" s="375">
        <v>0</v>
      </c>
      <c r="N1175" s="372">
        <v>0.33400000000000002</v>
      </c>
      <c r="O1175" s="704" t="s">
        <v>16298</v>
      </c>
      <c r="P1175" s="375" t="s">
        <v>619</v>
      </c>
      <c r="Q1175" s="375" t="s">
        <v>619</v>
      </c>
      <c r="R1175" s="696">
        <v>20200806</v>
      </c>
      <c r="S1175" s="375" t="e">
        <v>#N/A</v>
      </c>
      <c r="T1175" s="697" t="s">
        <v>768</v>
      </c>
      <c r="U1175" s="372" t="s">
        <v>8038</v>
      </c>
      <c r="V1175" s="722">
        <v>0</v>
      </c>
      <c r="W1175" s="722">
        <v>0</v>
      </c>
      <c r="X1175" s="722">
        <v>0</v>
      </c>
      <c r="Y1175" s="722">
        <v>0</v>
      </c>
      <c r="Z1175" s="382" t="s">
        <v>924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8039</v>
      </c>
      <c r="B1176" s="373" t="s">
        <v>8040</v>
      </c>
      <c r="C1176" s="372" t="s">
        <v>8041</v>
      </c>
      <c r="D1176" s="374">
        <v>1101116353116</v>
      </c>
      <c r="E1176" s="372" t="s">
        <v>8042</v>
      </c>
      <c r="F1176" s="375" t="s">
        <v>1959</v>
      </c>
      <c r="G1176" s="375" t="s">
        <v>1959</v>
      </c>
      <c r="H1176" s="375" t="s">
        <v>858</v>
      </c>
      <c r="I1176" s="375" t="s">
        <v>859</v>
      </c>
      <c r="J1176" s="375">
        <v>137508.4258</v>
      </c>
      <c r="K1176" s="375">
        <v>264.19447000000002</v>
      </c>
      <c r="L1176" s="375">
        <v>28492.508969999999</v>
      </c>
      <c r="M1176" s="375">
        <v>90315.349419999999</v>
      </c>
      <c r="N1176" s="372">
        <v>0.83899999999999997</v>
      </c>
      <c r="O1176" s="704">
        <v>70.831730914401717</v>
      </c>
      <c r="P1176" s="375" t="s">
        <v>619</v>
      </c>
      <c r="Q1176" s="375" t="s">
        <v>619</v>
      </c>
      <c r="R1176" s="696">
        <v>20170622</v>
      </c>
      <c r="S1176" s="375" t="s">
        <v>8043</v>
      </c>
      <c r="T1176" s="697">
        <v>0.23100000000000001</v>
      </c>
      <c r="U1176" s="375" t="s">
        <v>8044</v>
      </c>
      <c r="V1176" s="722">
        <v>53.22</v>
      </c>
      <c r="W1176" s="722">
        <v>1.39</v>
      </c>
      <c r="X1176" s="722">
        <v>0.83</v>
      </c>
      <c r="Y1176" s="722">
        <v>5.49</v>
      </c>
      <c r="Z1176" s="382">
        <v>0.15502678143513782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1650</v>
      </c>
      <c r="AF1176" s="372">
        <v>1904</v>
      </c>
      <c r="AG1176" s="372">
        <v>2190</v>
      </c>
      <c r="AH1176" s="372">
        <v>0</v>
      </c>
    </row>
    <row r="1177" spans="1:34">
      <c r="A1177" s="372" t="s">
        <v>8045</v>
      </c>
      <c r="B1177" s="373" t="s">
        <v>8046</v>
      </c>
      <c r="C1177" s="372" t="s">
        <v>8047</v>
      </c>
      <c r="D1177" s="374">
        <v>1101116246759</v>
      </c>
      <c r="E1177" s="372" t="s">
        <v>8048</v>
      </c>
      <c r="F1177" s="375" t="s">
        <v>1747</v>
      </c>
      <c r="G1177" s="375" t="s">
        <v>1747</v>
      </c>
      <c r="H1177" s="375" t="s">
        <v>858</v>
      </c>
      <c r="I1177" s="375" t="s">
        <v>859</v>
      </c>
      <c r="J1177" s="375">
        <v>109517.87579999999</v>
      </c>
      <c r="K1177" s="375">
        <v>1962.61932</v>
      </c>
      <c r="L1177" s="375">
        <v>-1132.6948600000001</v>
      </c>
      <c r="M1177" s="375">
        <v>62641.564539999999</v>
      </c>
      <c r="N1177" s="372">
        <v>0.83599999999999997</v>
      </c>
      <c r="O1177" s="704">
        <v>103.97292185619631</v>
      </c>
      <c r="P1177" s="375" t="s">
        <v>619</v>
      </c>
      <c r="Q1177" s="375" t="s">
        <v>619</v>
      </c>
      <c r="R1177" s="696">
        <v>20170626</v>
      </c>
      <c r="S1177" s="375" t="s">
        <v>8049</v>
      </c>
      <c r="T1177" s="697" t="s">
        <v>768</v>
      </c>
      <c r="U1177" s="372" t="s">
        <v>8050</v>
      </c>
      <c r="V1177" s="722">
        <v>27.31</v>
      </c>
      <c r="W1177" s="722">
        <v>1.81</v>
      </c>
      <c r="X1177" s="722">
        <v>1.0900000000000001</v>
      </c>
      <c r="Y1177" s="722">
        <v>156.56</v>
      </c>
      <c r="Z1177" s="382" t="s">
        <v>924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8051</v>
      </c>
      <c r="B1178" s="373" t="s">
        <v>8052</v>
      </c>
      <c r="C1178" s="372" t="s">
        <v>8053</v>
      </c>
      <c r="D1178" s="374">
        <v>1351110048798</v>
      </c>
      <c r="E1178" s="372" t="s">
        <v>8054</v>
      </c>
      <c r="F1178" s="375" t="s">
        <v>2181</v>
      </c>
      <c r="G1178" s="375" t="s">
        <v>4880</v>
      </c>
      <c r="H1178" s="375" t="s">
        <v>858</v>
      </c>
      <c r="I1178" s="375" t="s">
        <v>859</v>
      </c>
      <c r="J1178" s="375">
        <v>33666.71862</v>
      </c>
      <c r="K1178" s="375">
        <v>3998.70282</v>
      </c>
      <c r="L1178" s="375">
        <v>5223.2000399999997</v>
      </c>
      <c r="M1178" s="375">
        <v>71106.691470000005</v>
      </c>
      <c r="N1178" s="372">
        <v>0.77800000000000002</v>
      </c>
      <c r="O1178" s="704">
        <v>0.21806228501309108</v>
      </c>
      <c r="P1178" s="375" t="s">
        <v>619</v>
      </c>
      <c r="Q1178" s="375" t="s">
        <v>619</v>
      </c>
      <c r="R1178" s="696">
        <v>20200729</v>
      </c>
      <c r="S1178" s="375" t="s">
        <v>8055</v>
      </c>
      <c r="T1178" s="697">
        <v>0.20900000000000002</v>
      </c>
      <c r="U1178" s="372" t="s">
        <v>8056</v>
      </c>
      <c r="V1178" s="722">
        <v>0</v>
      </c>
      <c r="W1178" s="722">
        <v>0</v>
      </c>
      <c r="X1178" s="722">
        <v>0</v>
      </c>
      <c r="Y1178" s="722">
        <v>0</v>
      </c>
      <c r="Z1178" s="382" t="s">
        <v>924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8057</v>
      </c>
      <c r="B1179" s="373" t="s">
        <v>8058</v>
      </c>
      <c r="C1179" s="372" t="s">
        <v>8059</v>
      </c>
      <c r="D1179" s="374">
        <v>1101111909906</v>
      </c>
      <c r="E1179" s="372" t="s">
        <v>8060</v>
      </c>
      <c r="F1179" s="372" t="s">
        <v>842</v>
      </c>
      <c r="G1179" s="375" t="s">
        <v>842</v>
      </c>
      <c r="H1179" s="375" t="s">
        <v>3096</v>
      </c>
      <c r="I1179" s="375" t="s">
        <v>859</v>
      </c>
      <c r="J1179" s="375">
        <v>6953.0427799999998</v>
      </c>
      <c r="K1179" s="375">
        <v>-3138.4603400000001</v>
      </c>
      <c r="L1179" s="375">
        <v>-1442.49414</v>
      </c>
      <c r="M1179" s="375">
        <v>112509.45213999999</v>
      </c>
      <c r="N1179" s="372">
        <v>0.88400000000000001</v>
      </c>
      <c r="O1179" s="704">
        <v>0</v>
      </c>
      <c r="P1179" s="375" t="s">
        <v>619</v>
      </c>
      <c r="Q1179" s="372" t="s">
        <v>619</v>
      </c>
      <c r="R1179" s="696">
        <v>20160215</v>
      </c>
      <c r="S1179" s="375" t="s">
        <v>8061</v>
      </c>
      <c r="T1179" s="697" t="s">
        <v>768</v>
      </c>
      <c r="U1179" s="372" t="s">
        <v>8062</v>
      </c>
      <c r="V1179" s="722">
        <v>0</v>
      </c>
      <c r="W1179" s="722">
        <v>0</v>
      </c>
      <c r="X1179" s="722">
        <v>0</v>
      </c>
      <c r="Y1179" s="722">
        <v>0</v>
      </c>
      <c r="Z1179" s="382" t="s">
        <v>924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8063</v>
      </c>
      <c r="B1180" s="373" t="s">
        <v>8064</v>
      </c>
      <c r="C1180" s="372" t="s">
        <v>8065</v>
      </c>
      <c r="D1180" s="374">
        <v>1801110001717</v>
      </c>
      <c r="E1180" s="372" t="s">
        <v>8066</v>
      </c>
      <c r="F1180" s="375" t="s">
        <v>2622</v>
      </c>
      <c r="G1180" s="375" t="s">
        <v>2623</v>
      </c>
      <c r="H1180" s="375" t="s">
        <v>814</v>
      </c>
      <c r="I1180" s="375" t="s">
        <v>751</v>
      </c>
      <c r="J1180" s="375">
        <v>152277.24546999999</v>
      </c>
      <c r="K1180" s="375">
        <v>-6152.8524699999998</v>
      </c>
      <c r="L1180" s="375">
        <v>-10574.58287</v>
      </c>
      <c r="M1180" s="375">
        <v>583860.12211999996</v>
      </c>
      <c r="N1180" s="372">
        <v>0.78500000000000003</v>
      </c>
      <c r="O1180" s="704">
        <v>47.322332728151373</v>
      </c>
      <c r="P1180" s="375" t="s">
        <v>619</v>
      </c>
      <c r="Q1180" s="375" t="s">
        <v>619</v>
      </c>
      <c r="R1180" s="696">
        <v>19760602</v>
      </c>
      <c r="S1180" s="375" t="s">
        <v>8067</v>
      </c>
      <c r="T1180" s="697" t="s">
        <v>768</v>
      </c>
      <c r="U1180" s="372" t="s">
        <v>8068</v>
      </c>
      <c r="V1180" s="722">
        <v>70.83</v>
      </c>
      <c r="W1180" s="722">
        <v>0.19</v>
      </c>
      <c r="X1180" s="722">
        <v>0.74</v>
      </c>
      <c r="Y1180" s="722" t="s">
        <v>770</v>
      </c>
      <c r="Z1180" s="382" t="s">
        <v>924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8069</v>
      </c>
      <c r="B1181" s="373" t="s">
        <v>8070</v>
      </c>
      <c r="C1181" s="372" t="s">
        <v>8071</v>
      </c>
      <c r="D1181" s="374">
        <v>1101112102070</v>
      </c>
      <c r="E1181" s="372" t="s">
        <v>8072</v>
      </c>
      <c r="F1181" s="375" t="s">
        <v>1944</v>
      </c>
      <c r="G1181" s="375" t="s">
        <v>2495</v>
      </c>
      <c r="H1181" s="375" t="s">
        <v>823</v>
      </c>
      <c r="I1181" s="375" t="s">
        <v>751</v>
      </c>
      <c r="J1181" s="375">
        <v>934794.05998000002</v>
      </c>
      <c r="K1181" s="375">
        <v>-43893.839820000001</v>
      </c>
      <c r="L1181" s="375">
        <v>-109692.24980999999</v>
      </c>
      <c r="M1181" s="375">
        <v>221326.66028000001</v>
      </c>
      <c r="N1181" s="372">
        <v>0.52700000000000002</v>
      </c>
      <c r="O1181" s="704">
        <v>388.94082696964097</v>
      </c>
      <c r="P1181" s="375" t="s">
        <v>619</v>
      </c>
      <c r="Q1181" s="372" t="s">
        <v>619</v>
      </c>
      <c r="R1181" s="696">
        <v>20120223</v>
      </c>
      <c r="S1181" s="372" t="s">
        <v>8073</v>
      </c>
      <c r="T1181" s="697" t="s">
        <v>768</v>
      </c>
      <c r="U1181" s="372" t="s">
        <v>8074</v>
      </c>
      <c r="V1181" s="722" t="s">
        <v>770</v>
      </c>
      <c r="W1181" s="722">
        <v>0.43</v>
      </c>
      <c r="X1181" s="722">
        <v>0.11</v>
      </c>
      <c r="Y1181" s="722" t="s">
        <v>770</v>
      </c>
      <c r="Z1181" s="382" t="s">
        <v>924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8075</v>
      </c>
      <c r="B1182" s="373" t="s">
        <v>8076</v>
      </c>
      <c r="C1182" s="372" t="s">
        <v>8077</v>
      </c>
      <c r="D1182" s="374">
        <v>1311110131159</v>
      </c>
      <c r="E1182" s="372" t="s">
        <v>8078</v>
      </c>
      <c r="F1182" s="375" t="s">
        <v>1793</v>
      </c>
      <c r="G1182" s="375" t="s">
        <v>2794</v>
      </c>
      <c r="H1182" s="375" t="s">
        <v>858</v>
      </c>
      <c r="I1182" s="375" t="s">
        <v>859</v>
      </c>
      <c r="J1182" s="375">
        <v>46072.131809999999</v>
      </c>
      <c r="K1182" s="375">
        <v>7442.1969300000001</v>
      </c>
      <c r="L1182" s="375">
        <v>7761.6655099999998</v>
      </c>
      <c r="M1182" s="375">
        <v>50630.899380000003</v>
      </c>
      <c r="N1182" s="372">
        <v>0.72399999999999998</v>
      </c>
      <c r="O1182" s="704">
        <v>0.57187829000849155</v>
      </c>
      <c r="P1182" s="375" t="s">
        <v>619</v>
      </c>
      <c r="Q1182" s="372" t="s">
        <v>619</v>
      </c>
      <c r="R1182" s="696">
        <v>20170802</v>
      </c>
      <c r="S1182" s="372" t="s">
        <v>8079</v>
      </c>
      <c r="T1182" s="697">
        <v>0.20900000000000002</v>
      </c>
      <c r="U1182" s="372" t="s">
        <v>8080</v>
      </c>
      <c r="V1182" s="722">
        <v>11.36</v>
      </c>
      <c r="W1182" s="722">
        <v>1.61</v>
      </c>
      <c r="X1182" s="722">
        <v>2.02</v>
      </c>
      <c r="Y1182" s="722">
        <v>12.4</v>
      </c>
      <c r="Z1182" s="382">
        <v>0.11334109122206582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485</v>
      </c>
      <c r="AF1182" s="372">
        <v>561</v>
      </c>
      <c r="AG1182" s="372">
        <v>659</v>
      </c>
      <c r="AH1182" s="372">
        <v>0</v>
      </c>
    </row>
    <row r="1183" spans="1:34">
      <c r="A1183" s="372" t="s">
        <v>8081</v>
      </c>
      <c r="B1183" s="373" t="s">
        <v>8082</v>
      </c>
      <c r="C1183" s="372" t="s">
        <v>8083</v>
      </c>
      <c r="D1183" s="374">
        <v>1345110021549</v>
      </c>
      <c r="E1183" s="372" t="s">
        <v>8084</v>
      </c>
      <c r="F1183" s="375" t="s">
        <v>2121</v>
      </c>
      <c r="G1183" s="375" t="s">
        <v>4228</v>
      </c>
      <c r="H1183" s="375" t="s">
        <v>2053</v>
      </c>
      <c r="I1183" s="375" t="s">
        <v>751</v>
      </c>
      <c r="J1183" s="375">
        <v>121554.53271</v>
      </c>
      <c r="K1183" s="375">
        <v>6469.1453000000001</v>
      </c>
      <c r="L1183" s="375">
        <v>5768.7297799999997</v>
      </c>
      <c r="M1183" s="375">
        <v>133002.52116999999</v>
      </c>
      <c r="N1183" s="372">
        <v>-6.3E-2</v>
      </c>
      <c r="O1183" s="704">
        <v>3.0494161573673564</v>
      </c>
      <c r="P1183" s="375" t="s">
        <v>619</v>
      </c>
      <c r="Q1183" s="372" t="s">
        <v>619</v>
      </c>
      <c r="R1183" s="696">
        <v>20210817</v>
      </c>
      <c r="S1183" s="372" t="s">
        <v>8085</v>
      </c>
      <c r="T1183" s="697">
        <v>0.20900000000000002</v>
      </c>
      <c r="U1183" s="372" t="s">
        <v>15891</v>
      </c>
      <c r="V1183" s="722">
        <v>8.4</v>
      </c>
      <c r="W1183" s="722">
        <v>0.79</v>
      </c>
      <c r="X1183" s="722">
        <v>0.86</v>
      </c>
      <c r="Y1183" s="722">
        <v>16.3</v>
      </c>
      <c r="Z1183" s="382">
        <v>9.963211598046473E-2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1051</v>
      </c>
      <c r="AF1183" s="372">
        <v>1413</v>
      </c>
      <c r="AG1183" s="372">
        <v>1649</v>
      </c>
      <c r="AH1183" s="372">
        <v>0</v>
      </c>
    </row>
    <row r="1184" spans="1:34">
      <c r="A1184" s="372" t="s">
        <v>8086</v>
      </c>
      <c r="B1184" s="373" t="s">
        <v>8087</v>
      </c>
      <c r="C1184" s="372" t="s">
        <v>8088</v>
      </c>
      <c r="D1184" s="374">
        <v>1101112494451</v>
      </c>
      <c r="E1184" s="372" t="s">
        <v>8089</v>
      </c>
      <c r="F1184" s="375" t="s">
        <v>1182</v>
      </c>
      <c r="G1184" s="375" t="s">
        <v>3112</v>
      </c>
      <c r="H1184" s="375" t="s">
        <v>858</v>
      </c>
      <c r="I1184" s="375" t="s">
        <v>859</v>
      </c>
      <c r="J1184" s="375">
        <v>36420.706310000001</v>
      </c>
      <c r="K1184" s="375">
        <v>-6664.7641599999997</v>
      </c>
      <c r="L1184" s="375">
        <v>-6271.4675800000005</v>
      </c>
      <c r="M1184" s="375">
        <v>145406.82513000001</v>
      </c>
      <c r="N1184" s="372">
        <v>1.133</v>
      </c>
      <c r="O1184" s="704">
        <v>3.4272927934506989</v>
      </c>
      <c r="P1184" s="375" t="s">
        <v>619</v>
      </c>
      <c r="Q1184" s="375" t="s">
        <v>619</v>
      </c>
      <c r="R1184" s="696">
        <v>20170929</v>
      </c>
      <c r="S1184" s="375" t="s">
        <v>8090</v>
      </c>
      <c r="T1184" s="697" t="s">
        <v>768</v>
      </c>
      <c r="U1184" s="375" t="s">
        <v>8091</v>
      </c>
      <c r="V1184" s="722" t="s">
        <v>770</v>
      </c>
      <c r="W1184" s="722">
        <v>0.7</v>
      </c>
      <c r="X1184" s="722">
        <v>2.96</v>
      </c>
      <c r="Y1184" s="722" t="s">
        <v>770</v>
      </c>
      <c r="Z1184" s="382" t="s">
        <v>924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8092</v>
      </c>
      <c r="B1185" s="373" t="s">
        <v>8093</v>
      </c>
      <c r="C1185" s="372" t="s">
        <v>8094</v>
      </c>
      <c r="D1185" s="374">
        <v>1101116363313</v>
      </c>
      <c r="E1185" s="372" t="s">
        <v>8095</v>
      </c>
      <c r="F1185" s="375" t="s">
        <v>1113</v>
      </c>
      <c r="G1185" s="375" t="s">
        <v>1333</v>
      </c>
      <c r="H1185" s="375" t="s">
        <v>1334</v>
      </c>
      <c r="I1185" s="375" t="s">
        <v>859</v>
      </c>
      <c r="J1185" s="375">
        <v>25099.615819999999</v>
      </c>
      <c r="K1185" s="375">
        <v>-18813.87919</v>
      </c>
      <c r="L1185" s="375">
        <v>-25151.781650000001</v>
      </c>
      <c r="M1185" s="375">
        <v>20039.051650000001</v>
      </c>
      <c r="N1185" s="372">
        <v>1.5669999999999999</v>
      </c>
      <c r="O1185" s="704">
        <v>28.324109017992832</v>
      </c>
      <c r="P1185" s="375" t="s">
        <v>619</v>
      </c>
      <c r="Q1185" s="372" t="s">
        <v>619</v>
      </c>
      <c r="R1185" s="696">
        <v>20221111</v>
      </c>
      <c r="S1185" s="375" t="s">
        <v>8096</v>
      </c>
      <c r="T1185" s="697" t="s">
        <v>768</v>
      </c>
      <c r="U1185" s="372" t="s">
        <v>8097</v>
      </c>
      <c r="V1185" s="722">
        <v>0</v>
      </c>
      <c r="W1185" s="722">
        <v>0</v>
      </c>
      <c r="X1185" s="722">
        <v>0</v>
      </c>
      <c r="Y1185" s="722">
        <v>0</v>
      </c>
      <c r="Z1185" s="382" t="s">
        <v>924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8098</v>
      </c>
      <c r="B1186" s="373" t="s">
        <v>8099</v>
      </c>
      <c r="C1186" s="372" t="s">
        <v>8100</v>
      </c>
      <c r="D1186" s="374">
        <v>1942110234534</v>
      </c>
      <c r="E1186" s="372" t="s">
        <v>8101</v>
      </c>
      <c r="F1186" s="375" t="s">
        <v>1279</v>
      </c>
      <c r="G1186" s="375" t="s">
        <v>1280</v>
      </c>
      <c r="H1186" s="375" t="s">
        <v>1040</v>
      </c>
      <c r="I1186" s="375" t="s">
        <v>751</v>
      </c>
      <c r="J1186" s="375">
        <v>400773.94071</v>
      </c>
      <c r="K1186" s="375">
        <v>27794.479759999998</v>
      </c>
      <c r="L1186" s="375">
        <v>27492.483980000001</v>
      </c>
      <c r="M1186" s="375">
        <v>279937.19390999997</v>
      </c>
      <c r="N1186" s="372">
        <v>0.78200000000000003</v>
      </c>
      <c r="O1186" s="704">
        <v>6.7930789454452345</v>
      </c>
      <c r="P1186" s="375" t="s">
        <v>619</v>
      </c>
      <c r="Q1186" s="372" t="s">
        <v>619</v>
      </c>
      <c r="R1186" s="696">
        <v>20150115</v>
      </c>
      <c r="S1186" s="372" t="s">
        <v>8102</v>
      </c>
      <c r="T1186" s="697">
        <v>0.23100000000000001</v>
      </c>
      <c r="U1186" s="372" t="s">
        <v>8103</v>
      </c>
      <c r="V1186" s="722">
        <v>3.43</v>
      </c>
      <c r="W1186" s="722">
        <v>0.49</v>
      </c>
      <c r="X1186" s="722">
        <v>0.34</v>
      </c>
      <c r="Y1186" s="722">
        <v>6.48</v>
      </c>
      <c r="Z1186" s="382" t="s">
        <v>924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8104</v>
      </c>
      <c r="B1187" s="373" t="s">
        <v>8105</v>
      </c>
      <c r="C1187" s="372" t="s">
        <v>8106</v>
      </c>
      <c r="D1187" s="374">
        <v>1341110045290</v>
      </c>
      <c r="E1187" s="372" t="s">
        <v>8107</v>
      </c>
      <c r="F1187" s="375" t="s">
        <v>1182</v>
      </c>
      <c r="G1187" s="375" t="s">
        <v>3112</v>
      </c>
      <c r="H1187" s="375" t="s">
        <v>858</v>
      </c>
      <c r="I1187" s="375" t="s">
        <v>859</v>
      </c>
      <c r="J1187" s="375">
        <v>28454.40079</v>
      </c>
      <c r="K1187" s="375">
        <v>-15929.731169999999</v>
      </c>
      <c r="L1187" s="375">
        <v>-7210.2587599999997</v>
      </c>
      <c r="M1187" s="375">
        <v>136881.73848</v>
      </c>
      <c r="N1187" s="372">
        <v>0.57799999999999996</v>
      </c>
      <c r="O1187" s="704">
        <v>11.16869473062086</v>
      </c>
      <c r="P1187" s="375" t="s">
        <v>619</v>
      </c>
      <c r="Q1187" s="372" t="s">
        <v>619</v>
      </c>
      <c r="R1187" s="696">
        <v>20090923</v>
      </c>
      <c r="S1187" s="372" t="s">
        <v>8108</v>
      </c>
      <c r="T1187" s="697" t="s">
        <v>768</v>
      </c>
      <c r="U1187" s="372" t="s">
        <v>8109</v>
      </c>
      <c r="V1187" s="722" t="s">
        <v>770</v>
      </c>
      <c r="W1187" s="722">
        <v>1.07</v>
      </c>
      <c r="X1187" s="722">
        <v>4.8099999999999996</v>
      </c>
      <c r="Y1187" s="722" t="s">
        <v>770</v>
      </c>
      <c r="Z1187" s="382" t="s">
        <v>924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8110</v>
      </c>
      <c r="B1188" s="373" t="s">
        <v>8111</v>
      </c>
      <c r="C1188" s="372" t="s">
        <v>8112</v>
      </c>
      <c r="D1188" s="374">
        <v>1845110001335</v>
      </c>
      <c r="E1188" s="372" t="s">
        <v>8113</v>
      </c>
      <c r="F1188" s="375" t="s">
        <v>4822</v>
      </c>
      <c r="G1188" s="375" t="s">
        <v>4823</v>
      </c>
      <c r="H1188" s="375" t="s">
        <v>823</v>
      </c>
      <c r="I1188" s="375" t="s">
        <v>751</v>
      </c>
      <c r="J1188" s="375">
        <v>1112231.08406</v>
      </c>
      <c r="K1188" s="375">
        <v>24720.526040000001</v>
      </c>
      <c r="L1188" s="375">
        <v>14445.18045</v>
      </c>
      <c r="M1188" s="375">
        <v>231495.74405000001</v>
      </c>
      <c r="N1188" s="372">
        <v>0.47299999999999998</v>
      </c>
      <c r="O1188" s="704">
        <v>181.10149216765109</v>
      </c>
      <c r="P1188" s="375" t="s">
        <v>619</v>
      </c>
      <c r="Q1188" s="375" t="s">
        <v>619</v>
      </c>
      <c r="R1188" s="696">
        <v>19910131</v>
      </c>
      <c r="S1188" s="375" t="s">
        <v>8114</v>
      </c>
      <c r="T1188" s="697">
        <v>0.20900000000000002</v>
      </c>
      <c r="U1188" s="372" t="s">
        <v>8115</v>
      </c>
      <c r="V1188" s="722">
        <v>9.7200000000000006</v>
      </c>
      <c r="W1188" s="722">
        <v>0.64</v>
      </c>
      <c r="X1188" s="722">
        <v>0.12</v>
      </c>
      <c r="Y1188" s="722">
        <v>13.21</v>
      </c>
      <c r="Z1188" s="382" t="s">
        <v>924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8116</v>
      </c>
      <c r="B1189" s="373" t="s">
        <v>8117</v>
      </c>
      <c r="C1189" s="372" t="s">
        <v>8118</v>
      </c>
      <c r="D1189" s="374">
        <v>1101110047864</v>
      </c>
      <c r="E1189" s="372" t="s">
        <v>8119</v>
      </c>
      <c r="F1189" s="375" t="s">
        <v>5129</v>
      </c>
      <c r="G1189" s="375" t="s">
        <v>8120</v>
      </c>
      <c r="H1189" s="375" t="s">
        <v>843</v>
      </c>
      <c r="I1189" s="375" t="s">
        <v>751</v>
      </c>
      <c r="J1189" s="375">
        <v>103838.8432</v>
      </c>
      <c r="K1189" s="375">
        <v>8439.0308499999992</v>
      </c>
      <c r="L1189" s="375">
        <v>8866.3374600000006</v>
      </c>
      <c r="M1189" s="375">
        <v>115003.86439</v>
      </c>
      <c r="N1189" s="372">
        <v>0.34200000000000003</v>
      </c>
      <c r="O1189" s="704">
        <v>9.7417241540355199</v>
      </c>
      <c r="P1189" s="375" t="s">
        <v>619</v>
      </c>
      <c r="Q1189" s="375" t="s">
        <v>619</v>
      </c>
      <c r="R1189" s="696">
        <v>19910208</v>
      </c>
      <c r="S1189" s="375" t="s">
        <v>8121</v>
      </c>
      <c r="T1189" s="697">
        <v>0.20900000000000002</v>
      </c>
      <c r="U1189" s="372" t="s">
        <v>8122</v>
      </c>
      <c r="V1189" s="722">
        <v>11.8</v>
      </c>
      <c r="W1189" s="722">
        <v>1.17</v>
      </c>
      <c r="X1189" s="722">
        <v>1.31</v>
      </c>
      <c r="Y1189" s="722">
        <v>20.58</v>
      </c>
      <c r="Z1189" s="382" t="s">
        <v>924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8123</v>
      </c>
      <c r="B1190" s="373" t="s">
        <v>8124</v>
      </c>
      <c r="C1190" s="372" t="s">
        <v>8125</v>
      </c>
      <c r="D1190" s="374">
        <v>1101110300303</v>
      </c>
      <c r="E1190" s="372" t="s">
        <v>8126</v>
      </c>
      <c r="F1190" s="375" t="s">
        <v>2831</v>
      </c>
      <c r="G1190" s="375" t="s">
        <v>2831</v>
      </c>
      <c r="H1190" s="375" t="s">
        <v>858</v>
      </c>
      <c r="I1190" s="375" t="s">
        <v>859</v>
      </c>
      <c r="J1190" s="375">
        <v>3175156.2702299999</v>
      </c>
      <c r="K1190" s="375">
        <v>84770.636939999997</v>
      </c>
      <c r="L1190" s="375">
        <v>74342.963889999999</v>
      </c>
      <c r="M1190" s="375">
        <v>589164.13268000004</v>
      </c>
      <c r="N1190" s="372">
        <v>0.75900000000000001</v>
      </c>
      <c r="O1190" s="704">
        <v>169.03523855530176</v>
      </c>
      <c r="P1190" s="375" t="s">
        <v>619</v>
      </c>
      <c r="Q1190" s="375" t="s">
        <v>619</v>
      </c>
      <c r="R1190" s="696">
        <v>19991214</v>
      </c>
      <c r="S1190" s="372" t="s">
        <v>8127</v>
      </c>
      <c r="T1190" s="697">
        <v>0.23100000000000001</v>
      </c>
      <c r="U1190" s="372" t="s">
        <v>8128</v>
      </c>
      <c r="V1190" s="722">
        <v>5.0999999999999996</v>
      </c>
      <c r="W1190" s="722">
        <v>0.37</v>
      </c>
      <c r="X1190" s="722">
        <v>0.04</v>
      </c>
      <c r="Y1190" s="722">
        <v>3.27</v>
      </c>
      <c r="Z1190" s="382" t="s">
        <v>924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8129</v>
      </c>
      <c r="B1191" s="373" t="s">
        <v>8130</v>
      </c>
      <c r="C1191" s="372" t="s">
        <v>8131</v>
      </c>
      <c r="D1191" s="374">
        <v>1101112407470</v>
      </c>
      <c r="E1191" s="372" t="s">
        <v>8132</v>
      </c>
      <c r="F1191" s="375" t="s">
        <v>2219</v>
      </c>
      <c r="G1191" s="375" t="s">
        <v>2219</v>
      </c>
      <c r="H1191" s="375" t="s">
        <v>858</v>
      </c>
      <c r="I1191" s="375" t="s">
        <v>859</v>
      </c>
      <c r="J1191" s="375">
        <v>317977.89971000003</v>
      </c>
      <c r="K1191" s="375">
        <v>8086.4413999999997</v>
      </c>
      <c r="L1191" s="375">
        <v>-2832.7866300000001</v>
      </c>
      <c r="M1191" s="375">
        <v>34942.049030000002</v>
      </c>
      <c r="N1191" s="372">
        <v>0.498</v>
      </c>
      <c r="O1191" s="704">
        <v>254.40624415324672</v>
      </c>
      <c r="P1191" s="375" t="s">
        <v>619</v>
      </c>
      <c r="Q1191" s="372" t="s">
        <v>619</v>
      </c>
      <c r="R1191" s="696">
        <v>20151216</v>
      </c>
      <c r="S1191" s="372" t="s">
        <v>3564</v>
      </c>
      <c r="T1191" s="697" t="s">
        <v>768</v>
      </c>
      <c r="U1191" s="372" t="s">
        <v>8133</v>
      </c>
      <c r="V1191" s="722">
        <v>9.34</v>
      </c>
      <c r="W1191" s="722">
        <v>2.1</v>
      </c>
      <c r="X1191" s="722">
        <v>0.2</v>
      </c>
      <c r="Y1191" s="722" t="s">
        <v>770</v>
      </c>
      <c r="Z1191" s="382" t="s">
        <v>924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3351</v>
      </c>
      <c r="AF1191" s="372">
        <v>3507</v>
      </c>
      <c r="AG1191" s="372">
        <v>0</v>
      </c>
      <c r="AH1191" s="372">
        <v>0</v>
      </c>
    </row>
    <row r="1192" spans="1:34">
      <c r="A1192" s="372" t="s">
        <v>8134</v>
      </c>
      <c r="B1192" s="373" t="s">
        <v>8135</v>
      </c>
      <c r="C1192" s="372" t="s">
        <v>8136</v>
      </c>
      <c r="D1192" s="374">
        <v>1101111574874</v>
      </c>
      <c r="E1192" s="372" t="s">
        <v>8137</v>
      </c>
      <c r="F1192" s="375" t="s">
        <v>1793</v>
      </c>
      <c r="G1192" s="375" t="s">
        <v>2794</v>
      </c>
      <c r="H1192" s="375" t="s">
        <v>858</v>
      </c>
      <c r="I1192" s="375" t="s">
        <v>859</v>
      </c>
      <c r="J1192" s="375">
        <v>542568.10453000001</v>
      </c>
      <c r="K1192" s="375">
        <v>27621.09388</v>
      </c>
      <c r="L1192" s="375">
        <v>31243.876670000001</v>
      </c>
      <c r="M1192" s="375">
        <v>209049.03052</v>
      </c>
      <c r="N1192" s="372">
        <v>0.88200000000000001</v>
      </c>
      <c r="O1192" s="704">
        <v>30.888805842381263</v>
      </c>
      <c r="P1192" s="375" t="s">
        <v>619</v>
      </c>
      <c r="Q1192" s="375" t="s">
        <v>619</v>
      </c>
      <c r="R1192" s="696">
        <v>20020524</v>
      </c>
      <c r="S1192" s="375" t="s">
        <v>8138</v>
      </c>
      <c r="T1192" s="697">
        <v>0.23100000000000001</v>
      </c>
      <c r="U1192" s="375" t="s">
        <v>8139</v>
      </c>
      <c r="V1192" s="722">
        <v>5.16</v>
      </c>
      <c r="W1192" s="722">
        <v>1.03</v>
      </c>
      <c r="X1192" s="722">
        <v>0.28000000000000003</v>
      </c>
      <c r="Y1192" s="722">
        <v>9.16</v>
      </c>
      <c r="Z1192" s="382">
        <v>9.8710656818083775E-2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5732</v>
      </c>
      <c r="AF1192" s="372">
        <v>6484.5</v>
      </c>
      <c r="AG1192" s="372">
        <v>7416</v>
      </c>
      <c r="AH1192" s="372">
        <v>0</v>
      </c>
    </row>
    <row r="1193" spans="1:34">
      <c r="A1193" s="372" t="s">
        <v>8140</v>
      </c>
      <c r="B1193" s="373" t="s">
        <v>8141</v>
      </c>
      <c r="C1193" s="372" t="s">
        <v>8142</v>
      </c>
      <c r="D1193" s="374">
        <v>1101112693235</v>
      </c>
      <c r="E1193" s="372" t="s">
        <v>8143</v>
      </c>
      <c r="F1193" s="375" t="s">
        <v>1793</v>
      </c>
      <c r="G1193" s="375" t="s">
        <v>1794</v>
      </c>
      <c r="H1193" s="375" t="s">
        <v>1334</v>
      </c>
      <c r="I1193" s="375" t="s">
        <v>859</v>
      </c>
      <c r="J1193" s="375">
        <v>129054.66471</v>
      </c>
      <c r="K1193" s="375">
        <v>19872.857049999999</v>
      </c>
      <c r="L1193" s="375">
        <v>6830.3349200000002</v>
      </c>
      <c r="M1193" s="375">
        <v>101199.35408</v>
      </c>
      <c r="N1193" s="372">
        <v>0.53600000000000003</v>
      </c>
      <c r="O1193" s="704">
        <v>5.5793407024149273</v>
      </c>
      <c r="P1193" s="375" t="s">
        <v>619</v>
      </c>
      <c r="Q1193" s="372" t="s">
        <v>619</v>
      </c>
      <c r="R1193" s="696">
        <v>20131227</v>
      </c>
      <c r="S1193" s="372" t="s">
        <v>8144</v>
      </c>
      <c r="T1193" s="697">
        <v>0.20900000000000002</v>
      </c>
      <c r="U1193" s="372" t="s">
        <v>15892</v>
      </c>
      <c r="V1193" s="722">
        <v>5.44</v>
      </c>
      <c r="W1193" s="722">
        <v>1.25</v>
      </c>
      <c r="X1193" s="722">
        <v>0.98</v>
      </c>
      <c r="Y1193" s="722">
        <v>90.31</v>
      </c>
      <c r="Z1193" s="382" t="s">
        <v>924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8145</v>
      </c>
      <c r="B1194" s="373" t="s">
        <v>8146</v>
      </c>
      <c r="C1194" s="372" t="s">
        <v>8147</v>
      </c>
      <c r="D1194" s="374">
        <v>1101110724107</v>
      </c>
      <c r="E1194" s="372" t="s">
        <v>8148</v>
      </c>
      <c r="F1194" s="375" t="s">
        <v>1320</v>
      </c>
      <c r="G1194" s="375" t="s">
        <v>16103</v>
      </c>
      <c r="H1194" s="375" t="s">
        <v>858</v>
      </c>
      <c r="I1194" s="375" t="s">
        <v>859</v>
      </c>
      <c r="J1194" s="375">
        <v>247741.30230000001</v>
      </c>
      <c r="K1194" s="375">
        <v>11988.867329999999</v>
      </c>
      <c r="L1194" s="375">
        <v>31357.350920000001</v>
      </c>
      <c r="M1194" s="375">
        <v>184690.30215</v>
      </c>
      <c r="N1194" s="372">
        <v>0.872</v>
      </c>
      <c r="O1194" s="704">
        <v>46.077615707548084</v>
      </c>
      <c r="P1194" s="375" t="s">
        <v>619</v>
      </c>
      <c r="Q1194" s="375" t="s">
        <v>619</v>
      </c>
      <c r="R1194" s="696">
        <v>20040524</v>
      </c>
      <c r="S1194" s="375" t="s">
        <v>8149</v>
      </c>
      <c r="T1194" s="697">
        <v>0.23100000000000001</v>
      </c>
      <c r="U1194" s="372" t="s">
        <v>8150</v>
      </c>
      <c r="V1194" s="722">
        <v>8.4499999999999993</v>
      </c>
      <c r="W1194" s="722">
        <v>0.67</v>
      </c>
      <c r="X1194" s="722">
        <v>0.45</v>
      </c>
      <c r="Y1194" s="722">
        <v>4.0999999999999996</v>
      </c>
      <c r="Z1194" s="382" t="s">
        <v>924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8151</v>
      </c>
      <c r="B1195" s="373" t="s">
        <v>8152</v>
      </c>
      <c r="C1195" s="372" t="s">
        <v>8153</v>
      </c>
      <c r="D1195" s="374">
        <v>1101111871072</v>
      </c>
      <c r="E1195" s="372" t="s">
        <v>8154</v>
      </c>
      <c r="F1195" s="375" t="s">
        <v>6983</v>
      </c>
      <c r="G1195" s="375" t="s">
        <v>6984</v>
      </c>
      <c r="H1195" s="375" t="s">
        <v>3096</v>
      </c>
      <c r="I1195" s="375" t="s">
        <v>859</v>
      </c>
      <c r="J1195" s="375">
        <v>67906.256009999997</v>
      </c>
      <c r="K1195" s="375">
        <v>829.49884999999995</v>
      </c>
      <c r="L1195" s="375">
        <v>40.201799999999999</v>
      </c>
      <c r="M1195" s="375">
        <v>81368.738830000002</v>
      </c>
      <c r="N1195" s="372">
        <v>0.623</v>
      </c>
      <c r="O1195" s="704">
        <v>0.63796561918325456</v>
      </c>
      <c r="P1195" s="375" t="s">
        <v>619</v>
      </c>
      <c r="Q1195" s="375" t="s">
        <v>619</v>
      </c>
      <c r="R1195" s="696">
        <v>20130219</v>
      </c>
      <c r="S1195" s="375" t="s">
        <v>8155</v>
      </c>
      <c r="T1195" s="697">
        <v>9.9000000000000005E-2</v>
      </c>
      <c r="U1195" s="372" t="s">
        <v>8156</v>
      </c>
      <c r="V1195" s="722">
        <v>21.97</v>
      </c>
      <c r="W1195" s="722">
        <v>1.1000000000000001</v>
      </c>
      <c r="X1195" s="722">
        <v>1.31</v>
      </c>
      <c r="Y1195" s="722" t="s">
        <v>770</v>
      </c>
      <c r="Z1195" s="382" t="s">
        <v>924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8157</v>
      </c>
      <c r="B1196" s="373" t="s">
        <v>8158</v>
      </c>
      <c r="C1196" s="372" t="s">
        <v>8159</v>
      </c>
      <c r="D1196" s="374">
        <v>1101110008254</v>
      </c>
      <c r="E1196" s="372" t="s">
        <v>8160</v>
      </c>
      <c r="F1196" s="375" t="s">
        <v>6164</v>
      </c>
      <c r="G1196" s="375" t="s">
        <v>6165</v>
      </c>
      <c r="H1196" s="375">
        <v>0</v>
      </c>
      <c r="I1196" s="375" t="s">
        <v>751</v>
      </c>
      <c r="J1196" s="375">
        <v>506832.16603999998</v>
      </c>
      <c r="K1196" s="375">
        <v>18859.258949999999</v>
      </c>
      <c r="L1196" s="375">
        <v>20126.739659999999</v>
      </c>
      <c r="M1196" s="375">
        <v>581015.23074000003</v>
      </c>
      <c r="N1196" s="372">
        <v>0.60599999999999998</v>
      </c>
      <c r="O1196" s="704">
        <v>52.716965935138859</v>
      </c>
      <c r="P1196" s="375" t="s">
        <v>619</v>
      </c>
      <c r="Q1196" s="375" t="s">
        <v>619</v>
      </c>
      <c r="R1196" s="696">
        <v>19760630</v>
      </c>
      <c r="S1196" s="375" t="s">
        <v>8161</v>
      </c>
      <c r="T1196" s="697">
        <v>0.23100000000000001</v>
      </c>
      <c r="U1196" s="372" t="s">
        <v>8162</v>
      </c>
      <c r="V1196" s="722">
        <v>3.7</v>
      </c>
      <c r="W1196" s="722">
        <v>0.26</v>
      </c>
      <c r="X1196" s="722">
        <v>0.28999999999999998</v>
      </c>
      <c r="Y1196" s="722">
        <v>9.18</v>
      </c>
      <c r="Z1196" s="382">
        <v>3.310540853274313E-2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4513</v>
      </c>
      <c r="AF1196" s="372">
        <v>4712</v>
      </c>
      <c r="AG1196" s="372">
        <v>4946</v>
      </c>
      <c r="AH1196" s="372">
        <v>0</v>
      </c>
    </row>
    <row r="1197" spans="1:34">
      <c r="A1197" s="372" t="s">
        <v>8163</v>
      </c>
      <c r="B1197" s="373" t="s">
        <v>8164</v>
      </c>
      <c r="C1197" s="372" t="s">
        <v>8165</v>
      </c>
      <c r="D1197" s="374">
        <v>1701110202416</v>
      </c>
      <c r="E1197" s="372" t="s">
        <v>8166</v>
      </c>
      <c r="F1197" s="375" t="s">
        <v>1761</v>
      </c>
      <c r="G1197" s="375" t="s">
        <v>8167</v>
      </c>
      <c r="H1197" s="375" t="s">
        <v>858</v>
      </c>
      <c r="I1197" s="375" t="s">
        <v>859</v>
      </c>
      <c r="J1197" s="375">
        <v>66954.07157</v>
      </c>
      <c r="K1197" s="375">
        <v>-10859.17038</v>
      </c>
      <c r="L1197" s="375">
        <v>-16525.217290000001</v>
      </c>
      <c r="M1197" s="375">
        <v>50123.519769999999</v>
      </c>
      <c r="N1197" s="372">
        <v>1.2589999999999999</v>
      </c>
      <c r="O1197" s="704">
        <v>39.833688688765747</v>
      </c>
      <c r="P1197" s="375" t="s">
        <v>619</v>
      </c>
      <c r="Q1197" s="372" t="s">
        <v>619</v>
      </c>
      <c r="R1197" s="696">
        <v>20220714</v>
      </c>
      <c r="S1197" s="372" t="s">
        <v>8168</v>
      </c>
      <c r="T1197" s="697" t="s">
        <v>768</v>
      </c>
      <c r="U1197" s="372" t="s">
        <v>8169</v>
      </c>
      <c r="V1197" s="722">
        <v>0</v>
      </c>
      <c r="W1197" s="722">
        <v>0</v>
      </c>
      <c r="X1197" s="722">
        <v>0</v>
      </c>
      <c r="Y1197" s="722">
        <v>0</v>
      </c>
      <c r="Z1197" s="382" t="s">
        <v>924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8170</v>
      </c>
      <c r="B1198" s="373" t="s">
        <v>8171</v>
      </c>
      <c r="C1198" s="372" t="s">
        <v>8172</v>
      </c>
      <c r="D1198" s="374">
        <v>1101110152770</v>
      </c>
      <c r="E1198" s="372" t="s">
        <v>8173</v>
      </c>
      <c r="F1198" s="375" t="s">
        <v>1534</v>
      </c>
      <c r="G1198" s="375" t="s">
        <v>3638</v>
      </c>
      <c r="H1198" s="375" t="s">
        <v>1536</v>
      </c>
      <c r="I1198" s="375" t="s">
        <v>751</v>
      </c>
      <c r="J1198" s="375">
        <v>889565.62962000002</v>
      </c>
      <c r="K1198" s="375">
        <v>23534.366620000001</v>
      </c>
      <c r="L1198" s="375">
        <v>294.24898000000002</v>
      </c>
      <c r="M1198" s="375">
        <v>212363.67199</v>
      </c>
      <c r="N1198" s="372">
        <v>0.7</v>
      </c>
      <c r="O1198" s="704">
        <v>288.26072858812768</v>
      </c>
      <c r="P1198" s="375" t="s">
        <v>619</v>
      </c>
      <c r="Q1198" s="372" t="s">
        <v>619</v>
      </c>
      <c r="R1198" s="696">
        <v>19880824</v>
      </c>
      <c r="S1198" s="372" t="s">
        <v>8174</v>
      </c>
      <c r="T1198" s="697">
        <v>0.20900000000000002</v>
      </c>
      <c r="U1198" s="372" t="s">
        <v>8175</v>
      </c>
      <c r="V1198" s="722">
        <v>9.7799999999999994</v>
      </c>
      <c r="W1198" s="722">
        <v>0.48</v>
      </c>
      <c r="X1198" s="722">
        <v>0.14000000000000001</v>
      </c>
      <c r="Y1198" s="722" t="s">
        <v>770</v>
      </c>
      <c r="Z1198" s="382" t="s">
        <v>924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8176</v>
      </c>
      <c r="B1199" s="373" t="s">
        <v>8177</v>
      </c>
      <c r="C1199" s="372" t="s">
        <v>8178</v>
      </c>
      <c r="D1199" s="374">
        <v>1101113161306</v>
      </c>
      <c r="E1199" s="372" t="s">
        <v>8179</v>
      </c>
      <c r="F1199" s="372" t="s">
        <v>5622</v>
      </c>
      <c r="G1199" s="375" t="s">
        <v>5622</v>
      </c>
      <c r="H1199" s="375" t="s">
        <v>858</v>
      </c>
      <c r="I1199" s="375" t="s">
        <v>859</v>
      </c>
      <c r="J1199" s="375">
        <v>52089.439259999999</v>
      </c>
      <c r="K1199" s="375">
        <v>14789.4</v>
      </c>
      <c r="L1199" s="375">
        <v>17125.717270000001</v>
      </c>
      <c r="M1199" s="375">
        <v>94786.994120000003</v>
      </c>
      <c r="N1199" s="372" t="s">
        <v>1023</v>
      </c>
      <c r="O1199" s="704">
        <v>0.14565918255704322</v>
      </c>
      <c r="P1199" s="375" t="s">
        <v>619</v>
      </c>
      <c r="Q1199" s="375" t="s">
        <v>619</v>
      </c>
      <c r="R1199" s="696">
        <v>20230517</v>
      </c>
      <c r="S1199" s="375" t="s">
        <v>8180</v>
      </c>
      <c r="T1199" s="697">
        <v>0.20900000000000002</v>
      </c>
      <c r="U1199" s="375" t="s">
        <v>8181</v>
      </c>
      <c r="V1199" s="722">
        <v>0</v>
      </c>
      <c r="W1199" s="722">
        <v>0</v>
      </c>
      <c r="X1199" s="722">
        <v>0</v>
      </c>
      <c r="Y1199" s="722">
        <v>0</v>
      </c>
      <c r="Z1199" s="382" t="s">
        <v>924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8182</v>
      </c>
      <c r="B1200" s="373" t="s">
        <v>8183</v>
      </c>
      <c r="C1200" s="372" t="s">
        <v>8184</v>
      </c>
      <c r="D1200" s="374">
        <v>1101111327869</v>
      </c>
      <c r="E1200" s="372" t="s">
        <v>8185</v>
      </c>
      <c r="F1200" s="375" t="s">
        <v>6010</v>
      </c>
      <c r="G1200" s="375" t="s">
        <v>6010</v>
      </c>
      <c r="H1200" s="375" t="s">
        <v>1528</v>
      </c>
      <c r="I1200" s="375" t="s">
        <v>859</v>
      </c>
      <c r="J1200" s="375">
        <v>64850.77691</v>
      </c>
      <c r="K1200" s="375">
        <v>893.03179</v>
      </c>
      <c r="L1200" s="375">
        <v>-7366.5353999999998</v>
      </c>
      <c r="M1200" s="375">
        <v>51221.288439999997</v>
      </c>
      <c r="N1200" s="372">
        <v>0.94499999999999995</v>
      </c>
      <c r="O1200" s="704">
        <v>9.4272326673173623</v>
      </c>
      <c r="P1200" s="375" t="s">
        <v>619</v>
      </c>
      <c r="Q1200" s="372" t="s">
        <v>619</v>
      </c>
      <c r="R1200" s="696">
        <v>20031112</v>
      </c>
      <c r="S1200" s="372" t="s">
        <v>8186</v>
      </c>
      <c r="T1200" s="697" t="s">
        <v>768</v>
      </c>
      <c r="U1200" s="372" t="s">
        <v>8187</v>
      </c>
      <c r="V1200" s="722">
        <v>0</v>
      </c>
      <c r="W1200" s="722">
        <v>0</v>
      </c>
      <c r="X1200" s="722">
        <v>0</v>
      </c>
      <c r="Y1200" s="722">
        <v>0</v>
      </c>
      <c r="Z1200" s="382" t="s">
        <v>924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8188</v>
      </c>
      <c r="B1201" s="373" t="s">
        <v>8189</v>
      </c>
      <c r="C1201" s="372" t="s">
        <v>8190</v>
      </c>
      <c r="D1201" s="374">
        <v>1101114222503</v>
      </c>
      <c r="E1201" s="372" t="s">
        <v>8191</v>
      </c>
      <c r="F1201" s="372" t="s">
        <v>3669</v>
      </c>
      <c r="G1201" s="375" t="s">
        <v>3669</v>
      </c>
      <c r="H1201" s="375" t="s">
        <v>1334</v>
      </c>
      <c r="I1201" s="375" t="s">
        <v>859</v>
      </c>
      <c r="J1201" s="375">
        <v>3966.9927200000002</v>
      </c>
      <c r="K1201" s="375">
        <v>-31454.901730000001</v>
      </c>
      <c r="L1201" s="375">
        <v>-21615.677680000001</v>
      </c>
      <c r="M1201" s="375">
        <v>48069.44786</v>
      </c>
      <c r="N1201" s="372">
        <v>0.83299999999999996</v>
      </c>
      <c r="O1201" s="704">
        <v>8.5709891710644079</v>
      </c>
      <c r="P1201" s="375" t="s">
        <v>619</v>
      </c>
      <c r="Q1201" s="372" t="s">
        <v>619</v>
      </c>
      <c r="R1201" s="696">
        <v>20191226</v>
      </c>
      <c r="S1201" s="372" t="s">
        <v>8192</v>
      </c>
      <c r="T1201" s="697" t="s">
        <v>768</v>
      </c>
      <c r="U1201" s="372" t="s">
        <v>8193</v>
      </c>
      <c r="V1201" s="722" t="s">
        <v>770</v>
      </c>
      <c r="W1201" s="722">
        <v>2.2799999999999998</v>
      </c>
      <c r="X1201" s="722">
        <v>27.63</v>
      </c>
      <c r="Y1201" s="722" t="s">
        <v>770</v>
      </c>
      <c r="Z1201" s="382" t="s">
        <v>924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8194</v>
      </c>
      <c r="B1202" s="373" t="s">
        <v>8195</v>
      </c>
      <c r="C1202" s="372" t="s">
        <v>8196</v>
      </c>
      <c r="D1202" s="374">
        <v>1101111303140</v>
      </c>
      <c r="E1202" s="372" t="s">
        <v>8197</v>
      </c>
      <c r="F1202" s="375" t="s">
        <v>2438</v>
      </c>
      <c r="G1202" s="375" t="s">
        <v>2438</v>
      </c>
      <c r="H1202" s="375" t="s">
        <v>1334</v>
      </c>
      <c r="I1202" s="375" t="s">
        <v>859</v>
      </c>
      <c r="J1202" s="375">
        <v>356506.70935999998</v>
      </c>
      <c r="K1202" s="375">
        <v>44879.050759999998</v>
      </c>
      <c r="L1202" s="375">
        <v>25783.021669999998</v>
      </c>
      <c r="M1202" s="375">
        <v>212065.58098</v>
      </c>
      <c r="N1202" s="372">
        <v>0.49299999999999999</v>
      </c>
      <c r="O1202" s="704">
        <v>303.04774468943282</v>
      </c>
      <c r="P1202" s="375" t="s">
        <v>619</v>
      </c>
      <c r="Q1202" s="372" t="s">
        <v>619</v>
      </c>
      <c r="R1202" s="696">
        <v>20000128</v>
      </c>
      <c r="S1202" s="372" t="s">
        <v>8198</v>
      </c>
      <c r="T1202" s="697">
        <v>0.23100000000000001</v>
      </c>
      <c r="U1202" s="375" t="s">
        <v>15893</v>
      </c>
      <c r="V1202" s="722">
        <v>2.36</v>
      </c>
      <c r="W1202" s="722">
        <v>0.63</v>
      </c>
      <c r="X1202" s="722">
        <v>0.38</v>
      </c>
      <c r="Y1202" s="722">
        <v>6.61</v>
      </c>
      <c r="Z1202" s="382" t="s">
        <v>924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8199</v>
      </c>
      <c r="B1203" s="373" t="s">
        <v>8200</v>
      </c>
      <c r="C1203" s="372" t="s">
        <v>8201</v>
      </c>
      <c r="D1203" s="374">
        <v>1345110144268</v>
      </c>
      <c r="E1203" s="372" t="s">
        <v>8202</v>
      </c>
      <c r="F1203" s="375" t="s">
        <v>3588</v>
      </c>
      <c r="G1203" s="375" t="s">
        <v>3589</v>
      </c>
      <c r="H1203" s="375" t="s">
        <v>858</v>
      </c>
      <c r="I1203" s="375" t="s">
        <v>859</v>
      </c>
      <c r="J1203" s="375">
        <v>575191.09488999995</v>
      </c>
      <c r="K1203" s="375">
        <v>14413.484759999999</v>
      </c>
      <c r="L1203" s="375">
        <v>-85093.627949999995</v>
      </c>
      <c r="M1203" s="375">
        <v>200677.95647999999</v>
      </c>
      <c r="N1203" s="372">
        <v>0.94</v>
      </c>
      <c r="O1203" s="704">
        <v>311.91850022915975</v>
      </c>
      <c r="P1203" s="375" t="s">
        <v>619</v>
      </c>
      <c r="Q1203" s="372" t="s">
        <v>619</v>
      </c>
      <c r="R1203" s="696">
        <v>20091116</v>
      </c>
      <c r="S1203" s="372" t="s">
        <v>8203</v>
      </c>
      <c r="T1203" s="697" t="s">
        <v>768</v>
      </c>
      <c r="U1203" s="372" t="s">
        <v>8204</v>
      </c>
      <c r="V1203" s="722">
        <v>11.48</v>
      </c>
      <c r="W1203" s="722">
        <v>0.43</v>
      </c>
      <c r="X1203" s="722">
        <v>0.14000000000000001</v>
      </c>
      <c r="Y1203" s="722" t="s">
        <v>770</v>
      </c>
      <c r="Z1203" s="382" t="s">
        <v>924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8205</v>
      </c>
      <c r="B1204" s="373" t="s">
        <v>8206</v>
      </c>
      <c r="C1204" s="372" t="s">
        <v>8207</v>
      </c>
      <c r="D1204" s="374">
        <v>1101110010001</v>
      </c>
      <c r="E1204" s="372" t="s">
        <v>8208</v>
      </c>
      <c r="F1204" s="375" t="s">
        <v>2861</v>
      </c>
      <c r="G1204" s="375" t="s">
        <v>2862</v>
      </c>
      <c r="H1204" s="375" t="s">
        <v>823</v>
      </c>
      <c r="I1204" s="375" t="s">
        <v>751</v>
      </c>
      <c r="J1204" s="375">
        <v>123995.34565</v>
      </c>
      <c r="K1204" s="375">
        <v>8271.4695200000006</v>
      </c>
      <c r="L1204" s="375">
        <v>14428.73251</v>
      </c>
      <c r="M1204" s="375">
        <v>73548.555800000002</v>
      </c>
      <c r="N1204" s="372">
        <v>0.59299999999999997</v>
      </c>
      <c r="O1204" s="704">
        <v>27.641041550851682</v>
      </c>
      <c r="P1204" s="375" t="s">
        <v>619</v>
      </c>
      <c r="Q1204" s="375" t="s">
        <v>619</v>
      </c>
      <c r="R1204" s="696">
        <v>19760630</v>
      </c>
      <c r="S1204" s="375" t="s">
        <v>8209</v>
      </c>
      <c r="T1204" s="697">
        <v>0.20900000000000002</v>
      </c>
      <c r="U1204" s="372" t="s">
        <v>8210</v>
      </c>
      <c r="V1204" s="722">
        <v>15.04</v>
      </c>
      <c r="W1204" s="722">
        <v>2.48</v>
      </c>
      <c r="X1204" s="722">
        <v>1.51</v>
      </c>
      <c r="Y1204" s="722">
        <v>8.7899999999999991</v>
      </c>
      <c r="Z1204" s="382">
        <v>8.8356727885503306E-2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1369</v>
      </c>
      <c r="AF1204" s="372">
        <v>1592.5</v>
      </c>
      <c r="AG1204" s="372">
        <v>1720</v>
      </c>
      <c r="AH1204" s="372">
        <v>0</v>
      </c>
    </row>
    <row r="1205" spans="1:34">
      <c r="A1205" s="372" t="s">
        <v>8211</v>
      </c>
      <c r="B1205" s="373" t="s">
        <v>8212</v>
      </c>
      <c r="C1205" s="372" t="s">
        <v>8213</v>
      </c>
      <c r="D1205" s="374">
        <v>1101110016679</v>
      </c>
      <c r="E1205" s="372" t="s">
        <v>8214</v>
      </c>
      <c r="F1205" s="375" t="s">
        <v>1320</v>
      </c>
      <c r="G1205" s="375" t="s">
        <v>16103</v>
      </c>
      <c r="H1205" s="375" t="s">
        <v>781</v>
      </c>
      <c r="I1205" s="375" t="s">
        <v>751</v>
      </c>
      <c r="J1205" s="375">
        <v>212424.25846000001</v>
      </c>
      <c r="K1205" s="375">
        <v>5152.2389000000003</v>
      </c>
      <c r="L1205" s="375">
        <v>3001.5871699999998</v>
      </c>
      <c r="M1205" s="375">
        <v>174646.285</v>
      </c>
      <c r="N1205" s="372">
        <v>0.42699999999999999</v>
      </c>
      <c r="O1205" s="704">
        <v>42.926442618208419</v>
      </c>
      <c r="P1205" s="375" t="s">
        <v>619</v>
      </c>
      <c r="Q1205" s="375" t="s">
        <v>619</v>
      </c>
      <c r="R1205" s="696">
        <v>19850529</v>
      </c>
      <c r="S1205" s="375" t="s">
        <v>8215</v>
      </c>
      <c r="T1205" s="697">
        <v>0.20900000000000002</v>
      </c>
      <c r="U1205" s="375" t="s">
        <v>8216</v>
      </c>
      <c r="V1205" s="722">
        <v>45.86</v>
      </c>
      <c r="W1205" s="722">
        <v>1.95</v>
      </c>
      <c r="X1205" s="722">
        <v>1.51</v>
      </c>
      <c r="Y1205" s="722" t="s">
        <v>770</v>
      </c>
      <c r="Z1205" s="382">
        <v>0.12899563409891046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2420</v>
      </c>
      <c r="AF1205" s="372">
        <v>2780</v>
      </c>
      <c r="AG1205" s="372">
        <v>3190</v>
      </c>
      <c r="AH1205" s="372">
        <v>3620</v>
      </c>
    </row>
    <row r="1206" spans="1:34">
      <c r="A1206" s="372" t="s">
        <v>8217</v>
      </c>
      <c r="B1206" s="373" t="s">
        <v>8218</v>
      </c>
      <c r="C1206" s="372" t="s">
        <v>8219</v>
      </c>
      <c r="D1206" s="374">
        <v>1101116108587</v>
      </c>
      <c r="E1206" s="372" t="s">
        <v>8220</v>
      </c>
      <c r="F1206" s="372" t="s">
        <v>5766</v>
      </c>
      <c r="G1206" s="375" t="s">
        <v>5766</v>
      </c>
      <c r="H1206" s="375" t="s">
        <v>1334</v>
      </c>
      <c r="I1206" s="375" t="s">
        <v>859</v>
      </c>
      <c r="J1206" s="375">
        <v>4744.9582499999997</v>
      </c>
      <c r="K1206" s="375">
        <v>-2660.6001200000001</v>
      </c>
      <c r="L1206" s="375">
        <v>3135.5278800000001</v>
      </c>
      <c r="M1206" s="375">
        <v>38552.295590000002</v>
      </c>
      <c r="N1206" s="372">
        <v>-0.185</v>
      </c>
      <c r="O1206" s="704">
        <v>6.097448026687605</v>
      </c>
      <c r="P1206" s="375" t="s">
        <v>619</v>
      </c>
      <c r="Q1206" s="375" t="s">
        <v>619</v>
      </c>
      <c r="R1206" s="696">
        <v>20160908</v>
      </c>
      <c r="S1206" s="375" t="s">
        <v>8221</v>
      </c>
      <c r="T1206" s="697">
        <v>0.20900000000000002</v>
      </c>
      <c r="U1206" s="372" t="s">
        <v>8222</v>
      </c>
      <c r="V1206" s="722">
        <v>0</v>
      </c>
      <c r="W1206" s="722">
        <v>0</v>
      </c>
      <c r="X1206" s="722">
        <v>0</v>
      </c>
      <c r="Y1206" s="722">
        <v>0</v>
      </c>
      <c r="Z1206" s="382" t="s">
        <v>924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8223</v>
      </c>
      <c r="B1207" s="373" t="s">
        <v>8224</v>
      </c>
      <c r="C1207" s="372" t="s">
        <v>8225</v>
      </c>
      <c r="D1207" s="374">
        <v>1101112499641</v>
      </c>
      <c r="E1207" s="372" t="s">
        <v>8226</v>
      </c>
      <c r="F1207" s="375" t="s">
        <v>1003</v>
      </c>
      <c r="G1207" s="375" t="s">
        <v>1003</v>
      </c>
      <c r="H1207" s="375" t="s">
        <v>858</v>
      </c>
      <c r="I1207" s="375" t="s">
        <v>859</v>
      </c>
      <c r="J1207" s="375">
        <v>4353.0750900000003</v>
      </c>
      <c r="K1207" s="375">
        <v>-7389.0905599999996</v>
      </c>
      <c r="L1207" s="375">
        <v>-6604.6274999999996</v>
      </c>
      <c r="M1207" s="375">
        <v>18465.424360000001</v>
      </c>
      <c r="N1207" s="372">
        <v>0.53200000000000003</v>
      </c>
      <c r="O1207" s="704">
        <v>1.1743564685542518</v>
      </c>
      <c r="P1207" s="375" t="s">
        <v>619</v>
      </c>
      <c r="Q1207" s="375" t="s">
        <v>619</v>
      </c>
      <c r="R1207" s="696">
        <v>20220204</v>
      </c>
      <c r="S1207" s="375" t="s">
        <v>8227</v>
      </c>
      <c r="T1207" s="697" t="s">
        <v>768</v>
      </c>
      <c r="U1207" s="372" t="s">
        <v>8228</v>
      </c>
      <c r="V1207" s="722" t="s">
        <v>770</v>
      </c>
      <c r="W1207" s="722">
        <v>2.76</v>
      </c>
      <c r="X1207" s="722">
        <v>11.69</v>
      </c>
      <c r="Y1207" s="722" t="s">
        <v>770</v>
      </c>
      <c r="Z1207" s="382" t="s">
        <v>924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8229</v>
      </c>
      <c r="B1208" s="373" t="s">
        <v>8230</v>
      </c>
      <c r="C1208" s="372" t="s">
        <v>8231</v>
      </c>
      <c r="D1208" s="374">
        <v>1101110963341</v>
      </c>
      <c r="E1208" s="372" t="s">
        <v>8232</v>
      </c>
      <c r="F1208" s="375" t="s">
        <v>1272</v>
      </c>
      <c r="G1208" s="375" t="s">
        <v>1272</v>
      </c>
      <c r="H1208" s="375" t="s">
        <v>858</v>
      </c>
      <c r="I1208" s="375" t="s">
        <v>859</v>
      </c>
      <c r="J1208" s="375">
        <v>49823.749940000002</v>
      </c>
      <c r="K1208" s="375">
        <v>-11736.96963</v>
      </c>
      <c r="L1208" s="375">
        <v>-24459.738969999999</v>
      </c>
      <c r="M1208" s="375">
        <v>92394.886589999995</v>
      </c>
      <c r="N1208" s="372">
        <v>0.98799999999999999</v>
      </c>
      <c r="O1208" s="704">
        <v>67.380441990491391</v>
      </c>
      <c r="P1208" s="375" t="s">
        <v>619</v>
      </c>
      <c r="Q1208" s="372" t="s">
        <v>619</v>
      </c>
      <c r="R1208" s="696">
        <v>20000425</v>
      </c>
      <c r="S1208" s="372" t="s">
        <v>8233</v>
      </c>
      <c r="T1208" s="697" t="s">
        <v>768</v>
      </c>
      <c r="U1208" s="372" t="s">
        <v>8234</v>
      </c>
      <c r="V1208" s="722" t="s">
        <v>770</v>
      </c>
      <c r="W1208" s="722">
        <v>0.88</v>
      </c>
      <c r="X1208" s="722">
        <v>1.46</v>
      </c>
      <c r="Y1208" s="722" t="s">
        <v>770</v>
      </c>
      <c r="Z1208" s="382" t="s">
        <v>924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8235</v>
      </c>
      <c r="B1209" s="373" t="s">
        <v>8236</v>
      </c>
      <c r="C1209" s="372" t="s">
        <v>8237</v>
      </c>
      <c r="D1209" s="374">
        <v>1348110001256</v>
      </c>
      <c r="E1209" s="372" t="s">
        <v>8238</v>
      </c>
      <c r="F1209" s="372" t="s">
        <v>7804</v>
      </c>
      <c r="G1209" s="375" t="s">
        <v>8239</v>
      </c>
      <c r="H1209" s="375" t="s">
        <v>843</v>
      </c>
      <c r="I1209" s="375" t="s">
        <v>751</v>
      </c>
      <c r="J1209" s="375">
        <v>186382.34323999999</v>
      </c>
      <c r="K1209" s="375">
        <v>3068.3473600000002</v>
      </c>
      <c r="L1209" s="375">
        <v>4279.8177100000003</v>
      </c>
      <c r="M1209" s="375">
        <v>84276.225179999994</v>
      </c>
      <c r="N1209" s="372">
        <v>0.48899999999999999</v>
      </c>
      <c r="O1209" s="704">
        <v>38.255108443118715</v>
      </c>
      <c r="P1209" s="375" t="s">
        <v>619</v>
      </c>
      <c r="Q1209" s="375" t="s">
        <v>619</v>
      </c>
      <c r="R1209" s="696">
        <v>19750930</v>
      </c>
      <c r="S1209" s="375" t="s">
        <v>8240</v>
      </c>
      <c r="T1209" s="697">
        <v>0.20900000000000002</v>
      </c>
      <c r="U1209" s="372" t="s">
        <v>8241</v>
      </c>
      <c r="V1209" s="722">
        <v>0</v>
      </c>
      <c r="W1209" s="722">
        <v>0</v>
      </c>
      <c r="X1209" s="722">
        <v>0</v>
      </c>
      <c r="Y1209" s="722">
        <v>0</v>
      </c>
      <c r="Z1209" s="382" t="s">
        <v>924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8242</v>
      </c>
      <c r="B1210" s="373" t="s">
        <v>8243</v>
      </c>
      <c r="C1210" s="372" t="s">
        <v>8244</v>
      </c>
      <c r="D1210" s="374">
        <v>1345110147171</v>
      </c>
      <c r="E1210" s="372" t="s">
        <v>8245</v>
      </c>
      <c r="F1210" s="372" t="s">
        <v>1272</v>
      </c>
      <c r="G1210" s="375" t="s">
        <v>1272</v>
      </c>
      <c r="H1210" s="375" t="s">
        <v>858</v>
      </c>
      <c r="I1210" s="375" t="s">
        <v>859</v>
      </c>
      <c r="J1210" s="375">
        <v>70992.71011</v>
      </c>
      <c r="K1210" s="375">
        <v>-4902.5073700000003</v>
      </c>
      <c r="L1210" s="375">
        <v>-6379.2276000000002</v>
      </c>
      <c r="M1210" s="375">
        <v>30572.366249999999</v>
      </c>
      <c r="N1210" s="372">
        <v>1.476</v>
      </c>
      <c r="O1210" s="704">
        <v>22.74949601548979</v>
      </c>
      <c r="P1210" s="375" t="s">
        <v>619</v>
      </c>
      <c r="Q1210" s="375" t="s">
        <v>619</v>
      </c>
      <c r="R1210" s="696">
        <v>20170811</v>
      </c>
      <c r="S1210" s="375" t="s">
        <v>8246</v>
      </c>
      <c r="T1210" s="697" t="s">
        <v>768</v>
      </c>
      <c r="U1210" s="372" t="s">
        <v>8247</v>
      </c>
      <c r="V1210" s="722" t="s">
        <v>770</v>
      </c>
      <c r="W1210" s="722">
        <v>3.58</v>
      </c>
      <c r="X1210" s="722">
        <v>1.57</v>
      </c>
      <c r="Y1210" s="722" t="s">
        <v>770</v>
      </c>
      <c r="Z1210" s="382" t="s">
        <v>924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8248</v>
      </c>
      <c r="B1211" s="373" t="s">
        <v>8249</v>
      </c>
      <c r="C1211" s="372" t="s">
        <v>8250</v>
      </c>
      <c r="D1211" s="374">
        <v>1601110176572</v>
      </c>
      <c r="E1211" s="372" t="s">
        <v>8251</v>
      </c>
      <c r="F1211" s="375" t="s">
        <v>3118</v>
      </c>
      <c r="G1211" s="375" t="s">
        <v>3118</v>
      </c>
      <c r="H1211" s="375" t="s">
        <v>858</v>
      </c>
      <c r="I1211" s="375" t="s">
        <v>859</v>
      </c>
      <c r="J1211" s="375">
        <v>15320.510700000001</v>
      </c>
      <c r="K1211" s="375">
        <v>-2474.3633300000001</v>
      </c>
      <c r="L1211" s="375">
        <v>-805.65602000000001</v>
      </c>
      <c r="M1211" s="375">
        <v>-15023.748089999999</v>
      </c>
      <c r="N1211" s="372" t="s">
        <v>1023</v>
      </c>
      <c r="O1211" s="704">
        <v>19.80961866652769</v>
      </c>
      <c r="P1211" s="375" t="s">
        <v>16112</v>
      </c>
      <c r="Q1211" s="372" t="s">
        <v>16113</v>
      </c>
      <c r="R1211" s="696">
        <v>20171226</v>
      </c>
      <c r="S1211" s="372" t="s">
        <v>8252</v>
      </c>
      <c r="T1211" s="697" t="s">
        <v>768</v>
      </c>
      <c r="U1211" s="372" t="s">
        <v>8253</v>
      </c>
      <c r="V1211" s="722" t="s">
        <v>770</v>
      </c>
      <c r="W1211" s="722" t="s">
        <v>770</v>
      </c>
      <c r="X1211" s="722">
        <v>8.6199999999999992</v>
      </c>
      <c r="Y1211" s="722" t="s">
        <v>770</v>
      </c>
      <c r="Z1211" s="382" t="s">
        <v>924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8254</v>
      </c>
      <c r="B1212" s="373" t="s">
        <v>8255</v>
      </c>
      <c r="C1212" s="372" t="s">
        <v>8256</v>
      </c>
      <c r="D1212" s="374">
        <v>1101111549786</v>
      </c>
      <c r="E1212" s="372" t="s">
        <v>8257</v>
      </c>
      <c r="F1212" s="375" t="s">
        <v>2029</v>
      </c>
      <c r="G1212" s="375" t="s">
        <v>2030</v>
      </c>
      <c r="H1212" s="375" t="s">
        <v>1528</v>
      </c>
      <c r="I1212" s="375" t="s">
        <v>859</v>
      </c>
      <c r="J1212" s="375">
        <v>244177.70806999999</v>
      </c>
      <c r="K1212" s="375">
        <v>-6606.6746700000003</v>
      </c>
      <c r="L1212" s="375">
        <v>-63713.499459999999</v>
      </c>
      <c r="M1212" s="375">
        <v>321272.41954999999</v>
      </c>
      <c r="N1212" s="372">
        <v>0.624</v>
      </c>
      <c r="O1212" s="704">
        <v>22.138612689298071</v>
      </c>
      <c r="P1212" s="375" t="s">
        <v>16112</v>
      </c>
      <c r="Q1212" s="372" t="s">
        <v>16113</v>
      </c>
      <c r="R1212" s="696">
        <v>20021220</v>
      </c>
      <c r="S1212" s="372" t="s">
        <v>8258</v>
      </c>
      <c r="T1212" s="697" t="s">
        <v>768</v>
      </c>
      <c r="U1212" s="372" t="s">
        <v>8259</v>
      </c>
      <c r="V1212" s="722">
        <v>4.33</v>
      </c>
      <c r="W1212" s="722">
        <v>0.44</v>
      </c>
      <c r="X1212" s="722">
        <v>0.54</v>
      </c>
      <c r="Y1212" s="722" t="s">
        <v>770</v>
      </c>
      <c r="Z1212" s="382" t="s">
        <v>924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8260</v>
      </c>
      <c r="B1213" s="373" t="s">
        <v>8261</v>
      </c>
      <c r="C1213" s="372" t="s">
        <v>8262</v>
      </c>
      <c r="D1213" s="374">
        <v>1350110119749</v>
      </c>
      <c r="E1213" s="372" t="s">
        <v>8263</v>
      </c>
      <c r="F1213" s="375" t="s">
        <v>7041</v>
      </c>
      <c r="G1213" s="375" t="s">
        <v>8264</v>
      </c>
      <c r="H1213" s="375" t="s">
        <v>858</v>
      </c>
      <c r="I1213" s="375" t="s">
        <v>859</v>
      </c>
      <c r="J1213" s="375">
        <v>82903.273319999993</v>
      </c>
      <c r="K1213" s="375">
        <v>-1766.25414</v>
      </c>
      <c r="L1213" s="375">
        <v>-5120.6429200000002</v>
      </c>
      <c r="M1213" s="375">
        <v>52885.357409999997</v>
      </c>
      <c r="N1213" s="372">
        <v>1.1359999999999999</v>
      </c>
      <c r="O1213" s="704">
        <v>80.833711837388506</v>
      </c>
      <c r="P1213" s="375" t="s">
        <v>619</v>
      </c>
      <c r="Q1213" s="375" t="s">
        <v>619</v>
      </c>
      <c r="R1213" s="696">
        <v>20211007</v>
      </c>
      <c r="S1213" s="375" t="s">
        <v>8265</v>
      </c>
      <c r="T1213" s="697" t="s">
        <v>768</v>
      </c>
      <c r="U1213" s="372" t="s">
        <v>8266</v>
      </c>
      <c r="V1213" s="722">
        <v>87.8</v>
      </c>
      <c r="W1213" s="722">
        <v>1.7</v>
      </c>
      <c r="X1213" s="722">
        <v>1.17</v>
      </c>
      <c r="Y1213" s="722" t="s">
        <v>770</v>
      </c>
      <c r="Z1213" s="382">
        <v>0.20686646318092428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805</v>
      </c>
      <c r="AF1213" s="372">
        <v>1118</v>
      </c>
      <c r="AG1213" s="372">
        <v>1843</v>
      </c>
      <c r="AH1213" s="372">
        <v>0</v>
      </c>
    </row>
    <row r="1214" spans="1:34">
      <c r="A1214" s="372" t="s">
        <v>8267</v>
      </c>
      <c r="B1214" s="373" t="s">
        <v>8268</v>
      </c>
      <c r="C1214" s="372" t="s">
        <v>16079</v>
      </c>
      <c r="D1214" s="374">
        <v>1341110000400</v>
      </c>
      <c r="E1214" s="372" t="s">
        <v>8269</v>
      </c>
      <c r="F1214" s="375" t="s">
        <v>7209</v>
      </c>
      <c r="G1214" s="375" t="s">
        <v>8270</v>
      </c>
      <c r="H1214" s="375" t="s">
        <v>858</v>
      </c>
      <c r="I1214" s="375" t="s">
        <v>4410</v>
      </c>
      <c r="J1214" s="375">
        <v>148561.67478999999</v>
      </c>
      <c r="K1214" s="375">
        <v>-5165.7599799999998</v>
      </c>
      <c r="L1214" s="375">
        <v>-5223.9433799999997</v>
      </c>
      <c r="M1214" s="375">
        <v>136738.54159000001</v>
      </c>
      <c r="N1214" s="372" t="s">
        <v>1023</v>
      </c>
      <c r="O1214" s="704" t="e">
        <v>#DIV/0!</v>
      </c>
      <c r="P1214" s="375" t="s">
        <v>619</v>
      </c>
      <c r="Q1214" s="372" t="s">
        <v>619</v>
      </c>
      <c r="R1214" s="696">
        <v>19931222</v>
      </c>
      <c r="S1214" s="375" t="e">
        <v>#N/A</v>
      </c>
      <c r="T1214" s="697" t="s">
        <v>768</v>
      </c>
      <c r="U1214" s="372" t="s">
        <v>5741</v>
      </c>
      <c r="V1214" s="722">
        <v>7.46</v>
      </c>
      <c r="W1214" s="722">
        <v>0</v>
      </c>
      <c r="X1214" s="722">
        <v>0</v>
      </c>
      <c r="Y1214" s="722">
        <v>0</v>
      </c>
      <c r="Z1214" s="382" t="s">
        <v>924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8272</v>
      </c>
      <c r="B1215" s="373" t="s">
        <v>8273</v>
      </c>
      <c r="C1215" s="372" t="s">
        <v>8274</v>
      </c>
      <c r="D1215" s="374">
        <v>1801110796665</v>
      </c>
      <c r="E1215" s="372" t="s">
        <v>8275</v>
      </c>
      <c r="F1215" s="375" t="s">
        <v>5616</v>
      </c>
      <c r="G1215" s="375" t="s">
        <v>5616</v>
      </c>
      <c r="H1215" s="375" t="s">
        <v>858</v>
      </c>
      <c r="I1215" s="375" t="s">
        <v>859</v>
      </c>
      <c r="J1215" s="375">
        <v>47475.147069999999</v>
      </c>
      <c r="K1215" s="375">
        <v>4361.7779600000003</v>
      </c>
      <c r="L1215" s="375">
        <v>3777.7819300000001</v>
      </c>
      <c r="M1215" s="375">
        <v>57814.707719999999</v>
      </c>
      <c r="N1215" s="372" t="s">
        <v>1023</v>
      </c>
      <c r="O1215" s="704">
        <v>6.0419048364798424</v>
      </c>
      <c r="P1215" s="375" t="s">
        <v>619</v>
      </c>
      <c r="Q1215" s="372" t="s">
        <v>619</v>
      </c>
      <c r="R1215" s="696">
        <v>20231124</v>
      </c>
      <c r="S1215" s="375" t="s">
        <v>8276</v>
      </c>
      <c r="T1215" s="697">
        <v>0.20900000000000002</v>
      </c>
      <c r="U1215" s="372" t="s">
        <v>8277</v>
      </c>
      <c r="V1215" s="722">
        <v>0</v>
      </c>
      <c r="W1215" s="722">
        <v>0</v>
      </c>
      <c r="X1215" s="722">
        <v>0</v>
      </c>
      <c r="Y1215" s="722">
        <v>0</v>
      </c>
      <c r="Z1215" s="382" t="s">
        <v>924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8278</v>
      </c>
      <c r="B1216" s="373" t="s">
        <v>8279</v>
      </c>
      <c r="C1216" s="372" t="s">
        <v>8280</v>
      </c>
      <c r="D1216" s="374">
        <v>1301110057421</v>
      </c>
      <c r="E1216" s="372" t="s">
        <v>8281</v>
      </c>
      <c r="F1216" s="372" t="s">
        <v>16098</v>
      </c>
      <c r="G1216" s="375" t="s">
        <v>16098</v>
      </c>
      <c r="H1216" s="375" t="s">
        <v>858</v>
      </c>
      <c r="I1216" s="375" t="s">
        <v>859</v>
      </c>
      <c r="J1216" s="375">
        <v>12813.049000000001</v>
      </c>
      <c r="K1216" s="375">
        <v>-5950.1169</v>
      </c>
      <c r="L1216" s="375">
        <v>-3027.6244299999998</v>
      </c>
      <c r="M1216" s="375">
        <v>36315.539640000003</v>
      </c>
      <c r="N1216" s="372">
        <v>0.873</v>
      </c>
      <c r="O1216" s="704">
        <v>19.432308810230339</v>
      </c>
      <c r="P1216" s="375" t="s">
        <v>619</v>
      </c>
      <c r="Q1216" s="372" t="s">
        <v>619</v>
      </c>
      <c r="R1216" s="696">
        <v>20180820</v>
      </c>
      <c r="S1216" s="372" t="s">
        <v>8282</v>
      </c>
      <c r="T1216" s="697" t="s">
        <v>768</v>
      </c>
      <c r="U1216" s="372" t="s">
        <v>8283</v>
      </c>
      <c r="V1216" s="722">
        <v>0</v>
      </c>
      <c r="W1216" s="722">
        <v>0</v>
      </c>
      <c r="X1216" s="722">
        <v>0</v>
      </c>
      <c r="Y1216" s="722">
        <v>0</v>
      </c>
      <c r="Z1216" s="382" t="s">
        <v>924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8284</v>
      </c>
      <c r="B1217" s="373" t="s">
        <v>8285</v>
      </c>
      <c r="C1217" s="372" t="s">
        <v>8286</v>
      </c>
      <c r="D1217" s="374">
        <v>1801110000537</v>
      </c>
      <c r="E1217" s="372" t="s">
        <v>8287</v>
      </c>
      <c r="F1217" s="375" t="s">
        <v>4822</v>
      </c>
      <c r="G1217" s="375" t="s">
        <v>4823</v>
      </c>
      <c r="H1217" s="375" t="s">
        <v>823</v>
      </c>
      <c r="I1217" s="375" t="s">
        <v>751</v>
      </c>
      <c r="J1217" s="375">
        <v>423113.78135</v>
      </c>
      <c r="K1217" s="375">
        <v>44858.57602</v>
      </c>
      <c r="L1217" s="375">
        <v>83095.363970000006</v>
      </c>
      <c r="M1217" s="375">
        <v>411859.53406999999</v>
      </c>
      <c r="N1217" s="372">
        <v>0.45100000000000001</v>
      </c>
      <c r="O1217" s="704">
        <v>36.091594097840776</v>
      </c>
      <c r="P1217" s="375" t="s">
        <v>619</v>
      </c>
      <c r="Q1217" s="372" t="s">
        <v>619</v>
      </c>
      <c r="R1217" s="696">
        <v>19890927</v>
      </c>
      <c r="S1217" s="372" t="s">
        <v>8288</v>
      </c>
      <c r="T1217" s="697">
        <v>0.23100000000000001</v>
      </c>
      <c r="U1217" s="372" t="s">
        <v>8289</v>
      </c>
      <c r="V1217" s="722">
        <v>0</v>
      </c>
      <c r="W1217" s="722">
        <v>0</v>
      </c>
      <c r="X1217" s="722">
        <v>0</v>
      </c>
      <c r="Y1217" s="722">
        <v>0</v>
      </c>
      <c r="Z1217" s="382" t="s">
        <v>924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8290</v>
      </c>
      <c r="B1218" s="373" t="s">
        <v>8291</v>
      </c>
      <c r="C1218" s="372" t="s">
        <v>8292</v>
      </c>
      <c r="D1218" s="374">
        <v>1101116110045</v>
      </c>
      <c r="E1218" s="372" t="s">
        <v>8293</v>
      </c>
      <c r="F1218" s="375" t="s">
        <v>2219</v>
      </c>
      <c r="G1218" s="375" t="s">
        <v>2219</v>
      </c>
      <c r="H1218" s="375" t="s">
        <v>1313</v>
      </c>
      <c r="I1218" s="375" t="s">
        <v>751</v>
      </c>
      <c r="J1218" s="375">
        <v>399918.21623000002</v>
      </c>
      <c r="K1218" s="375">
        <v>2988.27702</v>
      </c>
      <c r="L1218" s="375">
        <v>3213.5116200000002</v>
      </c>
      <c r="M1218" s="375">
        <v>240589.71934000001</v>
      </c>
      <c r="N1218" s="372">
        <v>0.59099999999999997</v>
      </c>
      <c r="O1218" s="704">
        <v>56.729758368169904</v>
      </c>
      <c r="P1218" s="375" t="s">
        <v>619</v>
      </c>
      <c r="Q1218" s="372" t="s">
        <v>619</v>
      </c>
      <c r="R1218" s="696">
        <v>20160809</v>
      </c>
      <c r="S1218" s="372" t="s">
        <v>8294</v>
      </c>
      <c r="T1218" s="697">
        <v>0.20900000000000002</v>
      </c>
      <c r="U1218" s="375" t="s">
        <v>7906</v>
      </c>
      <c r="V1218" s="722">
        <v>6.2</v>
      </c>
      <c r="W1218" s="722">
        <v>0.54</v>
      </c>
      <c r="X1218" s="722">
        <v>0.32</v>
      </c>
      <c r="Y1218" s="722">
        <v>35.81</v>
      </c>
      <c r="Z1218" s="382" t="s">
        <v>924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8295</v>
      </c>
      <c r="B1219" s="373" t="s">
        <v>8296</v>
      </c>
      <c r="C1219" s="372" t="s">
        <v>8297</v>
      </c>
      <c r="D1219" s="374">
        <v>1341110106357</v>
      </c>
      <c r="E1219" s="372" t="s">
        <v>8298</v>
      </c>
      <c r="F1219" s="372" t="s">
        <v>1959</v>
      </c>
      <c r="G1219" s="375" t="s">
        <v>1959</v>
      </c>
      <c r="H1219" s="375" t="s">
        <v>858</v>
      </c>
      <c r="I1219" s="375" t="s">
        <v>859</v>
      </c>
      <c r="J1219" s="375">
        <v>211327.65435</v>
      </c>
      <c r="K1219" s="375">
        <v>13531.522300000001</v>
      </c>
      <c r="L1219" s="375">
        <v>11927.81984</v>
      </c>
      <c r="M1219" s="375">
        <v>78954.451419999998</v>
      </c>
      <c r="N1219" s="372">
        <v>1.1910000000000001</v>
      </c>
      <c r="O1219" s="704">
        <v>84.005406309345759</v>
      </c>
      <c r="P1219" s="375" t="s">
        <v>619</v>
      </c>
      <c r="Q1219" s="372" t="s">
        <v>619</v>
      </c>
      <c r="R1219" s="696">
        <v>20170920</v>
      </c>
      <c r="S1219" s="372" t="s">
        <v>8299</v>
      </c>
      <c r="T1219" s="697">
        <v>0.20900000000000002</v>
      </c>
      <c r="U1219" s="375" t="s">
        <v>8300</v>
      </c>
      <c r="V1219" s="722">
        <v>8.51</v>
      </c>
      <c r="W1219" s="722">
        <v>1.56</v>
      </c>
      <c r="X1219" s="722">
        <v>0.61</v>
      </c>
      <c r="Y1219" s="722">
        <v>12.43</v>
      </c>
      <c r="Z1219" s="382" t="s">
        <v>924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8301</v>
      </c>
      <c r="B1220" s="373" t="s">
        <v>8302</v>
      </c>
      <c r="C1220" s="372" t="s">
        <v>8303</v>
      </c>
      <c r="D1220" s="374">
        <v>1311110056480</v>
      </c>
      <c r="E1220" s="372" t="s">
        <v>8304</v>
      </c>
      <c r="F1220" s="375" t="s">
        <v>877</v>
      </c>
      <c r="G1220" s="375" t="s">
        <v>877</v>
      </c>
      <c r="H1220" s="375" t="s">
        <v>858</v>
      </c>
      <c r="I1220" s="375" t="s">
        <v>859</v>
      </c>
      <c r="J1220" s="375">
        <v>83639.172489999997</v>
      </c>
      <c r="K1220" s="375">
        <v>4409.1152499999998</v>
      </c>
      <c r="L1220" s="375">
        <v>4480.3121099999998</v>
      </c>
      <c r="M1220" s="375">
        <v>125352.8317</v>
      </c>
      <c r="N1220" s="372">
        <v>1.0069999999999999</v>
      </c>
      <c r="O1220" s="704">
        <v>84.10822755015954</v>
      </c>
      <c r="P1220" s="375" t="s">
        <v>619</v>
      </c>
      <c r="Q1220" s="372" t="s">
        <v>619</v>
      </c>
      <c r="R1220" s="696">
        <v>20090929</v>
      </c>
      <c r="S1220" s="375" t="s">
        <v>8305</v>
      </c>
      <c r="T1220" s="697">
        <v>0.20900000000000002</v>
      </c>
      <c r="U1220" s="375" t="s">
        <v>8306</v>
      </c>
      <c r="V1220" s="722">
        <v>7.46</v>
      </c>
      <c r="W1220" s="722">
        <v>0.57999999999999996</v>
      </c>
      <c r="X1220" s="722">
        <v>0.88</v>
      </c>
      <c r="Y1220" s="722">
        <v>18.71</v>
      </c>
      <c r="Z1220" s="382" t="s">
        <v>924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8307</v>
      </c>
      <c r="B1221" s="373" t="s">
        <v>8308</v>
      </c>
      <c r="C1221" s="372" t="s">
        <v>8309</v>
      </c>
      <c r="D1221" s="374">
        <v>2062110001540</v>
      </c>
      <c r="E1221" s="372" t="s">
        <v>8310</v>
      </c>
      <c r="F1221" s="375" t="s">
        <v>8311</v>
      </c>
      <c r="G1221" s="375" t="s">
        <v>8311</v>
      </c>
      <c r="H1221" s="375" t="s">
        <v>1334</v>
      </c>
      <c r="I1221" s="375" t="s">
        <v>859</v>
      </c>
      <c r="J1221" s="375">
        <v>117258.76751000001</v>
      </c>
      <c r="K1221" s="375">
        <v>31698.071650000002</v>
      </c>
      <c r="L1221" s="375">
        <v>31972.991099999999</v>
      </c>
      <c r="M1221" s="375">
        <v>282883.55114</v>
      </c>
      <c r="N1221" s="372">
        <v>0.82499999999999996</v>
      </c>
      <c r="O1221" s="704">
        <v>82.902845352116287</v>
      </c>
      <c r="P1221" s="375" t="s">
        <v>619</v>
      </c>
      <c r="Q1221" s="375" t="s">
        <v>619</v>
      </c>
      <c r="R1221" s="696">
        <v>20051223</v>
      </c>
      <c r="S1221" s="375" t="s">
        <v>8312</v>
      </c>
      <c r="T1221" s="697">
        <v>0.23100000000000001</v>
      </c>
      <c r="U1221" s="372" t="s">
        <v>8313</v>
      </c>
      <c r="V1221" s="722">
        <v>3.93</v>
      </c>
      <c r="W1221" s="722">
        <v>0.43</v>
      </c>
      <c r="X1221" s="722">
        <v>1.04</v>
      </c>
      <c r="Y1221" s="722">
        <v>4.75</v>
      </c>
      <c r="Z1221" s="382">
        <v>6.2137842591283299E-2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1256</v>
      </c>
      <c r="AF1221" s="372">
        <v>1373</v>
      </c>
      <c r="AG1221" s="372">
        <v>1545</v>
      </c>
      <c r="AH1221" s="372">
        <v>0</v>
      </c>
    </row>
    <row r="1222" spans="1:34">
      <c r="A1222" s="372" t="s">
        <v>8314</v>
      </c>
      <c r="B1222" s="373" t="s">
        <v>8315</v>
      </c>
      <c r="C1222" s="372" t="s">
        <v>8316</v>
      </c>
      <c r="D1222" s="374">
        <v>1101112683179</v>
      </c>
      <c r="E1222" s="372" t="s">
        <v>8317</v>
      </c>
      <c r="F1222" s="375" t="s">
        <v>1367</v>
      </c>
      <c r="G1222" s="375" t="s">
        <v>1367</v>
      </c>
      <c r="H1222" s="375" t="s">
        <v>858</v>
      </c>
      <c r="I1222" s="375" t="s">
        <v>859</v>
      </c>
      <c r="J1222" s="375">
        <v>100771.81707</v>
      </c>
      <c r="K1222" s="375">
        <v>10148.533450000001</v>
      </c>
      <c r="L1222" s="375">
        <v>34795.626029999999</v>
      </c>
      <c r="M1222" s="375">
        <v>157073.75007000001</v>
      </c>
      <c r="N1222" s="372">
        <v>0.88200000000000001</v>
      </c>
      <c r="O1222" s="704">
        <v>3.2595884223438163</v>
      </c>
      <c r="P1222" s="375" t="s">
        <v>619</v>
      </c>
      <c r="Q1222" s="375" t="s">
        <v>619</v>
      </c>
      <c r="R1222" s="696">
        <v>20100526</v>
      </c>
      <c r="S1222" s="375" t="s">
        <v>8318</v>
      </c>
      <c r="T1222" s="697">
        <v>0.23100000000000001</v>
      </c>
      <c r="U1222" s="375" t="s">
        <v>8319</v>
      </c>
      <c r="V1222" s="722">
        <v>8.3800000000000008</v>
      </c>
      <c r="W1222" s="722">
        <v>0.67</v>
      </c>
      <c r="X1222" s="722">
        <v>1.04</v>
      </c>
      <c r="Y1222" s="722">
        <v>3.5</v>
      </c>
      <c r="Z1222" s="382" t="s">
        <v>924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8320</v>
      </c>
      <c r="B1223" s="373" t="s">
        <v>8321</v>
      </c>
      <c r="C1223" s="372" t="s">
        <v>8322</v>
      </c>
      <c r="D1223" s="374">
        <v>1244110000662</v>
      </c>
      <c r="E1223" s="372" t="s">
        <v>8323</v>
      </c>
      <c r="F1223" s="372" t="s">
        <v>4830</v>
      </c>
      <c r="G1223" s="375" t="s">
        <v>4830</v>
      </c>
      <c r="H1223" s="375" t="s">
        <v>1313</v>
      </c>
      <c r="I1223" s="375" t="s">
        <v>751</v>
      </c>
      <c r="J1223" s="375">
        <v>681269.50392000005</v>
      </c>
      <c r="K1223" s="375">
        <v>53326.286930000002</v>
      </c>
      <c r="L1223" s="375">
        <v>34625.967340000003</v>
      </c>
      <c r="M1223" s="375">
        <v>282355.11080000002</v>
      </c>
      <c r="N1223" s="372">
        <v>0.70599999999999996</v>
      </c>
      <c r="O1223" s="704">
        <v>110.91189321933868</v>
      </c>
      <c r="P1223" s="375" t="s">
        <v>619</v>
      </c>
      <c r="Q1223" s="372" t="s">
        <v>619</v>
      </c>
      <c r="R1223" s="696">
        <v>19890624</v>
      </c>
      <c r="S1223" s="372" t="s">
        <v>8324</v>
      </c>
      <c r="T1223" s="697">
        <v>0.23100000000000001</v>
      </c>
      <c r="U1223" s="372" t="s">
        <v>8325</v>
      </c>
      <c r="V1223" s="722">
        <v>0</v>
      </c>
      <c r="W1223" s="722">
        <v>0</v>
      </c>
      <c r="X1223" s="722">
        <v>0</v>
      </c>
      <c r="Y1223" s="722">
        <v>0</v>
      </c>
      <c r="Z1223" s="382" t="s">
        <v>924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8326</v>
      </c>
      <c r="B1224" s="373" t="s">
        <v>8327</v>
      </c>
      <c r="C1224" s="372" t="s">
        <v>8328</v>
      </c>
      <c r="D1224" s="374">
        <v>1801110051770</v>
      </c>
      <c r="E1224" s="372" t="s">
        <v>8329</v>
      </c>
      <c r="F1224" s="375" t="s">
        <v>1133</v>
      </c>
      <c r="G1224" s="375" t="s">
        <v>3125</v>
      </c>
      <c r="H1224" s="375" t="s">
        <v>858</v>
      </c>
      <c r="I1224" s="375" t="s">
        <v>859</v>
      </c>
      <c r="J1224" s="375">
        <v>534311.38656000001</v>
      </c>
      <c r="K1224" s="375">
        <v>39553.458250000003</v>
      </c>
      <c r="L1224" s="375">
        <v>38762.666270000002</v>
      </c>
      <c r="M1224" s="375">
        <v>261714.16670999999</v>
      </c>
      <c r="N1224" s="372">
        <v>0.83699999999999997</v>
      </c>
      <c r="O1224" s="704">
        <v>120.32240419024028</v>
      </c>
      <c r="P1224" s="375" t="s">
        <v>619</v>
      </c>
      <c r="Q1224" s="372" t="s">
        <v>619</v>
      </c>
      <c r="R1224" s="696">
        <v>20070529</v>
      </c>
      <c r="S1224" s="372" t="s">
        <v>8330</v>
      </c>
      <c r="T1224" s="697">
        <v>0.23100000000000001</v>
      </c>
      <c r="U1224" s="372" t="s">
        <v>8331</v>
      </c>
      <c r="V1224" s="722">
        <v>7.15</v>
      </c>
      <c r="W1224" s="722">
        <v>0.65</v>
      </c>
      <c r="X1224" s="722">
        <v>0.28000000000000003</v>
      </c>
      <c r="Y1224" s="722">
        <v>5.3</v>
      </c>
      <c r="Z1224" s="382">
        <v>-2.8307492451793426E-3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5413</v>
      </c>
      <c r="AF1224" s="372">
        <v>5648</v>
      </c>
      <c r="AG1224" s="372">
        <v>5840</v>
      </c>
      <c r="AH1224" s="372">
        <v>0</v>
      </c>
    </row>
    <row r="1225" spans="1:34">
      <c r="A1225" s="372" t="s">
        <v>8332</v>
      </c>
      <c r="B1225" s="373" t="s">
        <v>8333</v>
      </c>
      <c r="C1225" s="372" t="s">
        <v>8334</v>
      </c>
      <c r="D1225" s="374">
        <v>1301110009498</v>
      </c>
      <c r="E1225" s="372" t="s">
        <v>8335</v>
      </c>
      <c r="F1225" s="375" t="s">
        <v>2113</v>
      </c>
      <c r="G1225" s="375" t="s">
        <v>8336</v>
      </c>
      <c r="H1225" s="375" t="s">
        <v>809</v>
      </c>
      <c r="I1225" s="375" t="s">
        <v>751</v>
      </c>
      <c r="J1225" s="375">
        <v>441929.07977999997</v>
      </c>
      <c r="K1225" s="375">
        <v>23554.354739999999</v>
      </c>
      <c r="L1225" s="375">
        <v>18926.649259999998</v>
      </c>
      <c r="M1225" s="375">
        <v>138230.04306</v>
      </c>
      <c r="N1225" s="372">
        <v>0.64600000000000002</v>
      </c>
      <c r="O1225" s="704">
        <v>88.370040815687162</v>
      </c>
      <c r="P1225" s="375" t="s">
        <v>619</v>
      </c>
      <c r="Q1225" s="372" t="s">
        <v>619</v>
      </c>
      <c r="R1225" s="696">
        <v>19950818</v>
      </c>
      <c r="S1225" s="372" t="s">
        <v>8337</v>
      </c>
      <c r="T1225" s="697">
        <v>0.20900000000000002</v>
      </c>
      <c r="U1225" s="372" t="s">
        <v>8338</v>
      </c>
      <c r="V1225" s="722">
        <v>0</v>
      </c>
      <c r="W1225" s="722">
        <v>0</v>
      </c>
      <c r="X1225" s="722">
        <v>0</v>
      </c>
      <c r="Y1225" s="722">
        <v>0</v>
      </c>
      <c r="Z1225" s="382" t="s">
        <v>924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8339</v>
      </c>
      <c r="B1226" s="373" t="s">
        <v>8340</v>
      </c>
      <c r="C1226" s="372" t="s">
        <v>8341</v>
      </c>
      <c r="D1226" s="374">
        <v>1101110254104</v>
      </c>
      <c r="E1226" s="372" t="s">
        <v>8342</v>
      </c>
      <c r="F1226" s="375" t="s">
        <v>6257</v>
      </c>
      <c r="G1226" s="375" t="s">
        <v>6257</v>
      </c>
      <c r="H1226" s="375" t="s">
        <v>3954</v>
      </c>
      <c r="I1226" s="375" t="s">
        <v>751</v>
      </c>
      <c r="J1226" s="375">
        <v>280945.33729</v>
      </c>
      <c r="K1226" s="375">
        <v>5189.8273200000003</v>
      </c>
      <c r="L1226" s="375">
        <v>5471.7272000000003</v>
      </c>
      <c r="M1226" s="375">
        <v>178518.89001999999</v>
      </c>
      <c r="N1226" s="372">
        <v>1.0680000000000001</v>
      </c>
      <c r="O1226" s="704">
        <v>9.8655804810538079</v>
      </c>
      <c r="P1226" s="375" t="s">
        <v>619</v>
      </c>
      <c r="Q1226" s="372" t="s">
        <v>619</v>
      </c>
      <c r="R1226" s="696">
        <v>19900306</v>
      </c>
      <c r="S1226" s="372" t="s">
        <v>8343</v>
      </c>
      <c r="T1226" s="697">
        <v>0.20900000000000002</v>
      </c>
      <c r="U1226" s="372" t="s">
        <v>5741</v>
      </c>
      <c r="V1226" s="722">
        <v>0</v>
      </c>
      <c r="W1226" s="722">
        <v>0</v>
      </c>
      <c r="X1226" s="722">
        <v>0</v>
      </c>
      <c r="Y1226" s="722">
        <v>0</v>
      </c>
      <c r="Z1226" s="382" t="s">
        <v>924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8344</v>
      </c>
      <c r="B1227" s="373" t="s">
        <v>8345</v>
      </c>
      <c r="C1227" s="372" t="s">
        <v>8346</v>
      </c>
      <c r="D1227" s="374">
        <v>0</v>
      </c>
      <c r="E1227" s="372" t="s">
        <v>8347</v>
      </c>
      <c r="F1227" s="375" t="s">
        <v>890</v>
      </c>
      <c r="G1227" s="375" t="s">
        <v>891</v>
      </c>
      <c r="H1227" s="375">
        <v>0</v>
      </c>
      <c r="I1227" s="375" t="s">
        <v>859</v>
      </c>
      <c r="J1227" s="375">
        <v>101782.196</v>
      </c>
      <c r="K1227" s="375">
        <v>24059.876</v>
      </c>
      <c r="L1227" s="375">
        <v>3579.2280000000001</v>
      </c>
      <c r="M1227" s="375">
        <v>456138.272</v>
      </c>
      <c r="N1227" s="372">
        <v>0.871</v>
      </c>
      <c r="O1227" s="704">
        <v>7.0310515347630549</v>
      </c>
      <c r="P1227" s="375" t="s">
        <v>619</v>
      </c>
      <c r="Q1227" s="372" t="s">
        <v>619</v>
      </c>
      <c r="R1227" s="696">
        <v>20160128</v>
      </c>
      <c r="S1227" s="372" t="s">
        <v>8348</v>
      </c>
      <c r="T1227" s="697">
        <v>0.20900000000000002</v>
      </c>
      <c r="U1227" s="372" t="s">
        <v>8349</v>
      </c>
      <c r="V1227" s="722">
        <v>3.62</v>
      </c>
      <c r="W1227" s="722">
        <v>0.31</v>
      </c>
      <c r="X1227" s="722">
        <v>1.21</v>
      </c>
      <c r="Y1227" s="722" t="s">
        <v>770</v>
      </c>
      <c r="Z1227" s="382" t="s">
        <v>924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8350</v>
      </c>
      <c r="B1228" s="373" t="s">
        <v>8351</v>
      </c>
      <c r="C1228" s="372" t="s">
        <v>8352</v>
      </c>
      <c r="D1228" s="374">
        <v>1812110025384</v>
      </c>
      <c r="E1228" s="372" t="s">
        <v>8353</v>
      </c>
      <c r="F1228" s="375" t="s">
        <v>7002</v>
      </c>
      <c r="G1228" s="375" t="s">
        <v>7002</v>
      </c>
      <c r="H1228" s="375" t="s">
        <v>4844</v>
      </c>
      <c r="I1228" s="375" t="s">
        <v>859</v>
      </c>
      <c r="J1228" s="375">
        <v>266199.09990999999</v>
      </c>
      <c r="K1228" s="375">
        <v>-11511.481089999999</v>
      </c>
      <c r="L1228" s="375">
        <v>-1257.8905299999999</v>
      </c>
      <c r="M1228" s="375">
        <v>89280.781310000006</v>
      </c>
      <c r="N1228" s="372" t="s">
        <v>1023</v>
      </c>
      <c r="O1228" s="704">
        <v>23.744001587286146</v>
      </c>
      <c r="P1228" s="375" t="s">
        <v>619</v>
      </c>
      <c r="Q1228" s="372" t="s">
        <v>619</v>
      </c>
      <c r="R1228" s="696">
        <v>20230313</v>
      </c>
      <c r="S1228" s="372" t="s">
        <v>8354</v>
      </c>
      <c r="T1228" s="697" t="s">
        <v>768</v>
      </c>
      <c r="U1228" s="372" t="s">
        <v>8355</v>
      </c>
      <c r="V1228" s="722" t="s">
        <v>770</v>
      </c>
      <c r="W1228" s="722">
        <v>1.55</v>
      </c>
      <c r="X1228" s="722">
        <v>0.52</v>
      </c>
      <c r="Y1228" s="722" t="s">
        <v>770</v>
      </c>
      <c r="Z1228" s="382" t="s">
        <v>924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8356</v>
      </c>
      <c r="B1229" s="373" t="s">
        <v>8357</v>
      </c>
      <c r="C1229" s="372" t="s">
        <v>8358</v>
      </c>
      <c r="D1229" s="374">
        <v>1350110045639</v>
      </c>
      <c r="E1229" s="372" t="s">
        <v>8359</v>
      </c>
      <c r="F1229" s="375" t="s">
        <v>2831</v>
      </c>
      <c r="G1229" s="375" t="s">
        <v>2831</v>
      </c>
      <c r="H1229" s="375" t="s">
        <v>858</v>
      </c>
      <c r="I1229" s="375" t="s">
        <v>859</v>
      </c>
      <c r="J1229" s="375">
        <v>354590.03425999999</v>
      </c>
      <c r="K1229" s="375">
        <v>9714.1208100000003</v>
      </c>
      <c r="L1229" s="375">
        <v>8883.5030200000001</v>
      </c>
      <c r="M1229" s="375">
        <v>242726.39666999999</v>
      </c>
      <c r="N1229" s="372">
        <v>0.85299999999999998</v>
      </c>
      <c r="O1229" s="704">
        <v>133.32686862796825</v>
      </c>
      <c r="P1229" s="375" t="s">
        <v>619</v>
      </c>
      <c r="Q1229" s="375" t="s">
        <v>619</v>
      </c>
      <c r="R1229" s="696">
        <v>20020514</v>
      </c>
      <c r="S1229" s="372" t="s">
        <v>8360</v>
      </c>
      <c r="T1229" s="697">
        <v>0.20900000000000002</v>
      </c>
      <c r="U1229" s="372" t="s">
        <v>8361</v>
      </c>
      <c r="V1229" s="722">
        <v>6.34</v>
      </c>
      <c r="W1229" s="722">
        <v>0.42</v>
      </c>
      <c r="X1229" s="722">
        <v>0.28999999999999998</v>
      </c>
      <c r="Y1229" s="722">
        <v>31.7</v>
      </c>
      <c r="Z1229" s="382" t="s">
        <v>924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8362</v>
      </c>
      <c r="B1230" s="373" t="s">
        <v>8363</v>
      </c>
      <c r="C1230" s="372" t="s">
        <v>8364</v>
      </c>
      <c r="D1230" s="374">
        <v>1101110397699</v>
      </c>
      <c r="E1230" s="372" t="s">
        <v>8365</v>
      </c>
      <c r="F1230" s="375" t="s">
        <v>1793</v>
      </c>
      <c r="G1230" s="375" t="s">
        <v>2794</v>
      </c>
      <c r="H1230" s="375" t="s">
        <v>858</v>
      </c>
      <c r="I1230" s="375" t="s">
        <v>859</v>
      </c>
      <c r="J1230" s="375">
        <v>36702.717510000002</v>
      </c>
      <c r="K1230" s="375">
        <v>7331.2328900000002</v>
      </c>
      <c r="L1230" s="375">
        <v>8701.8145600000007</v>
      </c>
      <c r="M1230" s="375">
        <v>69720.820340000006</v>
      </c>
      <c r="N1230" s="372">
        <v>1.1259999999999999</v>
      </c>
      <c r="O1230" s="704">
        <v>1.3266408201836248</v>
      </c>
      <c r="P1230" s="375" t="s">
        <v>619</v>
      </c>
      <c r="Q1230" s="372" t="s">
        <v>619</v>
      </c>
      <c r="R1230" s="696">
        <v>19970704</v>
      </c>
      <c r="S1230" s="372" t="s">
        <v>8366</v>
      </c>
      <c r="T1230" s="697">
        <v>0.20900000000000002</v>
      </c>
      <c r="U1230" s="372" t="s">
        <v>8367</v>
      </c>
      <c r="V1230" s="722">
        <v>9.8800000000000008</v>
      </c>
      <c r="W1230" s="722">
        <v>1.2</v>
      </c>
      <c r="X1230" s="722">
        <v>2.37</v>
      </c>
      <c r="Y1230" s="722">
        <v>12.03</v>
      </c>
      <c r="Z1230" s="382" t="s">
        <v>924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8368</v>
      </c>
      <c r="B1231" s="373" t="s">
        <v>8369</v>
      </c>
      <c r="C1231" s="372" t="s">
        <v>8370</v>
      </c>
      <c r="D1231" s="374">
        <v>1801110162585</v>
      </c>
      <c r="E1231" s="372" t="s">
        <v>8371</v>
      </c>
      <c r="F1231" s="375" t="s">
        <v>3682</v>
      </c>
      <c r="G1231" s="375" t="s">
        <v>3682</v>
      </c>
      <c r="H1231" s="375" t="s">
        <v>1334</v>
      </c>
      <c r="I1231" s="375" t="s">
        <v>859</v>
      </c>
      <c r="J1231" s="375">
        <v>66428.953949999996</v>
      </c>
      <c r="K1231" s="375">
        <v>3805.0997900000002</v>
      </c>
      <c r="L1231" s="375">
        <v>9395.4131600000001</v>
      </c>
      <c r="M1231" s="375">
        <v>218631.95897000001</v>
      </c>
      <c r="N1231" s="372">
        <v>0.68700000000000006</v>
      </c>
      <c r="O1231" s="704">
        <v>0.46647497845708052</v>
      </c>
      <c r="P1231" s="375" t="s">
        <v>619</v>
      </c>
      <c r="Q1231" s="372" t="s">
        <v>619</v>
      </c>
      <c r="R1231" s="696">
        <v>20101103</v>
      </c>
      <c r="S1231" s="375" t="s">
        <v>8372</v>
      </c>
      <c r="T1231" s="697">
        <v>0.20900000000000002</v>
      </c>
      <c r="U1231" s="375" t="s">
        <v>8373</v>
      </c>
      <c r="V1231" s="722">
        <v>14.73</v>
      </c>
      <c r="W1231" s="722">
        <v>0.47</v>
      </c>
      <c r="X1231" s="722">
        <v>1.53</v>
      </c>
      <c r="Y1231" s="722">
        <v>13.49</v>
      </c>
      <c r="Z1231" s="382" t="s">
        <v>924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8374</v>
      </c>
      <c r="B1232" s="373" t="s">
        <v>8375</v>
      </c>
      <c r="C1232" s="372" t="s">
        <v>8376</v>
      </c>
      <c r="D1232" s="374">
        <v>1101110853419</v>
      </c>
      <c r="E1232" s="372" t="s">
        <v>8377</v>
      </c>
      <c r="F1232" s="372" t="s">
        <v>3177</v>
      </c>
      <c r="G1232" s="375" t="s">
        <v>3178</v>
      </c>
      <c r="H1232" s="375" t="s">
        <v>1334</v>
      </c>
      <c r="I1232" s="375" t="s">
        <v>859</v>
      </c>
      <c r="J1232" s="375">
        <v>36646.730360000001</v>
      </c>
      <c r="K1232" s="375">
        <v>4116.6833500000002</v>
      </c>
      <c r="L1232" s="375">
        <v>3239.3276599999999</v>
      </c>
      <c r="M1232" s="375">
        <v>31099.779470000001</v>
      </c>
      <c r="N1232" s="372">
        <v>-0.16400000000000001</v>
      </c>
      <c r="O1232" s="704">
        <v>0.73281423782787347</v>
      </c>
      <c r="P1232" s="375" t="s">
        <v>619</v>
      </c>
      <c r="Q1232" s="372" t="s">
        <v>619</v>
      </c>
      <c r="R1232" s="696">
        <v>19991204</v>
      </c>
      <c r="S1232" s="372" t="s">
        <v>8378</v>
      </c>
      <c r="T1232" s="697">
        <v>0.20900000000000002</v>
      </c>
      <c r="U1232" s="372" t="s">
        <v>8379</v>
      </c>
      <c r="V1232" s="722">
        <v>15.49</v>
      </c>
      <c r="W1232" s="722">
        <v>3.09</v>
      </c>
      <c r="X1232" s="722">
        <v>2.5499999999999998</v>
      </c>
      <c r="Y1232" s="722">
        <v>39.61</v>
      </c>
      <c r="Z1232" s="382" t="s">
        <v>924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8380</v>
      </c>
      <c r="B1233" s="373" t="s">
        <v>8381</v>
      </c>
      <c r="C1233" s="372" t="s">
        <v>8382</v>
      </c>
      <c r="D1233" s="374">
        <v>1301110015049</v>
      </c>
      <c r="E1233" s="372" t="s">
        <v>8383</v>
      </c>
      <c r="F1233" s="375" t="s">
        <v>8384</v>
      </c>
      <c r="G1233" s="375" t="s">
        <v>8385</v>
      </c>
      <c r="H1233" s="375">
        <v>0</v>
      </c>
      <c r="I1233" s="375" t="s">
        <v>859</v>
      </c>
      <c r="J1233" s="375">
        <v>139660.38897</v>
      </c>
      <c r="K1233" s="375">
        <v>13087.614610000001</v>
      </c>
      <c r="L1233" s="375">
        <v>12136.56703</v>
      </c>
      <c r="M1233" s="375">
        <v>267114.03834000003</v>
      </c>
      <c r="N1233" s="372">
        <v>0.61899999999999999</v>
      </c>
      <c r="O1233" s="704">
        <v>19.849741743682809</v>
      </c>
      <c r="P1233" s="375" t="s">
        <v>619</v>
      </c>
      <c r="Q1233" s="372" t="s">
        <v>619</v>
      </c>
      <c r="R1233" s="696">
        <v>20020329</v>
      </c>
      <c r="S1233" s="372" t="s">
        <v>8386</v>
      </c>
      <c r="T1233" s="697">
        <v>0.20900000000000002</v>
      </c>
      <c r="U1233" s="372" t="s">
        <v>8387</v>
      </c>
      <c r="V1233" s="722">
        <v>6.31</v>
      </c>
      <c r="W1233" s="722">
        <v>0.45</v>
      </c>
      <c r="X1233" s="722">
        <v>0.85</v>
      </c>
      <c r="Y1233" s="722">
        <v>11.55</v>
      </c>
      <c r="Z1233" s="382" t="s">
        <v>924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8388</v>
      </c>
      <c r="B1234" s="373" t="s">
        <v>8389</v>
      </c>
      <c r="C1234" s="372" t="s">
        <v>8390</v>
      </c>
      <c r="D1234" s="374">
        <v>1311110045540</v>
      </c>
      <c r="E1234" s="372" t="s">
        <v>8391</v>
      </c>
      <c r="F1234" s="375" t="s">
        <v>2831</v>
      </c>
      <c r="G1234" s="375" t="s">
        <v>8392</v>
      </c>
      <c r="H1234" s="375" t="s">
        <v>858</v>
      </c>
      <c r="I1234" s="375" t="s">
        <v>859</v>
      </c>
      <c r="J1234" s="375">
        <v>295565.36105000001</v>
      </c>
      <c r="K1234" s="375">
        <v>3379.17346</v>
      </c>
      <c r="L1234" s="375">
        <v>-21219.229670000001</v>
      </c>
      <c r="M1234" s="375">
        <v>60838.404990000003</v>
      </c>
      <c r="N1234" s="372">
        <v>0.97199999999999998</v>
      </c>
      <c r="O1234" s="704">
        <v>123.89997369946144</v>
      </c>
      <c r="P1234" s="375" t="s">
        <v>619</v>
      </c>
      <c r="Q1234" s="372" t="s">
        <v>619</v>
      </c>
      <c r="R1234" s="696">
        <v>20071226</v>
      </c>
      <c r="S1234" s="372" t="s">
        <v>8393</v>
      </c>
      <c r="T1234" s="697" t="s">
        <v>768</v>
      </c>
      <c r="U1234" s="372" t="s">
        <v>8394</v>
      </c>
      <c r="V1234" s="722">
        <v>8.44</v>
      </c>
      <c r="W1234" s="722">
        <v>1.05</v>
      </c>
      <c r="X1234" s="722">
        <v>0.23</v>
      </c>
      <c r="Y1234" s="722" t="s">
        <v>770</v>
      </c>
      <c r="Z1234" s="382" t="s">
        <v>924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8395</v>
      </c>
      <c r="B1235" s="373" t="s">
        <v>8396</v>
      </c>
      <c r="C1235" s="372" t="s">
        <v>8397</v>
      </c>
      <c r="D1235" s="374">
        <v>1311110030369</v>
      </c>
      <c r="E1235" s="372" t="s">
        <v>8398</v>
      </c>
      <c r="F1235" s="375" t="s">
        <v>16098</v>
      </c>
      <c r="G1235" s="375" t="s">
        <v>16098</v>
      </c>
      <c r="H1235" s="375" t="s">
        <v>858</v>
      </c>
      <c r="I1235" s="375" t="s">
        <v>859</v>
      </c>
      <c r="J1235" s="375">
        <v>20885.587680000001</v>
      </c>
      <c r="K1235" s="375">
        <v>-342.55721</v>
      </c>
      <c r="L1235" s="375">
        <v>1770.5396699999999</v>
      </c>
      <c r="M1235" s="375">
        <v>54632.953699999998</v>
      </c>
      <c r="N1235" s="372">
        <v>0.66600000000000004</v>
      </c>
      <c r="O1235" s="704">
        <v>1.9638801133791417</v>
      </c>
      <c r="P1235" s="375" t="s">
        <v>619</v>
      </c>
      <c r="Q1235" s="375" t="s">
        <v>619</v>
      </c>
      <c r="R1235" s="696">
        <v>20040602</v>
      </c>
      <c r="S1235" s="375" t="s">
        <v>8401</v>
      </c>
      <c r="T1235" s="697">
        <v>0.20900000000000002</v>
      </c>
      <c r="U1235" s="372" t="s">
        <v>8402</v>
      </c>
      <c r="V1235" s="722">
        <v>921.11</v>
      </c>
      <c r="W1235" s="722">
        <v>1.87</v>
      </c>
      <c r="X1235" s="722">
        <v>4.9000000000000004</v>
      </c>
      <c r="Y1235" s="722">
        <v>55.15</v>
      </c>
      <c r="Z1235" s="382" t="s">
        <v>924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8403</v>
      </c>
      <c r="B1236" s="373" t="s">
        <v>8404</v>
      </c>
      <c r="C1236" s="372" t="s">
        <v>8405</v>
      </c>
      <c r="D1236" s="374">
        <v>1101112024026</v>
      </c>
      <c r="E1236" s="372" t="s">
        <v>8406</v>
      </c>
      <c r="F1236" s="375" t="s">
        <v>4034</v>
      </c>
      <c r="G1236" s="375" t="s">
        <v>4034</v>
      </c>
      <c r="H1236" s="375" t="s">
        <v>858</v>
      </c>
      <c r="I1236" s="375" t="s">
        <v>859</v>
      </c>
      <c r="J1236" s="375">
        <v>126661.49574</v>
      </c>
      <c r="K1236" s="375">
        <v>23807.987580000001</v>
      </c>
      <c r="L1236" s="375">
        <v>31074.742999999999</v>
      </c>
      <c r="M1236" s="375">
        <v>359106.1642</v>
      </c>
      <c r="N1236" s="372">
        <v>0.52600000000000002</v>
      </c>
      <c r="O1236" s="704">
        <v>60.392405731059029</v>
      </c>
      <c r="P1236" s="375" t="s">
        <v>619</v>
      </c>
      <c r="Q1236" s="375" t="s">
        <v>619</v>
      </c>
      <c r="R1236" s="696">
        <v>20041217</v>
      </c>
      <c r="S1236" s="375" t="s">
        <v>8407</v>
      </c>
      <c r="T1236" s="697">
        <v>0.23100000000000001</v>
      </c>
      <c r="U1236" s="372" t="s">
        <v>8408</v>
      </c>
      <c r="V1236" s="722">
        <v>4.46</v>
      </c>
      <c r="W1236" s="722">
        <v>0.4</v>
      </c>
      <c r="X1236" s="722">
        <v>1.06</v>
      </c>
      <c r="Y1236" s="722">
        <v>6.05</v>
      </c>
      <c r="Z1236" s="382" t="s">
        <v>924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8409</v>
      </c>
      <c r="B1237" s="373" t="s">
        <v>8410</v>
      </c>
      <c r="C1237" s="372" t="s">
        <v>8411</v>
      </c>
      <c r="D1237" s="374">
        <v>1311110127512</v>
      </c>
      <c r="E1237" s="372" t="s">
        <v>8412</v>
      </c>
      <c r="F1237" s="375" t="s">
        <v>2831</v>
      </c>
      <c r="G1237" s="375" t="s">
        <v>2832</v>
      </c>
      <c r="H1237" s="375" t="s">
        <v>858</v>
      </c>
      <c r="I1237" s="375" t="s">
        <v>859</v>
      </c>
      <c r="J1237" s="375">
        <v>62517.337890000003</v>
      </c>
      <c r="K1237" s="375">
        <v>-2433.6196500000001</v>
      </c>
      <c r="L1237" s="375">
        <v>-2660.3010100000001</v>
      </c>
      <c r="M1237" s="375">
        <v>34651.097419999998</v>
      </c>
      <c r="N1237" s="372">
        <v>0.78</v>
      </c>
      <c r="O1237" s="704">
        <v>20.963503349191257</v>
      </c>
      <c r="P1237" s="375" t="s">
        <v>619</v>
      </c>
      <c r="Q1237" s="372" t="s">
        <v>619</v>
      </c>
      <c r="R1237" s="696">
        <v>20210324</v>
      </c>
      <c r="S1237" s="372" t="s">
        <v>8413</v>
      </c>
      <c r="T1237" s="697" t="s">
        <v>768</v>
      </c>
      <c r="U1237" s="372" t="s">
        <v>8414</v>
      </c>
      <c r="V1237" s="722">
        <v>0</v>
      </c>
      <c r="W1237" s="722">
        <v>0</v>
      </c>
      <c r="X1237" s="722">
        <v>0</v>
      </c>
      <c r="Y1237" s="722">
        <v>0</v>
      </c>
      <c r="Z1237" s="382" t="s">
        <v>924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8415</v>
      </c>
      <c r="B1238" s="373" t="s">
        <v>8416</v>
      </c>
      <c r="C1238" s="372" t="s">
        <v>8417</v>
      </c>
      <c r="D1238" s="374">
        <v>1601110004947</v>
      </c>
      <c r="E1238" s="372" t="s">
        <v>8418</v>
      </c>
      <c r="F1238" s="375" t="s">
        <v>1761</v>
      </c>
      <c r="G1238" s="375" t="s">
        <v>2235</v>
      </c>
      <c r="H1238" s="375" t="s">
        <v>858</v>
      </c>
      <c r="I1238" s="375" t="s">
        <v>859</v>
      </c>
      <c r="J1238" s="375">
        <v>133689.66839000001</v>
      </c>
      <c r="K1238" s="375">
        <v>6983.5157799999997</v>
      </c>
      <c r="L1238" s="375">
        <v>4794.0183200000001</v>
      </c>
      <c r="M1238" s="375">
        <v>127964.46573</v>
      </c>
      <c r="N1238" s="372">
        <v>0.745</v>
      </c>
      <c r="O1238" s="704">
        <v>18.2395707714848</v>
      </c>
      <c r="P1238" s="375" t="s">
        <v>619</v>
      </c>
      <c r="Q1238" s="375" t="s">
        <v>619</v>
      </c>
      <c r="R1238" s="696">
        <v>20131119</v>
      </c>
      <c r="S1238" s="375" t="s">
        <v>8419</v>
      </c>
      <c r="T1238" s="697">
        <v>0.20900000000000002</v>
      </c>
      <c r="U1238" s="372" t="s">
        <v>8420</v>
      </c>
      <c r="V1238" s="722">
        <v>7.8</v>
      </c>
      <c r="W1238" s="722">
        <v>0.6</v>
      </c>
      <c r="X1238" s="722">
        <v>0.59</v>
      </c>
      <c r="Y1238" s="722">
        <v>20.62</v>
      </c>
      <c r="Z1238" s="382" t="s">
        <v>924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8421</v>
      </c>
      <c r="B1239" s="373" t="s">
        <v>8422</v>
      </c>
      <c r="C1239" s="372" t="s">
        <v>8423</v>
      </c>
      <c r="D1239" s="374">
        <v>1101110117211</v>
      </c>
      <c r="E1239" s="372" t="s">
        <v>8424</v>
      </c>
      <c r="F1239" s="375" t="s">
        <v>8425</v>
      </c>
      <c r="G1239" s="375" t="s">
        <v>8426</v>
      </c>
      <c r="H1239" s="375" t="s">
        <v>892</v>
      </c>
      <c r="I1239" s="375" t="s">
        <v>859</v>
      </c>
      <c r="J1239" s="375">
        <v>86668.685960000003</v>
      </c>
      <c r="K1239" s="375">
        <v>4213.2140600000002</v>
      </c>
      <c r="L1239" s="375">
        <v>12720.34749</v>
      </c>
      <c r="M1239" s="375">
        <v>313660.10227999999</v>
      </c>
      <c r="N1239" s="372">
        <v>0.63900000000000001</v>
      </c>
      <c r="O1239" s="704">
        <v>0</v>
      </c>
      <c r="P1239" s="375" t="s">
        <v>619</v>
      </c>
      <c r="Q1239" s="372" t="s">
        <v>619</v>
      </c>
      <c r="R1239" s="696">
        <v>19931130</v>
      </c>
      <c r="S1239" s="372" t="s">
        <v>8427</v>
      </c>
      <c r="T1239" s="697">
        <v>0.20900000000000002</v>
      </c>
      <c r="U1239" s="372" t="s">
        <v>8428</v>
      </c>
      <c r="V1239" s="722">
        <v>0</v>
      </c>
      <c r="W1239" s="722">
        <v>0</v>
      </c>
      <c r="X1239" s="722">
        <v>0</v>
      </c>
      <c r="Y1239" s="722">
        <v>0</v>
      </c>
      <c r="Z1239" s="382" t="s">
        <v>924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8429</v>
      </c>
      <c r="B1240" s="373" t="s">
        <v>8430</v>
      </c>
      <c r="C1240" s="372" t="s">
        <v>8431</v>
      </c>
      <c r="D1240" s="374">
        <v>1701110176489</v>
      </c>
      <c r="E1240" s="372" t="s">
        <v>8432</v>
      </c>
      <c r="F1240" s="372" t="s">
        <v>8433</v>
      </c>
      <c r="G1240" s="375" t="s">
        <v>8434</v>
      </c>
      <c r="H1240" s="375" t="s">
        <v>1465</v>
      </c>
      <c r="I1240" s="375" t="s">
        <v>751</v>
      </c>
      <c r="J1240" s="375">
        <v>110325.72851</v>
      </c>
      <c r="K1240" s="375">
        <v>-9800.3229900000006</v>
      </c>
      <c r="L1240" s="375">
        <v>-25315.692309999999</v>
      </c>
      <c r="M1240" s="375">
        <v>54420.770629999999</v>
      </c>
      <c r="N1240" s="372">
        <v>0.64900000000000002</v>
      </c>
      <c r="O1240" s="704">
        <v>96.929985161744014</v>
      </c>
      <c r="P1240" s="375" t="s">
        <v>619</v>
      </c>
      <c r="Q1240" s="372" t="s">
        <v>619</v>
      </c>
      <c r="R1240" s="696">
        <v>20090929</v>
      </c>
      <c r="S1240" s="375" t="s">
        <v>8435</v>
      </c>
      <c r="T1240" s="697" t="s">
        <v>768</v>
      </c>
      <c r="U1240" s="372" t="s">
        <v>8436</v>
      </c>
      <c r="V1240" s="722" t="s">
        <v>770</v>
      </c>
      <c r="W1240" s="722">
        <v>1.64</v>
      </c>
      <c r="X1240" s="722">
        <v>0.81</v>
      </c>
      <c r="Y1240" s="722" t="s">
        <v>770</v>
      </c>
      <c r="Z1240" s="382" t="s">
        <v>924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8437</v>
      </c>
      <c r="B1241" s="373" t="s">
        <v>8438</v>
      </c>
      <c r="C1241" s="372" t="s">
        <v>8439</v>
      </c>
      <c r="D1241" s="374">
        <v>1601110003121</v>
      </c>
      <c r="E1241" s="372" t="s">
        <v>8440</v>
      </c>
      <c r="F1241" s="375" t="s">
        <v>1876</v>
      </c>
      <c r="G1241" s="375" t="s">
        <v>1876</v>
      </c>
      <c r="H1241" s="375" t="s">
        <v>1383</v>
      </c>
      <c r="I1241" s="375" t="s">
        <v>751</v>
      </c>
      <c r="J1241" s="375">
        <v>3198515.6852000002</v>
      </c>
      <c r="K1241" s="375">
        <v>121280.57468999999</v>
      </c>
      <c r="L1241" s="375">
        <v>79216.521349999995</v>
      </c>
      <c r="M1241" s="375">
        <v>898761.64711999998</v>
      </c>
      <c r="N1241" s="372">
        <v>0.77800000000000002</v>
      </c>
      <c r="O1241" s="704">
        <v>874.48499723792781</v>
      </c>
      <c r="P1241" s="375" t="s">
        <v>619</v>
      </c>
      <c r="Q1241" s="372" t="s">
        <v>619</v>
      </c>
      <c r="R1241" s="696">
        <v>19960130</v>
      </c>
      <c r="S1241" s="372" t="s">
        <v>8441</v>
      </c>
      <c r="T1241" s="697">
        <v>0.23100000000000001</v>
      </c>
      <c r="U1241" s="372" t="s">
        <v>8442</v>
      </c>
      <c r="V1241" s="722">
        <v>5.53</v>
      </c>
      <c r="W1241" s="722">
        <v>0.15</v>
      </c>
      <c r="X1241" s="722">
        <v>0.04</v>
      </c>
      <c r="Y1241" s="722">
        <v>2.4</v>
      </c>
      <c r="Z1241" s="382">
        <v>3.757457682551002E-2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32333</v>
      </c>
      <c r="AF1241" s="372">
        <v>32029</v>
      </c>
      <c r="AG1241" s="372">
        <v>34503</v>
      </c>
      <c r="AH1241" s="372">
        <v>29770</v>
      </c>
    </row>
    <row r="1242" spans="1:34">
      <c r="A1242" s="372" t="s">
        <v>8443</v>
      </c>
      <c r="B1242" s="373" t="s">
        <v>8444</v>
      </c>
      <c r="C1242" s="372" t="s">
        <v>8445</v>
      </c>
      <c r="D1242" s="374">
        <v>1801110328550</v>
      </c>
      <c r="E1242" s="372" t="s">
        <v>8446</v>
      </c>
      <c r="F1242" s="375" t="s">
        <v>1038</v>
      </c>
      <c r="G1242" s="375" t="s">
        <v>3164</v>
      </c>
      <c r="H1242" s="375" t="s">
        <v>858</v>
      </c>
      <c r="I1242" s="375" t="s">
        <v>859</v>
      </c>
      <c r="J1242" s="375">
        <v>84290.474619999994</v>
      </c>
      <c r="K1242" s="375">
        <v>15551.819939999999</v>
      </c>
      <c r="L1242" s="375">
        <v>13730.750679999999</v>
      </c>
      <c r="M1242" s="375">
        <v>66463.242069999993</v>
      </c>
      <c r="N1242" s="372">
        <v>0.61399999999999999</v>
      </c>
      <c r="O1242" s="704">
        <v>17.547467040763724</v>
      </c>
      <c r="P1242" s="375" t="s">
        <v>619</v>
      </c>
      <c r="Q1242" s="372" t="s">
        <v>619</v>
      </c>
      <c r="R1242" s="696">
        <v>20041215</v>
      </c>
      <c r="S1242" s="372" t="s">
        <v>8447</v>
      </c>
      <c r="T1242" s="697">
        <v>0.20900000000000002</v>
      </c>
      <c r="U1242" s="372" t="s">
        <v>8448</v>
      </c>
      <c r="V1242" s="722">
        <v>0</v>
      </c>
      <c r="W1242" s="722">
        <v>0</v>
      </c>
      <c r="X1242" s="722">
        <v>0</v>
      </c>
      <c r="Y1242" s="722">
        <v>0</v>
      </c>
      <c r="Z1242" s="382" t="s">
        <v>924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8449</v>
      </c>
      <c r="B1243" s="373" t="s">
        <v>8450</v>
      </c>
      <c r="C1243" s="372" t="s">
        <v>8451</v>
      </c>
      <c r="D1243" s="374">
        <v>1101113104661</v>
      </c>
      <c r="E1243" s="372" t="s">
        <v>8452</v>
      </c>
      <c r="F1243" s="375" t="s">
        <v>972</v>
      </c>
      <c r="G1243" s="375" t="s">
        <v>973</v>
      </c>
      <c r="H1243" s="375" t="s">
        <v>1334</v>
      </c>
      <c r="I1243" s="375" t="s">
        <v>859</v>
      </c>
      <c r="J1243" s="375">
        <v>199414.81486000001</v>
      </c>
      <c r="K1243" s="375">
        <v>8227.6794599999994</v>
      </c>
      <c r="L1243" s="375">
        <v>8058.5576099999998</v>
      </c>
      <c r="M1243" s="375">
        <v>48784.742050000001</v>
      </c>
      <c r="N1243" s="372">
        <v>0.97099999999999997</v>
      </c>
      <c r="O1243" s="704">
        <v>24.485547339708763</v>
      </c>
      <c r="P1243" s="375" t="s">
        <v>619</v>
      </c>
      <c r="Q1243" s="375" t="s">
        <v>619</v>
      </c>
      <c r="R1243" s="696">
        <v>20161220</v>
      </c>
      <c r="S1243" s="375" t="s">
        <v>8453</v>
      </c>
      <c r="T1243" s="697">
        <v>0.20900000000000002</v>
      </c>
      <c r="U1243" s="372" t="s">
        <v>8454</v>
      </c>
      <c r="V1243" s="722">
        <v>10.78</v>
      </c>
      <c r="W1243" s="722">
        <v>1.93</v>
      </c>
      <c r="X1243" s="722">
        <v>0.46</v>
      </c>
      <c r="Y1243" s="722">
        <v>14.5</v>
      </c>
      <c r="Z1243" s="382" t="s">
        <v>924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8455</v>
      </c>
      <c r="B1244" s="373" t="s">
        <v>8456</v>
      </c>
      <c r="C1244" s="372" t="s">
        <v>8457</v>
      </c>
      <c r="D1244" s="374">
        <v>1244110093120</v>
      </c>
      <c r="E1244" s="372" t="s">
        <v>8458</v>
      </c>
      <c r="F1244" s="375" t="s">
        <v>1272</v>
      </c>
      <c r="G1244" s="375" t="s">
        <v>1272</v>
      </c>
      <c r="H1244" s="375" t="s">
        <v>858</v>
      </c>
      <c r="I1244" s="375" t="s">
        <v>859</v>
      </c>
      <c r="J1244" s="375">
        <v>125894.44265</v>
      </c>
      <c r="K1244" s="375">
        <v>1811.1819499999999</v>
      </c>
      <c r="L1244" s="375">
        <v>-3355.3645799999999</v>
      </c>
      <c r="M1244" s="375">
        <v>38305.392849999997</v>
      </c>
      <c r="N1244" s="372">
        <v>0.69299999999999995</v>
      </c>
      <c r="O1244" s="704">
        <v>58.865828049540767</v>
      </c>
      <c r="P1244" s="375" t="s">
        <v>619</v>
      </c>
      <c r="Q1244" s="372" t="s">
        <v>619</v>
      </c>
      <c r="R1244" s="696">
        <v>20210625</v>
      </c>
      <c r="S1244" s="372" t="s">
        <v>8459</v>
      </c>
      <c r="T1244" s="697" t="s">
        <v>768</v>
      </c>
      <c r="U1244" s="372" t="s">
        <v>8460</v>
      </c>
      <c r="V1244" s="722">
        <v>0</v>
      </c>
      <c r="W1244" s="722">
        <v>0</v>
      </c>
      <c r="X1244" s="722">
        <v>0</v>
      </c>
      <c r="Y1244" s="722">
        <v>0</v>
      </c>
      <c r="Z1244" s="382" t="s">
        <v>924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8461</v>
      </c>
      <c r="B1245" s="373" t="s">
        <v>8462</v>
      </c>
      <c r="C1245" s="372" t="s">
        <v>8463</v>
      </c>
      <c r="D1245" s="374">
        <v>1601110383490</v>
      </c>
      <c r="E1245" s="372" t="s">
        <v>8464</v>
      </c>
      <c r="F1245" s="375" t="s">
        <v>8465</v>
      </c>
      <c r="G1245" s="375" t="s">
        <v>8466</v>
      </c>
      <c r="H1245" s="375" t="s">
        <v>858</v>
      </c>
      <c r="I1245" s="375" t="s">
        <v>859</v>
      </c>
      <c r="J1245" s="375">
        <v>37661.001479999999</v>
      </c>
      <c r="K1245" s="375">
        <v>-515.01106000000004</v>
      </c>
      <c r="L1245" s="375">
        <v>-3068.7001</v>
      </c>
      <c r="M1245" s="375">
        <v>33588.811690000002</v>
      </c>
      <c r="N1245" s="372" t="s">
        <v>1023</v>
      </c>
      <c r="O1245" s="704">
        <v>30.257046365091806</v>
      </c>
      <c r="P1245" s="375" t="s">
        <v>619</v>
      </c>
      <c r="Q1245" s="372" t="s">
        <v>619</v>
      </c>
      <c r="R1245" s="696">
        <v>20230209</v>
      </c>
      <c r="S1245" s="372" t="s">
        <v>8467</v>
      </c>
      <c r="T1245" s="697" t="s">
        <v>768</v>
      </c>
      <c r="U1245" s="375" t="s">
        <v>15894</v>
      </c>
      <c r="V1245" s="722">
        <v>575.53</v>
      </c>
      <c r="W1245" s="722">
        <v>2.48</v>
      </c>
      <c r="X1245" s="722">
        <v>2.2200000000000002</v>
      </c>
      <c r="Y1245" s="722" t="s">
        <v>770</v>
      </c>
      <c r="Z1245" s="382" t="s">
        <v>924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8468</v>
      </c>
      <c r="B1246" s="373" t="s">
        <v>8469</v>
      </c>
      <c r="C1246" s="372" t="s">
        <v>8470</v>
      </c>
      <c r="D1246" s="374">
        <v>1348110002981</v>
      </c>
      <c r="E1246" s="372" t="s">
        <v>8471</v>
      </c>
      <c r="F1246" s="375" t="s">
        <v>1279</v>
      </c>
      <c r="G1246" s="375" t="s">
        <v>1280</v>
      </c>
      <c r="H1246" s="375" t="s">
        <v>1040</v>
      </c>
      <c r="I1246" s="375" t="s">
        <v>751</v>
      </c>
      <c r="J1246" s="375">
        <v>199290.67379999999</v>
      </c>
      <c r="K1246" s="375">
        <v>12095.473770000001</v>
      </c>
      <c r="L1246" s="375">
        <v>12304.614149999999</v>
      </c>
      <c r="M1246" s="375">
        <v>181602.80604</v>
      </c>
      <c r="N1246" s="372">
        <v>0.92500000000000004</v>
      </c>
      <c r="O1246" s="704">
        <v>35.306603781100833</v>
      </c>
      <c r="P1246" s="375" t="s">
        <v>619</v>
      </c>
      <c r="Q1246" s="372" t="s">
        <v>619</v>
      </c>
      <c r="R1246" s="696">
        <v>19910830</v>
      </c>
      <c r="S1246" s="372" t="s">
        <v>8472</v>
      </c>
      <c r="T1246" s="697">
        <v>0.20900000000000002</v>
      </c>
      <c r="U1246" s="372" t="s">
        <v>15895</v>
      </c>
      <c r="V1246" s="722">
        <v>6.58</v>
      </c>
      <c r="W1246" s="722">
        <v>0.57999999999999996</v>
      </c>
      <c r="X1246" s="722">
        <v>0.53</v>
      </c>
      <c r="Y1246" s="722">
        <v>9.2899999999999991</v>
      </c>
      <c r="Z1246" s="382" t="s">
        <v>924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8473</v>
      </c>
      <c r="B1247" s="373" t="s">
        <v>8474</v>
      </c>
      <c r="C1247" s="372" t="s">
        <v>8475</v>
      </c>
      <c r="D1247" s="374">
        <v>1801110003391</v>
      </c>
      <c r="E1247" s="372" t="s">
        <v>8476</v>
      </c>
      <c r="F1247" s="375" t="s">
        <v>1679</v>
      </c>
      <c r="G1247" s="375" t="s">
        <v>1680</v>
      </c>
      <c r="H1247" s="375" t="s">
        <v>823</v>
      </c>
      <c r="I1247" s="375" t="s">
        <v>751</v>
      </c>
      <c r="J1247" s="375">
        <v>639451.57865000004</v>
      </c>
      <c r="K1247" s="375">
        <v>25296.992620000001</v>
      </c>
      <c r="L1247" s="375">
        <v>29403.41318</v>
      </c>
      <c r="M1247" s="375">
        <v>702890.55539999995</v>
      </c>
      <c r="N1247" s="372">
        <v>0.84299999999999997</v>
      </c>
      <c r="O1247" s="704">
        <v>70.241024547692305</v>
      </c>
      <c r="P1247" s="375" t="s">
        <v>619</v>
      </c>
      <c r="Q1247" s="372" t="s">
        <v>619</v>
      </c>
      <c r="R1247" s="696">
        <v>19751112</v>
      </c>
      <c r="S1247" s="372" t="s">
        <v>8477</v>
      </c>
      <c r="T1247" s="697">
        <v>0.23100000000000001</v>
      </c>
      <c r="U1247" s="372" t="s">
        <v>8478</v>
      </c>
      <c r="V1247" s="722">
        <v>5.49</v>
      </c>
      <c r="W1247" s="722">
        <v>0.28000000000000003</v>
      </c>
      <c r="X1247" s="722">
        <v>0.27</v>
      </c>
      <c r="Y1247" s="722">
        <v>9.33</v>
      </c>
      <c r="Z1247" s="382" t="s">
        <v>924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8479</v>
      </c>
      <c r="B1248" s="373" t="s">
        <v>8480</v>
      </c>
      <c r="C1248" s="372" t="s">
        <v>8481</v>
      </c>
      <c r="D1248" s="374">
        <v>1101110383515</v>
      </c>
      <c r="E1248" s="372" t="s">
        <v>8482</v>
      </c>
      <c r="F1248" s="375" t="s">
        <v>1320</v>
      </c>
      <c r="G1248" s="375" t="s">
        <v>16103</v>
      </c>
      <c r="H1248" s="375" t="s">
        <v>858</v>
      </c>
      <c r="I1248" s="375" t="s">
        <v>859</v>
      </c>
      <c r="J1248" s="375">
        <v>201823.47899999999</v>
      </c>
      <c r="K1248" s="375">
        <v>15605.93562</v>
      </c>
      <c r="L1248" s="375">
        <v>16876.258180000001</v>
      </c>
      <c r="M1248" s="375">
        <v>124422.81216</v>
      </c>
      <c r="N1248" s="372">
        <v>0.70299999999999996</v>
      </c>
      <c r="O1248" s="704">
        <v>48.687975241075073</v>
      </c>
      <c r="P1248" s="375" t="s">
        <v>619</v>
      </c>
      <c r="Q1248" s="372" t="s">
        <v>619</v>
      </c>
      <c r="R1248" s="696">
        <v>20020222</v>
      </c>
      <c r="S1248" s="372" t="s">
        <v>8483</v>
      </c>
      <c r="T1248" s="697">
        <v>0.20900000000000002</v>
      </c>
      <c r="U1248" s="372" t="s">
        <v>8484</v>
      </c>
      <c r="V1248" s="722">
        <v>0</v>
      </c>
      <c r="W1248" s="722">
        <v>0</v>
      </c>
      <c r="X1248" s="722">
        <v>0</v>
      </c>
      <c r="Y1248" s="722">
        <v>0</v>
      </c>
      <c r="Z1248" s="382" t="s">
        <v>924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8485</v>
      </c>
      <c r="B1249" s="373" t="s">
        <v>8486</v>
      </c>
      <c r="C1249" s="372" t="s">
        <v>8487</v>
      </c>
      <c r="D1249" s="374">
        <v>1846110000319</v>
      </c>
      <c r="E1249" s="372" t="s">
        <v>8488</v>
      </c>
      <c r="F1249" s="375" t="s">
        <v>5052</v>
      </c>
      <c r="G1249" s="375" t="s">
        <v>5052</v>
      </c>
      <c r="H1249" s="375" t="s">
        <v>1465</v>
      </c>
      <c r="I1249" s="375" t="s">
        <v>751</v>
      </c>
      <c r="J1249" s="375">
        <v>401317.20581999997</v>
      </c>
      <c r="K1249" s="375">
        <v>-10001.265890000001</v>
      </c>
      <c r="L1249" s="375">
        <v>-19932.479360000001</v>
      </c>
      <c r="M1249" s="375">
        <v>186335.11671</v>
      </c>
      <c r="N1249" s="372">
        <v>0.73599999999999999</v>
      </c>
      <c r="O1249" s="704">
        <v>72.441555362886618</v>
      </c>
      <c r="P1249" s="375" t="s">
        <v>619</v>
      </c>
      <c r="Q1249" s="372" t="s">
        <v>619</v>
      </c>
      <c r="R1249" s="696">
        <v>19951113</v>
      </c>
      <c r="S1249" s="372" t="s">
        <v>8489</v>
      </c>
      <c r="T1249" s="697" t="s">
        <v>768</v>
      </c>
      <c r="U1249" s="372" t="s">
        <v>8490</v>
      </c>
      <c r="V1249" s="722" t="s">
        <v>770</v>
      </c>
      <c r="W1249" s="722">
        <v>0.45</v>
      </c>
      <c r="X1249" s="722">
        <v>0.24</v>
      </c>
      <c r="Y1249" s="722" t="s">
        <v>770</v>
      </c>
      <c r="Z1249" s="382" t="s">
        <v>924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8491</v>
      </c>
      <c r="B1250" s="373" t="s">
        <v>8492</v>
      </c>
      <c r="C1250" s="372" t="s">
        <v>8493</v>
      </c>
      <c r="D1250" s="374">
        <v>1101112062167</v>
      </c>
      <c r="E1250" s="372" t="s">
        <v>8494</v>
      </c>
      <c r="F1250" s="375" t="s">
        <v>1793</v>
      </c>
      <c r="G1250" s="375" t="s">
        <v>2794</v>
      </c>
      <c r="H1250" s="375" t="s">
        <v>858</v>
      </c>
      <c r="I1250" s="375" t="s">
        <v>859</v>
      </c>
      <c r="J1250" s="375">
        <v>600819.59436999995</v>
      </c>
      <c r="K1250" s="375">
        <v>39280.780830000003</v>
      </c>
      <c r="L1250" s="375">
        <v>29797.45233</v>
      </c>
      <c r="M1250" s="375">
        <v>265484.47006000002</v>
      </c>
      <c r="N1250" s="372">
        <v>0.95699999999999996</v>
      </c>
      <c r="O1250" s="704">
        <v>216.41249846036726</v>
      </c>
      <c r="P1250" s="375" t="s">
        <v>619</v>
      </c>
      <c r="Q1250" s="372" t="s">
        <v>619</v>
      </c>
      <c r="R1250" s="696">
        <v>20100618</v>
      </c>
      <c r="S1250" s="372" t="s">
        <v>8495</v>
      </c>
      <c r="T1250" s="697">
        <v>0.23100000000000001</v>
      </c>
      <c r="U1250" s="372" t="s">
        <v>8496</v>
      </c>
      <c r="V1250" s="722">
        <v>6.37</v>
      </c>
      <c r="W1250" s="722">
        <v>0.76</v>
      </c>
      <c r="X1250" s="722">
        <v>0.17</v>
      </c>
      <c r="Y1250" s="722">
        <v>10.37</v>
      </c>
      <c r="Z1250" s="382" t="s">
        <v>924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6879</v>
      </c>
      <c r="AF1250" s="372">
        <v>8020</v>
      </c>
      <c r="AG1250" s="372">
        <v>0</v>
      </c>
      <c r="AH1250" s="372">
        <v>0</v>
      </c>
    </row>
    <row r="1251" spans="1:34">
      <c r="A1251" s="372" t="s">
        <v>8497</v>
      </c>
      <c r="B1251" s="373" t="s">
        <v>8498</v>
      </c>
      <c r="C1251" s="372" t="s">
        <v>8499</v>
      </c>
      <c r="D1251" s="374">
        <v>1101111731135</v>
      </c>
      <c r="E1251" s="372" t="s">
        <v>8500</v>
      </c>
      <c r="F1251" s="375" t="s">
        <v>1367</v>
      </c>
      <c r="G1251" s="375" t="s">
        <v>1367</v>
      </c>
      <c r="H1251" s="375" t="s">
        <v>892</v>
      </c>
      <c r="I1251" s="375" t="s">
        <v>859</v>
      </c>
      <c r="J1251" s="375">
        <v>0</v>
      </c>
      <c r="K1251" s="375">
        <v>0</v>
      </c>
      <c r="L1251" s="375">
        <v>0</v>
      </c>
      <c r="M1251" s="375">
        <v>101772.9157</v>
      </c>
      <c r="N1251" s="372">
        <v>0.64200000000000002</v>
      </c>
      <c r="O1251" s="704">
        <v>5.5035752346352034</v>
      </c>
      <c r="P1251" s="375" t="s">
        <v>619</v>
      </c>
      <c r="Q1251" s="375" t="s">
        <v>619</v>
      </c>
      <c r="R1251" s="696">
        <v>20190125</v>
      </c>
      <c r="S1251" s="375" t="s">
        <v>8501</v>
      </c>
      <c r="T1251" s="697" t="s">
        <v>768</v>
      </c>
      <c r="U1251" s="372" t="s">
        <v>8502</v>
      </c>
      <c r="V1251" s="722">
        <v>0</v>
      </c>
      <c r="W1251" s="722">
        <v>0.89</v>
      </c>
      <c r="X1251" s="722">
        <v>0</v>
      </c>
      <c r="Y1251" s="722">
        <v>0</v>
      </c>
      <c r="Z1251" s="382" t="s">
        <v>924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8503</v>
      </c>
      <c r="B1252" s="373" t="s">
        <v>8504</v>
      </c>
      <c r="C1252" s="372" t="s">
        <v>8505</v>
      </c>
      <c r="D1252" s="374">
        <v>1101112373308</v>
      </c>
      <c r="E1252" s="372" t="s">
        <v>8506</v>
      </c>
      <c r="F1252" s="375" t="s">
        <v>1246</v>
      </c>
      <c r="G1252" s="375" t="s">
        <v>1246</v>
      </c>
      <c r="H1252" s="375" t="s">
        <v>781</v>
      </c>
      <c r="I1252" s="375" t="s">
        <v>751</v>
      </c>
      <c r="J1252" s="375">
        <v>175668.01014</v>
      </c>
      <c r="K1252" s="375">
        <v>5750.7399599999999</v>
      </c>
      <c r="L1252" s="375">
        <v>644.74928999999997</v>
      </c>
      <c r="M1252" s="375">
        <v>129873.96807</v>
      </c>
      <c r="N1252" s="372">
        <v>0.81399999999999995</v>
      </c>
      <c r="O1252" s="704">
        <v>98.906586306001827</v>
      </c>
      <c r="P1252" s="375" t="s">
        <v>619</v>
      </c>
      <c r="Q1252" s="372" t="s">
        <v>619</v>
      </c>
      <c r="R1252" s="696">
        <v>20011211</v>
      </c>
      <c r="S1252" s="372" t="s">
        <v>8507</v>
      </c>
      <c r="T1252" s="697">
        <v>0.20900000000000002</v>
      </c>
      <c r="U1252" s="372" t="s">
        <v>8508</v>
      </c>
      <c r="V1252" s="722">
        <v>0</v>
      </c>
      <c r="W1252" s="722">
        <v>0</v>
      </c>
      <c r="X1252" s="722">
        <v>0</v>
      </c>
      <c r="Y1252" s="722">
        <v>0</v>
      </c>
      <c r="Z1252" s="382" t="s">
        <v>924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8509</v>
      </c>
      <c r="B1253" s="373" t="s">
        <v>8510</v>
      </c>
      <c r="C1253" s="372" t="s">
        <v>8511</v>
      </c>
      <c r="D1253" s="374">
        <v>1101112152067</v>
      </c>
      <c r="E1253" s="372" t="s">
        <v>8512</v>
      </c>
      <c r="F1253" s="375" t="s">
        <v>5511</v>
      </c>
      <c r="G1253" s="375" t="s">
        <v>5511</v>
      </c>
      <c r="H1253" s="375" t="s">
        <v>858</v>
      </c>
      <c r="I1253" s="375" t="s">
        <v>859</v>
      </c>
      <c r="J1253" s="375">
        <v>13944.633739999999</v>
      </c>
      <c r="K1253" s="375">
        <v>-2002.7468899999999</v>
      </c>
      <c r="L1253" s="375">
        <v>-2445.5989399999999</v>
      </c>
      <c r="M1253" s="375">
        <v>41680.616119999999</v>
      </c>
      <c r="N1253" s="372">
        <v>0.76700000000000002</v>
      </c>
      <c r="O1253" s="704">
        <v>7.4882483507428734</v>
      </c>
      <c r="P1253" s="375" t="s">
        <v>619</v>
      </c>
      <c r="Q1253" s="375" t="s">
        <v>619</v>
      </c>
      <c r="R1253" s="696">
        <v>20191024</v>
      </c>
      <c r="S1253" s="375" t="s">
        <v>8513</v>
      </c>
      <c r="T1253" s="697" t="s">
        <v>768</v>
      </c>
      <c r="U1253" s="372" t="s">
        <v>8514</v>
      </c>
      <c r="V1253" s="722" t="s">
        <v>770</v>
      </c>
      <c r="W1253" s="722">
        <v>4.4400000000000004</v>
      </c>
      <c r="X1253" s="722">
        <v>11.85</v>
      </c>
      <c r="Y1253" s="722" t="s">
        <v>770</v>
      </c>
      <c r="Z1253" s="382">
        <v>0.19214240235662983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140</v>
      </c>
      <c r="AF1253" s="372">
        <v>199</v>
      </c>
      <c r="AG1253" s="372">
        <v>296</v>
      </c>
      <c r="AH1253" s="372">
        <v>0</v>
      </c>
    </row>
    <row r="1254" spans="1:34">
      <c r="A1254" s="372" t="s">
        <v>8515</v>
      </c>
      <c r="B1254" s="373" t="s">
        <v>8516</v>
      </c>
      <c r="C1254" s="372" t="s">
        <v>8517</v>
      </c>
      <c r="D1254" s="374">
        <v>1101112165838</v>
      </c>
      <c r="E1254" s="372" t="s">
        <v>8518</v>
      </c>
      <c r="F1254" s="375" t="s">
        <v>1793</v>
      </c>
      <c r="G1254" s="375" t="s">
        <v>1794</v>
      </c>
      <c r="H1254" s="375" t="s">
        <v>858</v>
      </c>
      <c r="I1254" s="375" t="s">
        <v>859</v>
      </c>
      <c r="J1254" s="375">
        <v>0</v>
      </c>
      <c r="K1254" s="375">
        <v>0</v>
      </c>
      <c r="L1254" s="375">
        <v>0</v>
      </c>
      <c r="M1254" s="375">
        <v>0</v>
      </c>
      <c r="N1254" s="372">
        <v>0.86799999999999999</v>
      </c>
      <c r="O1254" s="704" t="s">
        <v>16298</v>
      </c>
      <c r="P1254" s="375" t="s">
        <v>619</v>
      </c>
      <c r="Q1254" s="372" t="s">
        <v>619</v>
      </c>
      <c r="R1254" s="696">
        <v>20190322</v>
      </c>
      <c r="S1254" s="372" t="s">
        <v>8366</v>
      </c>
      <c r="T1254" s="697" t="s">
        <v>768</v>
      </c>
      <c r="U1254" s="372" t="s">
        <v>8519</v>
      </c>
      <c r="V1254" s="722">
        <v>0</v>
      </c>
      <c r="W1254" s="722">
        <v>0</v>
      </c>
      <c r="X1254" s="722">
        <v>0</v>
      </c>
      <c r="Y1254" s="722">
        <v>0</v>
      </c>
      <c r="Z1254" s="382" t="s">
        <v>924</v>
      </c>
      <c r="AA1254" s="372">
        <v>769.03899720000004</v>
      </c>
      <c r="AB1254" s="372">
        <v>920.72127030000001</v>
      </c>
      <c r="AC1254" s="372">
        <v>731.87504439999998</v>
      </c>
      <c r="AD1254" s="372">
        <v>679.42814980000003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8520</v>
      </c>
      <c r="B1255" s="373" t="s">
        <v>8521</v>
      </c>
      <c r="C1255" s="372" t="s">
        <v>8522</v>
      </c>
      <c r="D1255" s="374">
        <v>1301110007137</v>
      </c>
      <c r="E1255" s="372" t="s">
        <v>8523</v>
      </c>
      <c r="F1255" s="375" t="s">
        <v>2113</v>
      </c>
      <c r="G1255" s="375" t="s">
        <v>8336</v>
      </c>
      <c r="H1255" s="375" t="s">
        <v>809</v>
      </c>
      <c r="I1255" s="375" t="s">
        <v>751</v>
      </c>
      <c r="J1255" s="375">
        <v>1307071.40817</v>
      </c>
      <c r="K1255" s="375">
        <v>18708.03873</v>
      </c>
      <c r="L1255" s="375">
        <v>-3011.6249499999999</v>
      </c>
      <c r="M1255" s="375">
        <v>252678.26874999999</v>
      </c>
      <c r="N1255" s="372">
        <v>0.76300000000000001</v>
      </c>
      <c r="O1255" s="704">
        <v>453.26379925896259</v>
      </c>
      <c r="P1255" s="375" t="s">
        <v>619</v>
      </c>
      <c r="Q1255" s="375" t="s">
        <v>619</v>
      </c>
      <c r="R1255" s="696">
        <v>19891205</v>
      </c>
      <c r="S1255" s="375" t="s">
        <v>8524</v>
      </c>
      <c r="T1255" s="697" t="s">
        <v>768</v>
      </c>
      <c r="U1255" s="372" t="s">
        <v>8525</v>
      </c>
      <c r="V1255" s="722">
        <v>20.36</v>
      </c>
      <c r="W1255" s="722">
        <v>0.53</v>
      </c>
      <c r="X1255" s="722">
        <v>0.09</v>
      </c>
      <c r="Y1255" s="722">
        <v>135.22</v>
      </c>
      <c r="Z1255" s="382" t="s">
        <v>924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8526</v>
      </c>
      <c r="B1256" s="373" t="s">
        <v>8527</v>
      </c>
      <c r="C1256" s="372" t="s">
        <v>8528</v>
      </c>
      <c r="D1256" s="374">
        <v>1101117914785</v>
      </c>
      <c r="E1256" s="372" t="s">
        <v>8529</v>
      </c>
      <c r="F1256" s="372" t="s">
        <v>1959</v>
      </c>
      <c r="G1256" s="375" t="s">
        <v>1959</v>
      </c>
      <c r="H1256" s="375" t="s">
        <v>858</v>
      </c>
      <c r="I1256" s="375" t="s">
        <v>859</v>
      </c>
      <c r="J1256" s="375">
        <v>53200.835870000003</v>
      </c>
      <c r="K1256" s="375">
        <v>1629.2702999999999</v>
      </c>
      <c r="L1256" s="375">
        <v>2021.7931599999999</v>
      </c>
      <c r="M1256" s="375">
        <v>24759.68607</v>
      </c>
      <c r="N1256" s="372">
        <v>0.63200000000000001</v>
      </c>
      <c r="O1256" s="704">
        <v>1.3110515073122255</v>
      </c>
      <c r="P1256" s="375" t="s">
        <v>619</v>
      </c>
      <c r="Q1256" s="372" t="s">
        <v>619</v>
      </c>
      <c r="R1256" s="696">
        <v>20211015</v>
      </c>
      <c r="S1256" s="372" t="s">
        <v>8530</v>
      </c>
      <c r="T1256" s="697">
        <v>0.20900000000000002</v>
      </c>
      <c r="U1256" s="372" t="s">
        <v>8531</v>
      </c>
      <c r="V1256" s="722">
        <v>0</v>
      </c>
      <c r="W1256" s="722">
        <v>0</v>
      </c>
      <c r="X1256" s="722">
        <v>0</v>
      </c>
      <c r="Y1256" s="722">
        <v>0</v>
      </c>
      <c r="Z1256" s="382" t="s">
        <v>924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8532</v>
      </c>
      <c r="B1257" s="373" t="s">
        <v>8533</v>
      </c>
      <c r="C1257" s="372" t="s">
        <v>8534</v>
      </c>
      <c r="D1257" s="374">
        <v>1101110042484</v>
      </c>
      <c r="E1257" s="372" t="s">
        <v>8535</v>
      </c>
      <c r="F1257" s="375" t="s">
        <v>1259</v>
      </c>
      <c r="G1257" s="375" t="s">
        <v>1260</v>
      </c>
      <c r="H1257" s="375" t="s">
        <v>1261</v>
      </c>
      <c r="I1257" s="375" t="s">
        <v>751</v>
      </c>
      <c r="J1257" s="375">
        <v>0</v>
      </c>
      <c r="K1257" s="375">
        <v>0</v>
      </c>
      <c r="L1257" s="375">
        <v>0</v>
      </c>
      <c r="M1257" s="375">
        <v>0</v>
      </c>
      <c r="N1257" s="372">
        <v>0.66100000000000003</v>
      </c>
      <c r="O1257" s="704" t="s">
        <v>16298</v>
      </c>
      <c r="P1257" s="375" t="s">
        <v>619</v>
      </c>
      <c r="Q1257" s="375" t="s">
        <v>619</v>
      </c>
      <c r="R1257" s="696">
        <v>19870824</v>
      </c>
      <c r="S1257" s="375" t="s">
        <v>3203</v>
      </c>
      <c r="T1257" s="697" t="s">
        <v>768</v>
      </c>
      <c r="U1257" s="372" t="s">
        <v>8536</v>
      </c>
      <c r="V1257" s="722">
        <v>0</v>
      </c>
      <c r="W1257" s="722">
        <v>0</v>
      </c>
      <c r="X1257" s="722">
        <v>0</v>
      </c>
      <c r="Y1257" s="722">
        <v>0</v>
      </c>
      <c r="Z1257" s="382" t="s">
        <v>924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8537</v>
      </c>
      <c r="B1258" s="373" t="s">
        <v>8538</v>
      </c>
      <c r="C1258" s="372" t="s">
        <v>8539</v>
      </c>
      <c r="D1258" s="374">
        <v>1101110545529</v>
      </c>
      <c r="E1258" s="372" t="s">
        <v>8540</v>
      </c>
      <c r="F1258" s="372" t="s">
        <v>1860</v>
      </c>
      <c r="G1258" s="375" t="s">
        <v>1861</v>
      </c>
      <c r="H1258" s="375" t="s">
        <v>858</v>
      </c>
      <c r="I1258" s="375" t="s">
        <v>859</v>
      </c>
      <c r="J1258" s="375">
        <v>1557696.11751</v>
      </c>
      <c r="K1258" s="375">
        <v>77720.054770000002</v>
      </c>
      <c r="L1258" s="375">
        <v>55709.423519999997</v>
      </c>
      <c r="M1258" s="375">
        <v>372258.56584</v>
      </c>
      <c r="N1258" s="372">
        <v>0.93400000000000005</v>
      </c>
      <c r="O1258" s="704">
        <v>516.714004424015</v>
      </c>
      <c r="P1258" s="375" t="s">
        <v>619</v>
      </c>
      <c r="Q1258" s="372" t="s">
        <v>619</v>
      </c>
      <c r="R1258" s="696">
        <v>20011102</v>
      </c>
      <c r="S1258" s="372" t="s">
        <v>8541</v>
      </c>
      <c r="T1258" s="697">
        <v>0.23100000000000001</v>
      </c>
      <c r="U1258" s="372" t="s">
        <v>8542</v>
      </c>
      <c r="V1258" s="722">
        <v>3.09</v>
      </c>
      <c r="W1258" s="722">
        <v>0.28000000000000003</v>
      </c>
      <c r="X1258" s="722">
        <v>7.0000000000000007E-2</v>
      </c>
      <c r="Y1258" s="722">
        <v>2.0299999999999998</v>
      </c>
      <c r="Z1258" s="382" t="s">
        <v>924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8543</v>
      </c>
      <c r="B1259" s="373" t="s">
        <v>8544</v>
      </c>
      <c r="C1259" s="372" t="s">
        <v>8545</v>
      </c>
      <c r="D1259" s="374">
        <v>1101110036396</v>
      </c>
      <c r="E1259" s="372" t="s">
        <v>8546</v>
      </c>
      <c r="F1259" s="375" t="s">
        <v>1320</v>
      </c>
      <c r="G1259" s="375" t="s">
        <v>16103</v>
      </c>
      <c r="H1259" s="375" t="s">
        <v>781</v>
      </c>
      <c r="I1259" s="375" t="s">
        <v>751</v>
      </c>
      <c r="J1259" s="375">
        <v>68032.552989999996</v>
      </c>
      <c r="K1259" s="375">
        <v>-54974.601049999997</v>
      </c>
      <c r="L1259" s="375">
        <v>-150046.39936000001</v>
      </c>
      <c r="M1259" s="375">
        <v>435617.1643</v>
      </c>
      <c r="N1259" s="372">
        <v>0.76500000000000001</v>
      </c>
      <c r="O1259" s="704">
        <v>66.785998541384956</v>
      </c>
      <c r="P1259" s="375" t="s">
        <v>619</v>
      </c>
      <c r="Q1259" s="372" t="s">
        <v>619</v>
      </c>
      <c r="R1259" s="696">
        <v>19841019</v>
      </c>
      <c r="S1259" s="372" t="s">
        <v>8547</v>
      </c>
      <c r="T1259" s="697" t="s">
        <v>768</v>
      </c>
      <c r="U1259" s="372" t="s">
        <v>15896</v>
      </c>
      <c r="V1259" s="722" t="s">
        <v>770</v>
      </c>
      <c r="W1259" s="722">
        <v>0.41</v>
      </c>
      <c r="X1259" s="722">
        <v>1.32</v>
      </c>
      <c r="Y1259" s="722" t="s">
        <v>770</v>
      </c>
      <c r="Z1259" s="382" t="s">
        <v>924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8548</v>
      </c>
      <c r="B1260" s="373" t="s">
        <v>8549</v>
      </c>
      <c r="C1260" s="372" t="s">
        <v>8550</v>
      </c>
      <c r="D1260" s="374">
        <v>1243110024177</v>
      </c>
      <c r="E1260" s="372" t="s">
        <v>8551</v>
      </c>
      <c r="F1260" s="372" t="s">
        <v>2508</v>
      </c>
      <c r="G1260" s="375" t="s">
        <v>2508</v>
      </c>
      <c r="H1260" s="375" t="s">
        <v>858</v>
      </c>
      <c r="I1260" s="375" t="s">
        <v>859</v>
      </c>
      <c r="J1260" s="375">
        <v>58204.041969999998</v>
      </c>
      <c r="K1260" s="375">
        <v>-2466.0827199999999</v>
      </c>
      <c r="L1260" s="375">
        <v>-5038.2404500000002</v>
      </c>
      <c r="M1260" s="375">
        <v>61214.26683</v>
      </c>
      <c r="N1260" s="372">
        <v>0.71299999999999997</v>
      </c>
      <c r="O1260" s="704">
        <v>53.178367398509963</v>
      </c>
      <c r="P1260" s="375" t="s">
        <v>619</v>
      </c>
      <c r="Q1260" s="372" t="s">
        <v>619</v>
      </c>
      <c r="R1260" s="696">
        <v>20071001</v>
      </c>
      <c r="S1260" s="372" t="s">
        <v>8552</v>
      </c>
      <c r="T1260" s="697" t="s">
        <v>768</v>
      </c>
      <c r="U1260" s="372" t="s">
        <v>8553</v>
      </c>
      <c r="V1260" s="722" t="s">
        <v>770</v>
      </c>
      <c r="W1260" s="722">
        <v>1.1299999999999999</v>
      </c>
      <c r="X1260" s="722">
        <v>1.32</v>
      </c>
      <c r="Y1260" s="722" t="s">
        <v>770</v>
      </c>
      <c r="Z1260" s="382" t="s">
        <v>924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8554</v>
      </c>
      <c r="B1261" s="373" t="s">
        <v>8555</v>
      </c>
      <c r="C1261" s="372" t="s">
        <v>8556</v>
      </c>
      <c r="D1261" s="374">
        <v>2059110000169</v>
      </c>
      <c r="E1261" s="372" t="s">
        <v>8557</v>
      </c>
      <c r="F1261" s="375" t="s">
        <v>1860</v>
      </c>
      <c r="G1261" s="375" t="s">
        <v>1861</v>
      </c>
      <c r="H1261" s="375" t="s">
        <v>789</v>
      </c>
      <c r="I1261" s="375" t="s">
        <v>751</v>
      </c>
      <c r="J1261" s="375">
        <v>451528.57681</v>
      </c>
      <c r="K1261" s="375">
        <v>15277.59677</v>
      </c>
      <c r="L1261" s="375">
        <v>-18003.528160000002</v>
      </c>
      <c r="M1261" s="375">
        <v>318539.73583000002</v>
      </c>
      <c r="N1261" s="372">
        <v>0.51700000000000002</v>
      </c>
      <c r="O1261" s="704">
        <v>36.760969621116992</v>
      </c>
      <c r="P1261" s="375" t="s">
        <v>619</v>
      </c>
      <c r="Q1261" s="375" t="s">
        <v>619</v>
      </c>
      <c r="R1261" s="696">
        <v>20151111</v>
      </c>
      <c r="S1261" s="375" t="s">
        <v>8558</v>
      </c>
      <c r="T1261" s="697" t="s">
        <v>768</v>
      </c>
      <c r="U1261" s="372" t="s">
        <v>8559</v>
      </c>
      <c r="V1261" s="722">
        <v>4.62</v>
      </c>
      <c r="W1261" s="722">
        <v>0.38</v>
      </c>
      <c r="X1261" s="722">
        <v>0.28000000000000003</v>
      </c>
      <c r="Y1261" s="722" t="s">
        <v>770</v>
      </c>
      <c r="Z1261" s="382" t="s">
        <v>924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8560</v>
      </c>
      <c r="B1262" s="373" t="s">
        <v>8561</v>
      </c>
      <c r="C1262" s="372" t="s">
        <v>8562</v>
      </c>
      <c r="D1262" s="374">
        <v>2001110021009</v>
      </c>
      <c r="E1262" s="372" t="s">
        <v>8563</v>
      </c>
      <c r="F1262" s="375" t="s">
        <v>8564</v>
      </c>
      <c r="G1262" s="375" t="s">
        <v>8565</v>
      </c>
      <c r="H1262" s="375" t="s">
        <v>1528</v>
      </c>
      <c r="I1262" s="375" t="s">
        <v>859</v>
      </c>
      <c r="J1262" s="375">
        <v>21049.10773</v>
      </c>
      <c r="K1262" s="375">
        <v>8179.0820700000004</v>
      </c>
      <c r="L1262" s="375">
        <v>15894.358</v>
      </c>
      <c r="M1262" s="375">
        <v>182762.1673</v>
      </c>
      <c r="N1262" s="372">
        <v>0.55000000000000004</v>
      </c>
      <c r="O1262" s="704">
        <v>0</v>
      </c>
      <c r="P1262" s="375" t="s">
        <v>619</v>
      </c>
      <c r="Q1262" s="375" t="s">
        <v>619</v>
      </c>
      <c r="R1262" s="696">
        <v>20181129</v>
      </c>
      <c r="S1262" s="375" t="s">
        <v>8566</v>
      </c>
      <c r="T1262" s="697">
        <v>0.20900000000000002</v>
      </c>
      <c r="U1262" s="372" t="s">
        <v>8567</v>
      </c>
      <c r="V1262" s="722">
        <v>0</v>
      </c>
      <c r="W1262" s="722">
        <v>0</v>
      </c>
      <c r="X1262" s="722">
        <v>0</v>
      </c>
      <c r="Y1262" s="722">
        <v>0</v>
      </c>
      <c r="Z1262" s="382" t="s">
        <v>924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8568</v>
      </c>
      <c r="B1263" s="373" t="s">
        <v>8569</v>
      </c>
      <c r="C1263" s="372" t="s">
        <v>8570</v>
      </c>
      <c r="D1263" s="374">
        <v>1801110071794</v>
      </c>
      <c r="E1263" s="372" t="s">
        <v>8571</v>
      </c>
      <c r="F1263" s="375" t="s">
        <v>2086</v>
      </c>
      <c r="G1263" s="375" t="s">
        <v>2086</v>
      </c>
      <c r="H1263" s="375" t="s">
        <v>809</v>
      </c>
      <c r="I1263" s="375" t="s">
        <v>751</v>
      </c>
      <c r="J1263" s="375">
        <v>246057.05114</v>
      </c>
      <c r="K1263" s="375">
        <v>19267.681809999998</v>
      </c>
      <c r="L1263" s="375">
        <v>26248.131069999999</v>
      </c>
      <c r="M1263" s="375">
        <v>257104.35117000001</v>
      </c>
      <c r="N1263" s="372">
        <v>0.71</v>
      </c>
      <c r="O1263" s="704">
        <v>4.925421007862063</v>
      </c>
      <c r="P1263" s="375" t="s">
        <v>619</v>
      </c>
      <c r="Q1263" s="375" t="s">
        <v>619</v>
      </c>
      <c r="R1263" s="696">
        <v>19990818</v>
      </c>
      <c r="S1263" s="375" t="s">
        <v>8572</v>
      </c>
      <c r="T1263" s="697">
        <v>0.23100000000000001</v>
      </c>
      <c r="U1263" s="372" t="s">
        <v>8573</v>
      </c>
      <c r="V1263" s="722">
        <v>0</v>
      </c>
      <c r="W1263" s="722">
        <v>0</v>
      </c>
      <c r="X1263" s="722">
        <v>0</v>
      </c>
      <c r="Y1263" s="722">
        <v>0</v>
      </c>
      <c r="Z1263" s="382" t="s">
        <v>924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8574</v>
      </c>
      <c r="B1264" s="373" t="s">
        <v>8575</v>
      </c>
      <c r="C1264" s="372" t="s">
        <v>8576</v>
      </c>
      <c r="D1264" s="374">
        <v>1101112307539</v>
      </c>
      <c r="E1264" s="372" t="s">
        <v>8577</v>
      </c>
      <c r="F1264" s="375" t="s">
        <v>2438</v>
      </c>
      <c r="G1264" s="375" t="s">
        <v>2438</v>
      </c>
      <c r="H1264" s="375" t="s">
        <v>1334</v>
      </c>
      <c r="I1264" s="375" t="s">
        <v>859</v>
      </c>
      <c r="J1264" s="375">
        <v>130515.51942</v>
      </c>
      <c r="K1264" s="375">
        <v>-4582.4973300000001</v>
      </c>
      <c r="L1264" s="375">
        <v>-4343.97577</v>
      </c>
      <c r="M1264" s="375">
        <v>36663.453909999997</v>
      </c>
      <c r="N1264" s="372">
        <v>0.76300000000000001</v>
      </c>
      <c r="O1264" s="704">
        <v>47.562813919665857</v>
      </c>
      <c r="P1264" s="375" t="s">
        <v>619</v>
      </c>
      <c r="Q1264" s="372" t="s">
        <v>619</v>
      </c>
      <c r="R1264" s="696">
        <v>20190130</v>
      </c>
      <c r="S1264" s="372" t="s">
        <v>8578</v>
      </c>
      <c r="T1264" s="697" t="s">
        <v>768</v>
      </c>
      <c r="U1264" s="372" t="s">
        <v>8579</v>
      </c>
      <c r="V1264" s="722" t="s">
        <v>770</v>
      </c>
      <c r="W1264" s="722">
        <v>2.25</v>
      </c>
      <c r="X1264" s="722">
        <v>0.63</v>
      </c>
      <c r="Y1264" s="722" t="s">
        <v>770</v>
      </c>
      <c r="Z1264" s="382" t="s">
        <v>924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8580</v>
      </c>
      <c r="B1265" s="373" t="s">
        <v>8581</v>
      </c>
      <c r="C1265" s="372" t="s">
        <v>8582</v>
      </c>
      <c r="D1265" s="374">
        <v>1243110000250</v>
      </c>
      <c r="E1265" s="372" t="s">
        <v>8583</v>
      </c>
      <c r="F1265" s="372" t="s">
        <v>1320</v>
      </c>
      <c r="G1265" s="375" t="s">
        <v>16103</v>
      </c>
      <c r="H1265" s="375" t="s">
        <v>781</v>
      </c>
      <c r="I1265" s="375" t="s">
        <v>751</v>
      </c>
      <c r="J1265" s="375">
        <v>178442.76704000001</v>
      </c>
      <c r="K1265" s="375">
        <v>953.18625999999995</v>
      </c>
      <c r="L1265" s="375">
        <v>841.17711999999995</v>
      </c>
      <c r="M1265" s="375">
        <v>82413.465649999998</v>
      </c>
      <c r="N1265" s="372">
        <v>0.34</v>
      </c>
      <c r="O1265" s="704">
        <v>42.737515453713812</v>
      </c>
      <c r="P1265" s="375" t="s">
        <v>619</v>
      </c>
      <c r="Q1265" s="375" t="s">
        <v>619</v>
      </c>
      <c r="R1265" s="696">
        <v>19780628</v>
      </c>
      <c r="S1265" s="375" t="s">
        <v>8584</v>
      </c>
      <c r="T1265" s="697">
        <v>0.20900000000000002</v>
      </c>
      <c r="U1265" s="372" t="s">
        <v>8585</v>
      </c>
      <c r="V1265" s="722">
        <v>0</v>
      </c>
      <c r="W1265" s="722">
        <v>0</v>
      </c>
      <c r="X1265" s="722">
        <v>0</v>
      </c>
      <c r="Y1265" s="722">
        <v>0</v>
      </c>
      <c r="Z1265" s="382" t="s">
        <v>924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8586</v>
      </c>
      <c r="B1266" s="373" t="s">
        <v>8587</v>
      </c>
      <c r="C1266" s="372" t="s">
        <v>8588</v>
      </c>
      <c r="D1266" s="374">
        <v>1301110045012</v>
      </c>
      <c r="E1266" s="372" t="s">
        <v>8589</v>
      </c>
      <c r="F1266" s="375" t="s">
        <v>1959</v>
      </c>
      <c r="G1266" s="375" t="s">
        <v>1959</v>
      </c>
      <c r="H1266" s="375" t="s">
        <v>858</v>
      </c>
      <c r="I1266" s="375" t="s">
        <v>859</v>
      </c>
      <c r="J1266" s="375">
        <v>115702.98981</v>
      </c>
      <c r="K1266" s="375">
        <v>15767.20311</v>
      </c>
      <c r="L1266" s="375">
        <v>17611.2706</v>
      </c>
      <c r="M1266" s="375">
        <v>122654.28468</v>
      </c>
      <c r="N1266" s="372">
        <v>1.046</v>
      </c>
      <c r="O1266" s="704">
        <v>0.20085569062636621</v>
      </c>
      <c r="P1266" s="375" t="s">
        <v>619</v>
      </c>
      <c r="Q1266" s="375" t="s">
        <v>619</v>
      </c>
      <c r="R1266" s="696">
        <v>20031112</v>
      </c>
      <c r="S1266" s="375" t="s">
        <v>8590</v>
      </c>
      <c r="T1266" s="697">
        <v>0.20900000000000002</v>
      </c>
      <c r="U1266" s="372" t="s">
        <v>8591</v>
      </c>
      <c r="V1266" s="722">
        <v>14.56</v>
      </c>
      <c r="W1266" s="722">
        <v>2.19</v>
      </c>
      <c r="X1266" s="722">
        <v>2.35</v>
      </c>
      <c r="Y1266" s="722">
        <v>20.329999999999998</v>
      </c>
      <c r="Z1266" s="382">
        <v>0.36082338195475283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1778.5</v>
      </c>
      <c r="AF1266" s="372">
        <v>2500</v>
      </c>
      <c r="AG1266" s="372">
        <v>3610</v>
      </c>
      <c r="AH1266" s="372">
        <v>0</v>
      </c>
    </row>
    <row r="1267" spans="1:34">
      <c r="A1267" s="372" t="s">
        <v>8592</v>
      </c>
      <c r="B1267" s="373" t="s">
        <v>8593</v>
      </c>
      <c r="C1267" s="372" t="s">
        <v>8594</v>
      </c>
      <c r="D1267" s="374">
        <v>1101111625271</v>
      </c>
      <c r="E1267" s="372" t="s">
        <v>8595</v>
      </c>
      <c r="F1267" s="375" t="s">
        <v>8596</v>
      </c>
      <c r="G1267" s="375" t="s">
        <v>8596</v>
      </c>
      <c r="H1267" s="375" t="s">
        <v>4844</v>
      </c>
      <c r="I1267" s="375" t="s">
        <v>859</v>
      </c>
      <c r="J1267" s="375">
        <v>18129.940210000001</v>
      </c>
      <c r="K1267" s="375">
        <v>-16833.67813</v>
      </c>
      <c r="L1267" s="375">
        <v>-25612.75229</v>
      </c>
      <c r="M1267" s="375">
        <v>25308.02073</v>
      </c>
      <c r="N1267" s="372">
        <v>0.11899999999999999</v>
      </c>
      <c r="O1267" s="704">
        <v>2.6911836866839636</v>
      </c>
      <c r="P1267" s="375" t="s">
        <v>16112</v>
      </c>
      <c r="Q1267" s="372" t="s">
        <v>16113</v>
      </c>
      <c r="R1267" s="696">
        <v>20021030</v>
      </c>
      <c r="S1267" s="372" t="s">
        <v>8597</v>
      </c>
      <c r="T1267" s="697" t="s">
        <v>768</v>
      </c>
      <c r="U1267" s="372" t="s">
        <v>8598</v>
      </c>
      <c r="V1267" s="722" t="s">
        <v>770</v>
      </c>
      <c r="W1267" s="722">
        <v>4.08</v>
      </c>
      <c r="X1267" s="722">
        <v>5.73</v>
      </c>
      <c r="Y1267" s="722" t="s">
        <v>770</v>
      </c>
      <c r="Z1267" s="382" t="s">
        <v>924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8599</v>
      </c>
      <c r="B1268" s="373" t="s">
        <v>8600</v>
      </c>
      <c r="C1268" s="372" t="s">
        <v>8601</v>
      </c>
      <c r="D1268" s="374">
        <v>1101114291540</v>
      </c>
      <c r="E1268" s="372" t="s">
        <v>8602</v>
      </c>
      <c r="F1268" s="372" t="s">
        <v>1003</v>
      </c>
      <c r="G1268" s="375" t="s">
        <v>1212</v>
      </c>
      <c r="H1268" s="375" t="s">
        <v>858</v>
      </c>
      <c r="I1268" s="375" t="s">
        <v>859</v>
      </c>
      <c r="J1268" s="375">
        <v>119861.11564</v>
      </c>
      <c r="K1268" s="375">
        <v>-789.86473999999998</v>
      </c>
      <c r="L1268" s="375">
        <v>-866.58363999999995</v>
      </c>
      <c r="M1268" s="375">
        <v>228489.47883000001</v>
      </c>
      <c r="N1268" s="372">
        <v>1.006</v>
      </c>
      <c r="O1268" s="704">
        <v>181.77438289309492</v>
      </c>
      <c r="P1268" s="375" t="s">
        <v>619</v>
      </c>
      <c r="Q1268" s="375" t="s">
        <v>619</v>
      </c>
      <c r="R1268" s="696">
        <v>20101110</v>
      </c>
      <c r="S1268" s="375" t="s">
        <v>2502</v>
      </c>
      <c r="T1268" s="697" t="s">
        <v>768</v>
      </c>
      <c r="U1268" s="372" t="s">
        <v>15897</v>
      </c>
      <c r="V1268" s="722">
        <v>26.07</v>
      </c>
      <c r="W1268" s="722">
        <v>0.41</v>
      </c>
      <c r="X1268" s="722">
        <v>0.82</v>
      </c>
      <c r="Y1268" s="722">
        <v>98.2</v>
      </c>
      <c r="Z1268" s="382" t="s">
        <v>924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8603</v>
      </c>
      <c r="B1269" s="373" t="s">
        <v>8604</v>
      </c>
      <c r="C1269" s="372" t="s">
        <v>8605</v>
      </c>
      <c r="D1269" s="374">
        <v>1246110236750</v>
      </c>
      <c r="E1269" s="372" t="s">
        <v>8606</v>
      </c>
      <c r="F1269" s="375" t="s">
        <v>1182</v>
      </c>
      <c r="G1269" s="375" t="s">
        <v>1183</v>
      </c>
      <c r="H1269" s="375" t="s">
        <v>858</v>
      </c>
      <c r="I1269" s="375" t="s">
        <v>859</v>
      </c>
      <c r="J1269" s="375">
        <v>70179.892959999997</v>
      </c>
      <c r="K1269" s="375">
        <v>7684.8563000000004</v>
      </c>
      <c r="L1269" s="375">
        <v>6923.1198899999999</v>
      </c>
      <c r="M1269" s="375">
        <v>46466.043839999998</v>
      </c>
      <c r="N1269" s="372">
        <v>1.272</v>
      </c>
      <c r="O1269" s="704">
        <v>29.230779362143366</v>
      </c>
      <c r="P1269" s="375" t="s">
        <v>619</v>
      </c>
      <c r="Q1269" s="375" t="s">
        <v>619</v>
      </c>
      <c r="R1269" s="696">
        <v>20150925</v>
      </c>
      <c r="S1269" s="375" t="s">
        <v>8607</v>
      </c>
      <c r="T1269" s="697">
        <v>0.20900000000000002</v>
      </c>
      <c r="U1269" s="372" t="s">
        <v>8608</v>
      </c>
      <c r="V1269" s="722">
        <v>8.8699999999999992</v>
      </c>
      <c r="W1269" s="722">
        <v>1.54</v>
      </c>
      <c r="X1269" s="722">
        <v>1.02</v>
      </c>
      <c r="Y1269" s="722">
        <v>10.49</v>
      </c>
      <c r="Z1269" s="382" t="s">
        <v>924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8609</v>
      </c>
      <c r="B1270" s="373" t="s">
        <v>8610</v>
      </c>
      <c r="C1270" s="372" t="s">
        <v>8611</v>
      </c>
      <c r="D1270" s="374">
        <v>1101117648186</v>
      </c>
      <c r="E1270" s="372" t="s">
        <v>8612</v>
      </c>
      <c r="F1270" s="375" t="s">
        <v>2181</v>
      </c>
      <c r="G1270" s="375" t="s">
        <v>2182</v>
      </c>
      <c r="H1270" s="375" t="s">
        <v>858</v>
      </c>
      <c r="I1270" s="375" t="s">
        <v>859</v>
      </c>
      <c r="J1270" s="375">
        <v>28123.540260000002</v>
      </c>
      <c r="K1270" s="375">
        <v>5816.2658700000002</v>
      </c>
      <c r="L1270" s="375">
        <v>5762.7259999999997</v>
      </c>
      <c r="M1270" s="375">
        <v>35958.77547</v>
      </c>
      <c r="N1270" s="372">
        <v>0.80500000000000005</v>
      </c>
      <c r="O1270" s="704">
        <v>3.6778116251033763</v>
      </c>
      <c r="P1270" s="375" t="s">
        <v>619</v>
      </c>
      <c r="Q1270" s="375" t="s">
        <v>619</v>
      </c>
      <c r="R1270" s="696">
        <v>20210121</v>
      </c>
      <c r="S1270" s="375" t="s">
        <v>8613</v>
      </c>
      <c r="T1270" s="697">
        <v>0.20900000000000002</v>
      </c>
      <c r="U1270" s="372" t="s">
        <v>8614</v>
      </c>
      <c r="V1270" s="722">
        <v>17.07</v>
      </c>
      <c r="W1270" s="722">
        <v>3.38</v>
      </c>
      <c r="X1270" s="722">
        <v>4.32</v>
      </c>
      <c r="Y1270" s="722">
        <v>22.79</v>
      </c>
      <c r="Z1270" s="382">
        <v>0.21176833960941277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285</v>
      </c>
      <c r="AF1270" s="372">
        <v>353</v>
      </c>
      <c r="AG1270" s="372">
        <v>418</v>
      </c>
      <c r="AH1270" s="372">
        <v>0</v>
      </c>
    </row>
    <row r="1271" spans="1:34">
      <c r="A1271" s="372" t="s">
        <v>8615</v>
      </c>
      <c r="B1271" s="373" t="s">
        <v>8616</v>
      </c>
      <c r="C1271" s="372" t="s">
        <v>8617</v>
      </c>
      <c r="D1271" s="374">
        <v>1101111064429</v>
      </c>
      <c r="E1271" s="372" t="s">
        <v>8618</v>
      </c>
      <c r="F1271" s="375" t="s">
        <v>2622</v>
      </c>
      <c r="G1271" s="375" t="s">
        <v>2623</v>
      </c>
      <c r="H1271" s="375" t="s">
        <v>1334</v>
      </c>
      <c r="I1271" s="375" t="s">
        <v>859</v>
      </c>
      <c r="J1271" s="375">
        <v>128220.84818</v>
      </c>
      <c r="K1271" s="375">
        <v>34527.588900000002</v>
      </c>
      <c r="L1271" s="375">
        <v>58998.229979999996</v>
      </c>
      <c r="M1271" s="375">
        <v>263106.84720999998</v>
      </c>
      <c r="N1271" s="372">
        <v>0.96</v>
      </c>
      <c r="O1271" s="704">
        <v>3.3589148609202946</v>
      </c>
      <c r="P1271" s="375" t="s">
        <v>619</v>
      </c>
      <c r="Q1271" s="372" t="s">
        <v>619</v>
      </c>
      <c r="R1271" s="696">
        <v>19990811</v>
      </c>
      <c r="S1271" s="372" t="s">
        <v>8619</v>
      </c>
      <c r="T1271" s="697">
        <v>0.23100000000000001</v>
      </c>
      <c r="U1271" s="372" t="s">
        <v>8620</v>
      </c>
      <c r="V1271" s="722">
        <v>5</v>
      </c>
      <c r="W1271" s="722">
        <v>0.55000000000000004</v>
      </c>
      <c r="X1271" s="722">
        <v>0.85</v>
      </c>
      <c r="Y1271" s="722">
        <v>2.93</v>
      </c>
      <c r="Z1271" s="382" t="s">
        <v>924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8621</v>
      </c>
      <c r="B1272" s="373" t="s">
        <v>8622</v>
      </c>
      <c r="C1272" s="372" t="s">
        <v>8623</v>
      </c>
      <c r="D1272" s="374">
        <v>1101110005002</v>
      </c>
      <c r="E1272" s="372" t="s">
        <v>8624</v>
      </c>
      <c r="F1272" s="372" t="s">
        <v>1876</v>
      </c>
      <c r="G1272" s="375" t="s">
        <v>1876</v>
      </c>
      <c r="H1272" s="375" t="s">
        <v>1383</v>
      </c>
      <c r="I1272" s="375" t="s">
        <v>751</v>
      </c>
      <c r="J1272" s="375">
        <v>1795686.8783799999</v>
      </c>
      <c r="K1272" s="375">
        <v>-61223.852529999996</v>
      </c>
      <c r="L1272" s="375">
        <v>-74420.423089999997</v>
      </c>
      <c r="M1272" s="375">
        <v>484421.90581999999</v>
      </c>
      <c r="N1272" s="372">
        <v>0.79400000000000004</v>
      </c>
      <c r="O1272" s="704">
        <v>493.31113938201605</v>
      </c>
      <c r="P1272" s="375" t="s">
        <v>619</v>
      </c>
      <c r="Q1272" s="372" t="s">
        <v>619</v>
      </c>
      <c r="R1272" s="696">
        <v>19781030</v>
      </c>
      <c r="S1272" s="372" t="s">
        <v>8625</v>
      </c>
      <c r="T1272" s="697" t="s">
        <v>768</v>
      </c>
      <c r="U1272" s="372" t="s">
        <v>8626</v>
      </c>
      <c r="V1272" s="722" t="s">
        <v>770</v>
      </c>
      <c r="W1272" s="722">
        <v>0.21</v>
      </c>
      <c r="X1272" s="722">
        <v>0.06</v>
      </c>
      <c r="Y1272" s="722" t="s">
        <v>770</v>
      </c>
      <c r="Z1272" s="382">
        <v>4.329801992643656E-3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17355</v>
      </c>
      <c r="AF1272" s="372">
        <v>17811</v>
      </c>
      <c r="AG1272" s="372">
        <v>19331</v>
      </c>
      <c r="AH1272" s="372">
        <v>19930</v>
      </c>
    </row>
    <row r="1273" spans="1:34">
      <c r="A1273" s="372" t="s">
        <v>8627</v>
      </c>
      <c r="B1273" s="373" t="s">
        <v>8628</v>
      </c>
      <c r="C1273" s="372" t="s">
        <v>8629</v>
      </c>
      <c r="D1273" s="374">
        <v>1344110000719</v>
      </c>
      <c r="E1273" s="372" t="s">
        <v>8630</v>
      </c>
      <c r="F1273" s="375" t="s">
        <v>1246</v>
      </c>
      <c r="G1273" s="375" t="s">
        <v>1246</v>
      </c>
      <c r="H1273" s="375" t="s">
        <v>858</v>
      </c>
      <c r="I1273" s="375" t="s">
        <v>859</v>
      </c>
      <c r="J1273" s="375">
        <v>122450.63011</v>
      </c>
      <c r="K1273" s="375">
        <v>1840.1050299999999</v>
      </c>
      <c r="L1273" s="375">
        <v>-1438.87141</v>
      </c>
      <c r="M1273" s="375">
        <v>189696.54527999999</v>
      </c>
      <c r="N1273" s="372">
        <v>0.45500000000000002</v>
      </c>
      <c r="O1273" s="704">
        <v>3.2170141238857779</v>
      </c>
      <c r="P1273" s="375" t="s">
        <v>619</v>
      </c>
      <c r="Q1273" s="375" t="s">
        <v>619</v>
      </c>
      <c r="R1273" s="696">
        <v>20020416</v>
      </c>
      <c r="S1273" s="375" t="s">
        <v>8631</v>
      </c>
      <c r="T1273" s="697" t="s">
        <v>768</v>
      </c>
      <c r="U1273" s="372" t="s">
        <v>8632</v>
      </c>
      <c r="V1273" s="722">
        <v>0</v>
      </c>
      <c r="W1273" s="722">
        <v>0</v>
      </c>
      <c r="X1273" s="722">
        <v>0</v>
      </c>
      <c r="Y1273" s="722">
        <v>0</v>
      </c>
      <c r="Z1273" s="382" t="s">
        <v>924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8633</v>
      </c>
      <c r="B1274" s="373" t="s">
        <v>8634</v>
      </c>
      <c r="C1274" s="372" t="s">
        <v>8635</v>
      </c>
      <c r="D1274" s="374">
        <v>1101111673288</v>
      </c>
      <c r="E1274" s="372" t="s">
        <v>8636</v>
      </c>
      <c r="F1274" s="372" t="s">
        <v>3363</v>
      </c>
      <c r="G1274" s="375" t="s">
        <v>8637</v>
      </c>
      <c r="H1274" s="375" t="s">
        <v>3096</v>
      </c>
      <c r="I1274" s="375" t="s">
        <v>859</v>
      </c>
      <c r="J1274" s="375">
        <v>658709.78656000004</v>
      </c>
      <c r="K1274" s="375">
        <v>10744.45335</v>
      </c>
      <c r="L1274" s="375">
        <v>2157.7855800000002</v>
      </c>
      <c r="M1274" s="375">
        <v>187133.49651999999</v>
      </c>
      <c r="N1274" s="372">
        <v>0.71599999999999997</v>
      </c>
      <c r="O1274" s="704">
        <v>43.454698610281589</v>
      </c>
      <c r="P1274" s="375" t="s">
        <v>619</v>
      </c>
      <c r="Q1274" s="375" t="s">
        <v>619</v>
      </c>
      <c r="R1274" s="696">
        <v>20080507</v>
      </c>
      <c r="S1274" s="375" t="s">
        <v>8638</v>
      </c>
      <c r="T1274" s="697">
        <v>0.20900000000000002</v>
      </c>
      <c r="U1274" s="372" t="s">
        <v>8639</v>
      </c>
      <c r="V1274" s="722">
        <v>6.45</v>
      </c>
      <c r="W1274" s="722">
        <v>0.67</v>
      </c>
      <c r="X1274" s="722">
        <v>0.19</v>
      </c>
      <c r="Y1274" s="722">
        <v>126.52</v>
      </c>
      <c r="Z1274" s="382" t="s">
        <v>924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8640</v>
      </c>
      <c r="B1275" s="373" t="s">
        <v>8641</v>
      </c>
      <c r="C1275" s="372" t="s">
        <v>8642</v>
      </c>
      <c r="D1275" s="374">
        <v>1101110149446</v>
      </c>
      <c r="E1275" s="372" t="s">
        <v>8642</v>
      </c>
      <c r="F1275" s="375" t="s">
        <v>1456</v>
      </c>
      <c r="G1275" s="375" t="s">
        <v>5640</v>
      </c>
      <c r="H1275" s="375" t="s">
        <v>906</v>
      </c>
      <c r="I1275" s="375" t="s">
        <v>751</v>
      </c>
      <c r="J1275" s="375">
        <v>857781.93290000001</v>
      </c>
      <c r="K1275" s="375">
        <v>36370.00922</v>
      </c>
      <c r="L1275" s="375">
        <v>34597.072229999998</v>
      </c>
      <c r="M1275" s="375">
        <v>304776.86689</v>
      </c>
      <c r="N1275" s="372">
        <v>0.21199999999999999</v>
      </c>
      <c r="O1275" s="704">
        <v>249.86250849738184</v>
      </c>
      <c r="P1275" s="375" t="s">
        <v>619</v>
      </c>
      <c r="Q1275" s="372" t="s">
        <v>619</v>
      </c>
      <c r="R1275" s="696">
        <v>19780929</v>
      </c>
      <c r="S1275" s="372" t="s">
        <v>8643</v>
      </c>
      <c r="T1275" s="697">
        <v>0.23100000000000001</v>
      </c>
      <c r="U1275" s="372" t="s">
        <v>8644</v>
      </c>
      <c r="V1275" s="722">
        <v>6.07</v>
      </c>
      <c r="W1275" s="722">
        <v>0.56000000000000005</v>
      </c>
      <c r="X1275" s="722">
        <v>0.19</v>
      </c>
      <c r="Y1275" s="722">
        <v>5.95</v>
      </c>
      <c r="Z1275" s="382" t="s">
        <v>924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8645</v>
      </c>
      <c r="B1276" s="373" t="s">
        <v>8646</v>
      </c>
      <c r="C1276" s="372" t="s">
        <v>8647</v>
      </c>
      <c r="D1276" s="374">
        <v>1101112863789</v>
      </c>
      <c r="E1276" s="372" t="s">
        <v>8648</v>
      </c>
      <c r="F1276" s="375" t="s">
        <v>2051</v>
      </c>
      <c r="G1276" s="375" t="s">
        <v>4694</v>
      </c>
      <c r="H1276" s="375" t="s">
        <v>858</v>
      </c>
      <c r="I1276" s="375" t="s">
        <v>859</v>
      </c>
      <c r="J1276" s="375">
        <v>112464.99475</v>
      </c>
      <c r="K1276" s="375">
        <v>7960.2847300000003</v>
      </c>
      <c r="L1276" s="375">
        <v>5881.9537200000004</v>
      </c>
      <c r="M1276" s="375">
        <v>83185.982929999998</v>
      </c>
      <c r="N1276" s="372">
        <v>0.45800000000000002</v>
      </c>
      <c r="O1276" s="704">
        <v>21.635915032781334</v>
      </c>
      <c r="P1276" s="375" t="s">
        <v>619</v>
      </c>
      <c r="Q1276" s="372" t="s">
        <v>619</v>
      </c>
      <c r="R1276" s="696">
        <v>20181122</v>
      </c>
      <c r="S1276" s="372" t="s">
        <v>8649</v>
      </c>
      <c r="T1276" s="697">
        <v>0.20900000000000002</v>
      </c>
      <c r="U1276" s="375" t="s">
        <v>8650</v>
      </c>
      <c r="V1276" s="722">
        <v>9.09</v>
      </c>
      <c r="W1276" s="722">
        <v>1.01</v>
      </c>
      <c r="X1276" s="722">
        <v>0.78</v>
      </c>
      <c r="Y1276" s="722">
        <v>13.85</v>
      </c>
      <c r="Z1276" s="382" t="s">
        <v>924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8651</v>
      </c>
      <c r="B1277" s="373" t="s">
        <v>8652</v>
      </c>
      <c r="C1277" s="372" t="s">
        <v>8653</v>
      </c>
      <c r="D1277" s="374">
        <v>1101110324858</v>
      </c>
      <c r="E1277" s="372" t="s">
        <v>8654</v>
      </c>
      <c r="F1277" s="375" t="s">
        <v>1052</v>
      </c>
      <c r="G1277" s="375" t="s">
        <v>16101</v>
      </c>
      <c r="H1277" s="375" t="s">
        <v>858</v>
      </c>
      <c r="I1277" s="375" t="s">
        <v>859</v>
      </c>
      <c r="J1277" s="375">
        <v>61842.926119999996</v>
      </c>
      <c r="K1277" s="375">
        <v>12478.9874</v>
      </c>
      <c r="L1277" s="375">
        <v>14735.29795</v>
      </c>
      <c r="M1277" s="375">
        <v>144023.03883</v>
      </c>
      <c r="N1277" s="372">
        <v>0.66400000000000003</v>
      </c>
      <c r="O1277" s="704">
        <v>0.81353156816500927</v>
      </c>
      <c r="P1277" s="375" t="s">
        <v>619</v>
      </c>
      <c r="Q1277" s="375" t="s">
        <v>619</v>
      </c>
      <c r="R1277" s="696">
        <v>20080930</v>
      </c>
      <c r="S1277" s="372" t="s">
        <v>8655</v>
      </c>
      <c r="T1277" s="697">
        <v>0.20900000000000002</v>
      </c>
      <c r="U1277" s="372" t="s">
        <v>8656</v>
      </c>
      <c r="V1277" s="722">
        <v>7.59</v>
      </c>
      <c r="W1277" s="722">
        <v>0.83</v>
      </c>
      <c r="X1277" s="722">
        <v>1.92</v>
      </c>
      <c r="Y1277" s="722">
        <v>9.9700000000000006</v>
      </c>
      <c r="Z1277" s="382" t="s">
        <v>924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8657</v>
      </c>
      <c r="B1278" s="373" t="s">
        <v>8658</v>
      </c>
      <c r="C1278" s="372" t="s">
        <v>8659</v>
      </c>
      <c r="D1278" s="374">
        <v>1201110000034</v>
      </c>
      <c r="E1278" s="372" t="s">
        <v>8660</v>
      </c>
      <c r="F1278" s="372" t="s">
        <v>8661</v>
      </c>
      <c r="G1278" s="375" t="s">
        <v>8662</v>
      </c>
      <c r="H1278" s="375" t="s">
        <v>8015</v>
      </c>
      <c r="I1278" s="375" t="s">
        <v>859</v>
      </c>
      <c r="J1278" s="375">
        <v>188303.49557999999</v>
      </c>
      <c r="K1278" s="375">
        <v>38806.256999999998</v>
      </c>
      <c r="L1278" s="375">
        <v>34509.710910000002</v>
      </c>
      <c r="M1278" s="375">
        <v>390258.14169000002</v>
      </c>
      <c r="N1278" s="372">
        <v>0.86099999999999999</v>
      </c>
      <c r="O1278" s="704">
        <v>217.42277729907724</v>
      </c>
      <c r="P1278" s="375" t="s">
        <v>619</v>
      </c>
      <c r="Q1278" s="375" t="s">
        <v>619</v>
      </c>
      <c r="R1278" s="696">
        <v>19991218</v>
      </c>
      <c r="S1278" s="375" t="s">
        <v>8663</v>
      </c>
      <c r="T1278" s="697">
        <v>0.23100000000000001</v>
      </c>
      <c r="U1278" s="375" t="s">
        <v>8664</v>
      </c>
      <c r="V1278" s="722">
        <v>3.32</v>
      </c>
      <c r="W1278" s="722">
        <v>0.27</v>
      </c>
      <c r="X1278" s="722">
        <v>0.56000000000000005</v>
      </c>
      <c r="Y1278" s="722">
        <v>3.52</v>
      </c>
      <c r="Z1278" s="382" t="s">
        <v>924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8665</v>
      </c>
      <c r="B1279" s="373" t="s">
        <v>8666</v>
      </c>
      <c r="C1279" s="372" t="s">
        <v>8667</v>
      </c>
      <c r="D1279" s="374">
        <v>1717110086312</v>
      </c>
      <c r="E1279" s="372" t="s">
        <v>8668</v>
      </c>
      <c r="F1279" s="375" t="s">
        <v>8669</v>
      </c>
      <c r="G1279" s="375" t="s">
        <v>8670</v>
      </c>
      <c r="H1279" s="375" t="s">
        <v>1040</v>
      </c>
      <c r="I1279" s="375" t="s">
        <v>751</v>
      </c>
      <c r="J1279" s="375">
        <v>54266.834130000003</v>
      </c>
      <c r="K1279" s="375">
        <v>9572.0297699999992</v>
      </c>
      <c r="L1279" s="375">
        <v>15363.51605</v>
      </c>
      <c r="M1279" s="375">
        <v>152112.98383000001</v>
      </c>
      <c r="N1279" s="372">
        <v>0.75900000000000001</v>
      </c>
      <c r="O1279" s="704">
        <v>0.38387423420873401</v>
      </c>
      <c r="P1279" s="375" t="s">
        <v>619</v>
      </c>
      <c r="Q1279" s="372" t="s">
        <v>619</v>
      </c>
      <c r="R1279" s="696">
        <v>20100219</v>
      </c>
      <c r="S1279" s="372" t="s">
        <v>8671</v>
      </c>
      <c r="T1279" s="697">
        <v>0.20900000000000002</v>
      </c>
      <c r="U1279" s="372" t="s">
        <v>8672</v>
      </c>
      <c r="V1279" s="722">
        <v>0</v>
      </c>
      <c r="W1279" s="722">
        <v>0</v>
      </c>
      <c r="X1279" s="722">
        <v>0</v>
      </c>
      <c r="Y1279" s="722">
        <v>0</v>
      </c>
      <c r="Z1279" s="382" t="s">
        <v>924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8673</v>
      </c>
      <c r="B1280" s="373" t="s">
        <v>8674</v>
      </c>
      <c r="C1280" s="372" t="s">
        <v>8675</v>
      </c>
      <c r="D1280" s="374">
        <v>1101110253908</v>
      </c>
      <c r="E1280" s="372" t="s">
        <v>8676</v>
      </c>
      <c r="F1280" s="375" t="s">
        <v>5597</v>
      </c>
      <c r="G1280" s="375" t="s">
        <v>5597</v>
      </c>
      <c r="H1280" s="375" t="s">
        <v>814</v>
      </c>
      <c r="I1280" s="375" t="s">
        <v>751</v>
      </c>
      <c r="J1280" s="375">
        <v>0</v>
      </c>
      <c r="K1280" s="375">
        <v>0</v>
      </c>
      <c r="L1280" s="375">
        <v>0</v>
      </c>
      <c r="M1280" s="375">
        <v>27053.650539999999</v>
      </c>
      <c r="N1280" s="372">
        <v>0.72099999999999997</v>
      </c>
      <c r="O1280" s="704">
        <v>2.0039750979555433</v>
      </c>
      <c r="P1280" s="375" t="s">
        <v>619</v>
      </c>
      <c r="Q1280" s="372" t="s">
        <v>619</v>
      </c>
      <c r="R1280" s="696">
        <v>19891220</v>
      </c>
      <c r="S1280" s="372" t="s">
        <v>8677</v>
      </c>
      <c r="T1280" s="697" t="s">
        <v>768</v>
      </c>
      <c r="U1280" s="372" t="s">
        <v>8678</v>
      </c>
      <c r="V1280" s="722">
        <v>0</v>
      </c>
      <c r="W1280" s="722">
        <v>2.2400000000000002</v>
      </c>
      <c r="X1280" s="722">
        <v>0</v>
      </c>
      <c r="Y1280" s="722">
        <v>0</v>
      </c>
      <c r="Z1280" s="382" t="s">
        <v>924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8679</v>
      </c>
      <c r="B1281" s="373" t="s">
        <v>8680</v>
      </c>
      <c r="C1281" s="372" t="s">
        <v>8681</v>
      </c>
      <c r="D1281" s="374">
        <v>1101115906974</v>
      </c>
      <c r="E1281" s="372" t="s">
        <v>8682</v>
      </c>
      <c r="F1281" s="375" t="s">
        <v>2051</v>
      </c>
      <c r="G1281" s="375" t="s">
        <v>2052</v>
      </c>
      <c r="H1281" s="375" t="s">
        <v>858</v>
      </c>
      <c r="I1281" s="375" t="s">
        <v>859</v>
      </c>
      <c r="J1281" s="375">
        <v>2268.87716</v>
      </c>
      <c r="K1281" s="375">
        <v>-20404.56236</v>
      </c>
      <c r="L1281" s="375">
        <v>-20186.02333</v>
      </c>
      <c r="M1281" s="375">
        <v>27330.504939999999</v>
      </c>
      <c r="N1281" s="372">
        <v>0.89300000000000002</v>
      </c>
      <c r="O1281" s="704">
        <v>6.1072075522890854</v>
      </c>
      <c r="P1281" s="375" t="s">
        <v>619</v>
      </c>
      <c r="Q1281" s="372" t="s">
        <v>619</v>
      </c>
      <c r="R1281" s="696">
        <v>20220303</v>
      </c>
      <c r="S1281" s="372" t="s">
        <v>8683</v>
      </c>
      <c r="T1281" s="697" t="s">
        <v>768</v>
      </c>
      <c r="U1281" s="372" t="s">
        <v>8684</v>
      </c>
      <c r="V1281" s="722" t="s">
        <v>770</v>
      </c>
      <c r="W1281" s="722">
        <v>2.72</v>
      </c>
      <c r="X1281" s="722">
        <v>32.729999999999997</v>
      </c>
      <c r="Y1281" s="722" t="s">
        <v>770</v>
      </c>
      <c r="Z1281" s="382" t="s">
        <v>924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8685</v>
      </c>
      <c r="B1282" s="373" t="s">
        <v>8686</v>
      </c>
      <c r="C1282" s="372" t="s">
        <v>8687</v>
      </c>
      <c r="D1282" s="374">
        <v>1101115642726</v>
      </c>
      <c r="E1282" s="372" t="s">
        <v>8688</v>
      </c>
      <c r="F1282" s="375" t="s">
        <v>3118</v>
      </c>
      <c r="G1282" s="375" t="s">
        <v>3118</v>
      </c>
      <c r="H1282" s="375" t="s">
        <v>858</v>
      </c>
      <c r="I1282" s="375" t="s">
        <v>859</v>
      </c>
      <c r="J1282" s="375">
        <v>20988.932769999999</v>
      </c>
      <c r="K1282" s="375">
        <v>2581.6991899999998</v>
      </c>
      <c r="L1282" s="375">
        <v>-6560.7495200000003</v>
      </c>
      <c r="M1282" s="375">
        <v>35063.390579999999</v>
      </c>
      <c r="N1282" s="372" t="s">
        <v>1023</v>
      </c>
      <c r="O1282" s="704">
        <v>1.6394359422953162</v>
      </c>
      <c r="P1282" s="375" t="s">
        <v>16112</v>
      </c>
      <c r="Q1282" s="375" t="s">
        <v>16113</v>
      </c>
      <c r="R1282" s="696">
        <v>20150428</v>
      </c>
      <c r="S1282" s="375" t="s">
        <v>8689</v>
      </c>
      <c r="T1282" s="697" t="s">
        <v>768</v>
      </c>
      <c r="U1282" s="372" t="s">
        <v>8690</v>
      </c>
      <c r="V1282" s="722">
        <v>0</v>
      </c>
      <c r="W1282" s="722">
        <v>0</v>
      </c>
      <c r="X1282" s="722">
        <v>0</v>
      </c>
      <c r="Y1282" s="722">
        <v>0</v>
      </c>
      <c r="Z1282" s="382" t="s">
        <v>924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8691</v>
      </c>
      <c r="B1283" s="373" t="s">
        <v>8692</v>
      </c>
      <c r="C1283" s="372" t="s">
        <v>8693</v>
      </c>
      <c r="D1283" s="374">
        <v>1351110081475</v>
      </c>
      <c r="E1283" s="372" t="s">
        <v>8694</v>
      </c>
      <c r="F1283" s="375" t="s">
        <v>1740</v>
      </c>
      <c r="G1283" s="375" t="s">
        <v>1740</v>
      </c>
      <c r="H1283" s="375" t="s">
        <v>3096</v>
      </c>
      <c r="I1283" s="375" t="s">
        <v>859</v>
      </c>
      <c r="J1283" s="375">
        <v>33603.578829999999</v>
      </c>
      <c r="K1283" s="375">
        <v>1084.1861200000001</v>
      </c>
      <c r="L1283" s="375">
        <v>-4132.5169299999998</v>
      </c>
      <c r="M1283" s="375">
        <v>16743.127990000001</v>
      </c>
      <c r="N1283" s="372" t="s">
        <v>1023</v>
      </c>
      <c r="O1283" s="704">
        <v>6.2488378513318192</v>
      </c>
      <c r="P1283" s="375" t="s">
        <v>16112</v>
      </c>
      <c r="Q1283" s="372" t="s">
        <v>16113</v>
      </c>
      <c r="R1283" s="696">
        <v>20150630</v>
      </c>
      <c r="S1283" s="372" t="s">
        <v>16004</v>
      </c>
      <c r="T1283" s="697" t="s">
        <v>768</v>
      </c>
      <c r="U1283" s="372" t="s">
        <v>8695</v>
      </c>
      <c r="V1283" s="722">
        <v>72.27</v>
      </c>
      <c r="W1283" s="722">
        <v>7.4</v>
      </c>
      <c r="X1283" s="722">
        <v>3.69</v>
      </c>
      <c r="Y1283" s="722" t="s">
        <v>770</v>
      </c>
      <c r="Z1283" s="382" t="s">
        <v>924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8696</v>
      </c>
      <c r="B1284" s="373" t="s">
        <v>8697</v>
      </c>
      <c r="C1284" s="372" t="s">
        <v>8698</v>
      </c>
      <c r="D1284" s="374">
        <v>1101111838212</v>
      </c>
      <c r="E1284" s="372" t="s">
        <v>8699</v>
      </c>
      <c r="F1284" s="375" t="s">
        <v>1003</v>
      </c>
      <c r="G1284" s="375" t="s">
        <v>1212</v>
      </c>
      <c r="H1284" s="375" t="s">
        <v>858</v>
      </c>
      <c r="I1284" s="375" t="s">
        <v>859</v>
      </c>
      <c r="J1284" s="375">
        <v>82878.237340000007</v>
      </c>
      <c r="K1284" s="375">
        <v>18103.123950000001</v>
      </c>
      <c r="L1284" s="375">
        <v>25877.224620000001</v>
      </c>
      <c r="M1284" s="375">
        <v>118646.85030000001</v>
      </c>
      <c r="N1284" s="372">
        <v>0.80400000000000005</v>
      </c>
      <c r="O1284" s="704">
        <v>0.79593525307005608</v>
      </c>
      <c r="P1284" s="375" t="s">
        <v>619</v>
      </c>
      <c r="Q1284" s="375" t="s">
        <v>619</v>
      </c>
      <c r="R1284" s="696">
        <v>20081219</v>
      </c>
      <c r="S1284" s="375" t="s">
        <v>8700</v>
      </c>
      <c r="T1284" s="697">
        <v>0.23100000000000001</v>
      </c>
      <c r="U1284" s="372" t="s">
        <v>8701</v>
      </c>
      <c r="V1284" s="722">
        <v>6.12</v>
      </c>
      <c r="W1284" s="722">
        <v>1.01</v>
      </c>
      <c r="X1284" s="722">
        <v>1.52</v>
      </c>
      <c r="Y1284" s="722">
        <v>6.9</v>
      </c>
      <c r="Z1284" s="382" t="s">
        <v>924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8702</v>
      </c>
      <c r="B1285" s="373" t="s">
        <v>8703</v>
      </c>
      <c r="C1285" s="372" t="s">
        <v>16080</v>
      </c>
      <c r="D1285" s="374">
        <v>1243110035801</v>
      </c>
      <c r="E1285" s="372" t="s">
        <v>8704</v>
      </c>
      <c r="F1285" s="375" t="s">
        <v>2411</v>
      </c>
      <c r="G1285" s="375" t="s">
        <v>2411</v>
      </c>
      <c r="H1285" s="375" t="s">
        <v>858</v>
      </c>
      <c r="I1285" s="375" t="s">
        <v>4410</v>
      </c>
      <c r="J1285" s="375">
        <v>0</v>
      </c>
      <c r="K1285" s="375">
        <v>0</v>
      </c>
      <c r="L1285" s="375">
        <v>0</v>
      </c>
      <c r="M1285" s="375">
        <v>0</v>
      </c>
      <c r="N1285" s="372" t="s">
        <v>1023</v>
      </c>
      <c r="O1285" s="704" t="s">
        <v>16298</v>
      </c>
      <c r="P1285" s="375" t="s">
        <v>619</v>
      </c>
      <c r="Q1285" s="372" t="s">
        <v>619</v>
      </c>
      <c r="R1285" s="696">
        <v>20170116</v>
      </c>
      <c r="S1285" s="372" t="e">
        <v>#N/A</v>
      </c>
      <c r="T1285" s="697" t="s">
        <v>768</v>
      </c>
      <c r="U1285" s="372" t="s">
        <v>8705</v>
      </c>
      <c r="V1285" s="722">
        <v>0</v>
      </c>
      <c r="W1285" s="722">
        <v>0</v>
      </c>
      <c r="X1285" s="722">
        <v>0</v>
      </c>
      <c r="Y1285" s="722">
        <v>0</v>
      </c>
      <c r="Z1285" s="382" t="s">
        <v>924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8706</v>
      </c>
      <c r="B1286" s="373" t="s">
        <v>8707</v>
      </c>
      <c r="C1286" s="372" t="s">
        <v>8708</v>
      </c>
      <c r="D1286" s="374">
        <v>1801110331502</v>
      </c>
      <c r="E1286" s="372" t="s">
        <v>8709</v>
      </c>
      <c r="F1286" s="375" t="s">
        <v>7041</v>
      </c>
      <c r="G1286" s="375" t="s">
        <v>8264</v>
      </c>
      <c r="H1286" s="375" t="s">
        <v>858</v>
      </c>
      <c r="I1286" s="375" t="s">
        <v>859</v>
      </c>
      <c r="J1286" s="375">
        <v>136447.78731000001</v>
      </c>
      <c r="K1286" s="375">
        <v>5166.3975899999996</v>
      </c>
      <c r="L1286" s="375">
        <v>717.07061999999996</v>
      </c>
      <c r="M1286" s="375">
        <v>118753.67131999999</v>
      </c>
      <c r="N1286" s="372">
        <v>0.53900000000000003</v>
      </c>
      <c r="O1286" s="704">
        <v>150.30847605825622</v>
      </c>
      <c r="P1286" s="375" t="s">
        <v>619</v>
      </c>
      <c r="Q1286" s="375" t="s">
        <v>619</v>
      </c>
      <c r="R1286" s="696">
        <v>20071102</v>
      </c>
      <c r="S1286" s="375" t="s">
        <v>8710</v>
      </c>
      <c r="T1286" s="697">
        <v>0.20900000000000002</v>
      </c>
      <c r="U1286" s="372" t="s">
        <v>8711</v>
      </c>
      <c r="V1286" s="722">
        <v>16.670000000000002</v>
      </c>
      <c r="W1286" s="722">
        <v>0.76</v>
      </c>
      <c r="X1286" s="722">
        <v>0.66</v>
      </c>
      <c r="Y1286" s="722">
        <v>68.41</v>
      </c>
      <c r="Z1286" s="382">
        <v>3.2008551923911721E-2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1307</v>
      </c>
      <c r="AF1286" s="372">
        <v>1529</v>
      </c>
      <c r="AG1286" s="372">
        <v>1697</v>
      </c>
      <c r="AH1286" s="372">
        <v>0</v>
      </c>
    </row>
    <row r="1287" spans="1:34">
      <c r="A1287" s="372" t="s">
        <v>8712</v>
      </c>
      <c r="B1287" s="373" t="s">
        <v>8713</v>
      </c>
      <c r="C1287" s="372" t="s">
        <v>8714</v>
      </c>
      <c r="D1287" s="374">
        <v>1101110504195</v>
      </c>
      <c r="E1287" s="372" t="s">
        <v>8715</v>
      </c>
      <c r="F1287" s="375" t="s">
        <v>8716</v>
      </c>
      <c r="G1287" s="375" t="s">
        <v>8716</v>
      </c>
      <c r="H1287" s="375" t="s">
        <v>809</v>
      </c>
      <c r="I1287" s="375" t="s">
        <v>751</v>
      </c>
      <c r="J1287" s="375">
        <v>323062.75842999999</v>
      </c>
      <c r="K1287" s="375">
        <v>18212.013630000001</v>
      </c>
      <c r="L1287" s="375">
        <v>28193.534589999999</v>
      </c>
      <c r="M1287" s="375">
        <v>413695.08448000002</v>
      </c>
      <c r="N1287" s="372">
        <v>0.84799999999999998</v>
      </c>
      <c r="O1287" s="704">
        <v>58.140963304530104</v>
      </c>
      <c r="P1287" s="375" t="s">
        <v>619</v>
      </c>
      <c r="Q1287" s="372" t="s">
        <v>619</v>
      </c>
      <c r="R1287" s="696">
        <v>19970422</v>
      </c>
      <c r="S1287" s="372" t="s">
        <v>8717</v>
      </c>
      <c r="T1287" s="697">
        <v>0.23100000000000001</v>
      </c>
      <c r="U1287" s="372" t="s">
        <v>8718</v>
      </c>
      <c r="V1287" s="722">
        <v>5.05</v>
      </c>
      <c r="W1287" s="722">
        <v>0.26</v>
      </c>
      <c r="X1287" s="722">
        <v>0.28999999999999998</v>
      </c>
      <c r="Y1287" s="722">
        <v>5.0599999999999996</v>
      </c>
      <c r="Z1287" s="382" t="s">
        <v>924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8719</v>
      </c>
      <c r="B1288" s="373" t="s">
        <v>8720</v>
      </c>
      <c r="C1288" s="372" t="s">
        <v>8721</v>
      </c>
      <c r="D1288" s="374">
        <v>1101110026420</v>
      </c>
      <c r="E1288" s="372" t="s">
        <v>8722</v>
      </c>
      <c r="F1288" s="372" t="s">
        <v>1320</v>
      </c>
      <c r="G1288" s="375" t="s">
        <v>16103</v>
      </c>
      <c r="H1288" s="375" t="s">
        <v>858</v>
      </c>
      <c r="I1288" s="375" t="s">
        <v>859</v>
      </c>
      <c r="J1288" s="375">
        <v>264635.74125000002</v>
      </c>
      <c r="K1288" s="375">
        <v>6124.25162</v>
      </c>
      <c r="L1288" s="375">
        <v>20460.413809999998</v>
      </c>
      <c r="M1288" s="375">
        <v>165551.81451</v>
      </c>
      <c r="N1288" s="372">
        <v>0.50600000000000001</v>
      </c>
      <c r="O1288" s="704">
        <v>95.663818600306683</v>
      </c>
      <c r="P1288" s="375" t="s">
        <v>619</v>
      </c>
      <c r="Q1288" s="372" t="s">
        <v>619</v>
      </c>
      <c r="R1288" s="696">
        <v>20000613</v>
      </c>
      <c r="S1288" s="372" t="s">
        <v>8723</v>
      </c>
      <c r="T1288" s="697">
        <v>0.23100000000000001</v>
      </c>
      <c r="U1288" s="372" t="s">
        <v>8724</v>
      </c>
      <c r="V1288" s="722">
        <v>10.64</v>
      </c>
      <c r="W1288" s="722">
        <v>0.54</v>
      </c>
      <c r="X1288" s="722">
        <v>0.35</v>
      </c>
      <c r="Y1288" s="722">
        <v>6.52</v>
      </c>
      <c r="Z1288" s="382" t="s">
        <v>924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8725</v>
      </c>
      <c r="B1289" s="373" t="s">
        <v>8726</v>
      </c>
      <c r="C1289" s="372" t="s">
        <v>8727</v>
      </c>
      <c r="D1289" s="374">
        <v>1101111515191</v>
      </c>
      <c r="E1289" s="372" t="s">
        <v>8728</v>
      </c>
      <c r="F1289" s="375" t="s">
        <v>2423</v>
      </c>
      <c r="G1289" s="375" t="s">
        <v>2424</v>
      </c>
      <c r="H1289" s="375" t="s">
        <v>858</v>
      </c>
      <c r="I1289" s="375" t="s">
        <v>859</v>
      </c>
      <c r="J1289" s="375">
        <v>116837.41190000001</v>
      </c>
      <c r="K1289" s="375">
        <v>5228.0748999999996</v>
      </c>
      <c r="L1289" s="375">
        <v>8235.4793399999999</v>
      </c>
      <c r="M1289" s="375">
        <v>149486.46377</v>
      </c>
      <c r="N1289" s="372">
        <v>0.97499999999999998</v>
      </c>
      <c r="O1289" s="704">
        <v>0.37695237878897286</v>
      </c>
      <c r="P1289" s="375" t="s">
        <v>619</v>
      </c>
      <c r="Q1289" s="372" t="s">
        <v>619</v>
      </c>
      <c r="R1289" s="696">
        <v>20050121</v>
      </c>
      <c r="S1289" s="372" t="s">
        <v>8729</v>
      </c>
      <c r="T1289" s="697">
        <v>0.20900000000000002</v>
      </c>
      <c r="U1289" s="372" t="s">
        <v>8730</v>
      </c>
      <c r="V1289" s="722">
        <v>7.71</v>
      </c>
      <c r="W1289" s="722">
        <v>0.43</v>
      </c>
      <c r="X1289" s="722">
        <v>0.55000000000000004</v>
      </c>
      <c r="Y1289" s="722">
        <v>10.84</v>
      </c>
      <c r="Z1289" s="382" t="s">
        <v>924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8731</v>
      </c>
      <c r="B1290" s="373" t="s">
        <v>8732</v>
      </c>
      <c r="C1290" s="372" t="s">
        <v>16005</v>
      </c>
      <c r="D1290" s="374">
        <v>1101114809963</v>
      </c>
      <c r="E1290" s="372" t="s">
        <v>16006</v>
      </c>
      <c r="F1290" s="375" t="s">
        <v>1959</v>
      </c>
      <c r="G1290" s="375" t="s">
        <v>1959</v>
      </c>
      <c r="H1290" s="375" t="s">
        <v>858</v>
      </c>
      <c r="I1290" s="375" t="s">
        <v>859</v>
      </c>
      <c r="J1290" s="375">
        <v>194688.58304999999</v>
      </c>
      <c r="K1290" s="375">
        <v>5121.9238699999996</v>
      </c>
      <c r="L1290" s="375">
        <v>5795.9881699999996</v>
      </c>
      <c r="M1290" s="375">
        <v>111140.86049000001</v>
      </c>
      <c r="N1290" s="372">
        <v>0.873</v>
      </c>
      <c r="O1290" s="704">
        <v>39.842155395284557</v>
      </c>
      <c r="P1290" s="375" t="s">
        <v>619</v>
      </c>
      <c r="Q1290" s="375" t="s">
        <v>619</v>
      </c>
      <c r="R1290" s="696">
        <v>20161201</v>
      </c>
      <c r="S1290" s="375" t="s">
        <v>8733</v>
      </c>
      <c r="T1290" s="697">
        <v>0.20900000000000002</v>
      </c>
      <c r="U1290" s="375" t="s">
        <v>8734</v>
      </c>
      <c r="V1290" s="722">
        <v>5.77</v>
      </c>
      <c r="W1290" s="722">
        <v>0.59</v>
      </c>
      <c r="X1290" s="722">
        <v>0.34</v>
      </c>
      <c r="Y1290" s="722">
        <v>13.1</v>
      </c>
      <c r="Z1290" s="382" t="s">
        <v>924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8735</v>
      </c>
      <c r="B1291" s="373" t="s">
        <v>8736</v>
      </c>
      <c r="C1291" s="372" t="s">
        <v>8737</v>
      </c>
      <c r="D1291" s="374">
        <v>1411110025962</v>
      </c>
      <c r="E1291" s="372" t="s">
        <v>8738</v>
      </c>
      <c r="F1291" s="375" t="s">
        <v>3118</v>
      </c>
      <c r="G1291" s="375" t="s">
        <v>3118</v>
      </c>
      <c r="H1291" s="375" t="s">
        <v>858</v>
      </c>
      <c r="I1291" s="375" t="s">
        <v>859</v>
      </c>
      <c r="J1291" s="375">
        <v>33113.329879999998</v>
      </c>
      <c r="K1291" s="375">
        <v>2259.40497</v>
      </c>
      <c r="L1291" s="375">
        <v>508.39334000000002</v>
      </c>
      <c r="M1291" s="375">
        <v>40410.069499999998</v>
      </c>
      <c r="N1291" s="372">
        <v>0.21</v>
      </c>
      <c r="O1291" s="704">
        <v>18.482131618588632</v>
      </c>
      <c r="P1291" s="375" t="s">
        <v>619</v>
      </c>
      <c r="Q1291" s="372" t="s">
        <v>619</v>
      </c>
      <c r="R1291" s="696">
        <v>20201029</v>
      </c>
      <c r="S1291" s="375" t="s">
        <v>8739</v>
      </c>
      <c r="T1291" s="697">
        <v>0.20900000000000002</v>
      </c>
      <c r="U1291" s="372" t="s">
        <v>8740</v>
      </c>
      <c r="V1291" s="722">
        <v>22.53</v>
      </c>
      <c r="W1291" s="722">
        <v>2.02</v>
      </c>
      <c r="X1291" s="722">
        <v>2.5499999999999998</v>
      </c>
      <c r="Y1291" s="722">
        <v>65.53</v>
      </c>
      <c r="Z1291" s="382" t="s">
        <v>924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8741</v>
      </c>
      <c r="B1292" s="373" t="s">
        <v>8742</v>
      </c>
      <c r="C1292" s="372" t="s">
        <v>8743</v>
      </c>
      <c r="D1292" s="374">
        <v>1101110017867</v>
      </c>
      <c r="E1292" s="372" t="s">
        <v>8744</v>
      </c>
      <c r="F1292" s="375" t="s">
        <v>890</v>
      </c>
      <c r="G1292" s="375" t="s">
        <v>891</v>
      </c>
      <c r="H1292" s="375" t="s">
        <v>852</v>
      </c>
      <c r="I1292" s="375" t="s">
        <v>751</v>
      </c>
      <c r="J1292" s="375">
        <v>623311.81799999997</v>
      </c>
      <c r="K1292" s="375">
        <v>5273.402</v>
      </c>
      <c r="L1292" s="375">
        <v>5386.8540000000003</v>
      </c>
      <c r="M1292" s="375">
        <v>680007.69499999995</v>
      </c>
      <c r="N1292" s="372">
        <v>0.64900000000000002</v>
      </c>
      <c r="O1292" s="704">
        <v>87.925373017473845</v>
      </c>
      <c r="P1292" s="375" t="s">
        <v>619</v>
      </c>
      <c r="Q1292" s="375" t="s">
        <v>619</v>
      </c>
      <c r="R1292" s="696">
        <v>19720517</v>
      </c>
      <c r="S1292" s="375" t="s">
        <v>3260</v>
      </c>
      <c r="T1292" s="697">
        <v>0.20900000000000002</v>
      </c>
      <c r="U1292" s="372" t="s">
        <v>8745</v>
      </c>
      <c r="V1292" s="722">
        <v>10.01</v>
      </c>
      <c r="W1292" s="722">
        <v>0.17</v>
      </c>
      <c r="X1292" s="722">
        <v>0.16</v>
      </c>
      <c r="Y1292" s="722">
        <v>23.58</v>
      </c>
      <c r="Z1292" s="382">
        <v>0.27850919905608129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6295</v>
      </c>
      <c r="AF1292" s="372">
        <v>11510</v>
      </c>
      <c r="AG1292" s="372">
        <v>11840</v>
      </c>
      <c r="AH1292" s="372">
        <v>0</v>
      </c>
    </row>
    <row r="1293" spans="1:34">
      <c r="A1293" s="372" t="s">
        <v>8746</v>
      </c>
      <c r="B1293" s="373" t="s">
        <v>8747</v>
      </c>
      <c r="C1293" s="372" t="s">
        <v>16081</v>
      </c>
      <c r="D1293" s="374">
        <v>1601110207244</v>
      </c>
      <c r="E1293" s="372" t="s">
        <v>16082</v>
      </c>
      <c r="F1293" s="375" t="s">
        <v>1273</v>
      </c>
      <c r="G1293" s="375" t="s">
        <v>1449</v>
      </c>
      <c r="H1293" s="375" t="s">
        <v>858</v>
      </c>
      <c r="I1293" s="375" t="s">
        <v>859</v>
      </c>
      <c r="J1293" s="375">
        <v>36442.452770000004</v>
      </c>
      <c r="K1293" s="375">
        <v>-6700.9444899999999</v>
      </c>
      <c r="L1293" s="375">
        <v>-24033.45969</v>
      </c>
      <c r="M1293" s="375">
        <v>70565.33584</v>
      </c>
      <c r="N1293" s="372">
        <v>0.84299999999999997</v>
      </c>
      <c r="O1293" s="704">
        <v>14.941070354044687</v>
      </c>
      <c r="P1293" s="375" t="s">
        <v>619</v>
      </c>
      <c r="Q1293" s="372" t="s">
        <v>619</v>
      </c>
      <c r="R1293" s="696">
        <v>20140711</v>
      </c>
      <c r="S1293" s="372" t="s">
        <v>8748</v>
      </c>
      <c r="T1293" s="697" t="s">
        <v>768</v>
      </c>
      <c r="U1293" s="372" t="s">
        <v>8749</v>
      </c>
      <c r="V1293" s="722" t="s">
        <v>770</v>
      </c>
      <c r="W1293" s="722">
        <v>1.97</v>
      </c>
      <c r="X1293" s="722">
        <v>3.58</v>
      </c>
      <c r="Y1293" s="722" t="s">
        <v>770</v>
      </c>
      <c r="Z1293" s="382" t="s">
        <v>924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8750</v>
      </c>
      <c r="B1294" s="373" t="s">
        <v>8751</v>
      </c>
      <c r="C1294" s="372" t="s">
        <v>8752</v>
      </c>
      <c r="D1294" s="374">
        <v>1101110510415</v>
      </c>
      <c r="E1294" s="372" t="s">
        <v>8753</v>
      </c>
      <c r="F1294" s="375" t="s">
        <v>1300</v>
      </c>
      <c r="G1294" s="375" t="s">
        <v>1300</v>
      </c>
      <c r="H1294" s="375" t="s">
        <v>858</v>
      </c>
      <c r="I1294" s="375" t="s">
        <v>859</v>
      </c>
      <c r="J1294" s="375">
        <v>91241.624790000002</v>
      </c>
      <c r="K1294" s="375">
        <v>8434.4883699999991</v>
      </c>
      <c r="L1294" s="375">
        <v>12493.82107</v>
      </c>
      <c r="M1294" s="375">
        <v>171822.58872999999</v>
      </c>
      <c r="N1294" s="372">
        <v>0.6</v>
      </c>
      <c r="O1294" s="704">
        <v>9.1455903494247934</v>
      </c>
      <c r="P1294" s="375" t="s">
        <v>619</v>
      </c>
      <c r="Q1294" s="375" t="s">
        <v>619</v>
      </c>
      <c r="R1294" s="696">
        <v>20101220</v>
      </c>
      <c r="S1294" s="375" t="s">
        <v>8754</v>
      </c>
      <c r="T1294" s="697">
        <v>0.20900000000000002</v>
      </c>
      <c r="U1294" s="372" t="s">
        <v>8755</v>
      </c>
      <c r="V1294" s="722">
        <v>0</v>
      </c>
      <c r="W1294" s="722">
        <v>0</v>
      </c>
      <c r="X1294" s="722">
        <v>0</v>
      </c>
      <c r="Y1294" s="722">
        <v>0</v>
      </c>
      <c r="Z1294" s="382" t="s">
        <v>924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8756</v>
      </c>
      <c r="B1295" s="373" t="s">
        <v>8757</v>
      </c>
      <c r="C1295" s="372" t="s">
        <v>16121</v>
      </c>
      <c r="D1295" s="374">
        <v>1101111931230</v>
      </c>
      <c r="E1295" s="372" t="s">
        <v>16083</v>
      </c>
      <c r="F1295" s="375" t="s">
        <v>3448</v>
      </c>
      <c r="G1295" s="375" t="s">
        <v>3448</v>
      </c>
      <c r="H1295" s="375" t="s">
        <v>3096</v>
      </c>
      <c r="I1295" s="375" t="s">
        <v>859</v>
      </c>
      <c r="J1295" s="375">
        <v>69645.09822</v>
      </c>
      <c r="K1295" s="375">
        <v>-23932.83021</v>
      </c>
      <c r="L1295" s="375">
        <v>-20915.273789999999</v>
      </c>
      <c r="M1295" s="375">
        <v>219773.79646000001</v>
      </c>
      <c r="N1295" s="372">
        <v>1.0760000000000001</v>
      </c>
      <c r="O1295" s="704">
        <v>14.924379583744329</v>
      </c>
      <c r="P1295" s="375" t="s">
        <v>619</v>
      </c>
      <c r="Q1295" s="375" t="s">
        <v>619</v>
      </c>
      <c r="R1295" s="696">
        <v>20020820</v>
      </c>
      <c r="S1295" s="375" t="s">
        <v>8758</v>
      </c>
      <c r="T1295" s="697" t="s">
        <v>768</v>
      </c>
      <c r="U1295" s="372" t="s">
        <v>8759</v>
      </c>
      <c r="V1295" s="722" t="s">
        <v>770</v>
      </c>
      <c r="W1295" s="722">
        <v>0.81</v>
      </c>
      <c r="X1295" s="722">
        <v>2.33</v>
      </c>
      <c r="Y1295" s="722" t="s">
        <v>770</v>
      </c>
      <c r="Z1295" s="382" t="s">
        <v>924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8760</v>
      </c>
      <c r="B1296" s="373" t="s">
        <v>8761</v>
      </c>
      <c r="C1296" s="372" t="s">
        <v>8762</v>
      </c>
      <c r="D1296" s="374">
        <v>1101111168502</v>
      </c>
      <c r="E1296" s="372" t="s">
        <v>8763</v>
      </c>
      <c r="F1296" s="375" t="s">
        <v>2051</v>
      </c>
      <c r="G1296" s="375" t="s">
        <v>2052</v>
      </c>
      <c r="H1296" s="375" t="s">
        <v>858</v>
      </c>
      <c r="I1296" s="375" t="s">
        <v>859</v>
      </c>
      <c r="J1296" s="375">
        <v>60444.243990000003</v>
      </c>
      <c r="K1296" s="375">
        <v>2251.6698700000002</v>
      </c>
      <c r="L1296" s="375">
        <v>3402.3346900000001</v>
      </c>
      <c r="M1296" s="375">
        <v>124995.15614000001</v>
      </c>
      <c r="N1296" s="372">
        <v>0.81699999999999995</v>
      </c>
      <c r="O1296" s="704">
        <v>0.3270501495746016</v>
      </c>
      <c r="P1296" s="375" t="s">
        <v>619</v>
      </c>
      <c r="Q1296" s="375" t="s">
        <v>619</v>
      </c>
      <c r="R1296" s="696">
        <v>20130701</v>
      </c>
      <c r="S1296" s="375" t="s">
        <v>8764</v>
      </c>
      <c r="T1296" s="697">
        <v>0.20900000000000002</v>
      </c>
      <c r="U1296" s="372" t="s">
        <v>8765</v>
      </c>
      <c r="V1296" s="722">
        <v>23.36</v>
      </c>
      <c r="W1296" s="722">
        <v>0.76</v>
      </c>
      <c r="X1296" s="722">
        <v>1.51</v>
      </c>
      <c r="Y1296" s="722">
        <v>32.4</v>
      </c>
      <c r="Z1296" s="382" t="s">
        <v>924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8766</v>
      </c>
      <c r="B1297" s="373" t="s">
        <v>8767</v>
      </c>
      <c r="C1297" s="372" t="s">
        <v>8768</v>
      </c>
      <c r="D1297" s="374">
        <v>1101110008882</v>
      </c>
      <c r="E1297" s="372" t="s">
        <v>8769</v>
      </c>
      <c r="F1297" s="375" t="s">
        <v>6257</v>
      </c>
      <c r="G1297" s="375" t="s">
        <v>6257</v>
      </c>
      <c r="H1297" s="375" t="s">
        <v>3954</v>
      </c>
      <c r="I1297" s="375" t="s">
        <v>751</v>
      </c>
      <c r="J1297" s="375">
        <v>302006.69441</v>
      </c>
      <c r="K1297" s="375">
        <v>6694.1737700000003</v>
      </c>
      <c r="L1297" s="375">
        <v>10025.55242</v>
      </c>
      <c r="M1297" s="375">
        <v>297193.85823000001</v>
      </c>
      <c r="N1297" s="372">
        <v>0.64700000000000002</v>
      </c>
      <c r="O1297" s="704">
        <v>0.80861231408750045</v>
      </c>
      <c r="P1297" s="375" t="s">
        <v>619</v>
      </c>
      <c r="Q1297" s="372" t="s">
        <v>619</v>
      </c>
      <c r="R1297" s="696">
        <v>19740628</v>
      </c>
      <c r="S1297" s="372" t="s">
        <v>8770</v>
      </c>
      <c r="T1297" s="697">
        <v>0.20900000000000002</v>
      </c>
      <c r="U1297" s="372" t="s">
        <v>8771</v>
      </c>
      <c r="V1297" s="722">
        <v>7.79</v>
      </c>
      <c r="W1297" s="722">
        <v>0.33</v>
      </c>
      <c r="X1297" s="722">
        <v>0.34</v>
      </c>
      <c r="Y1297" s="722">
        <v>11.02</v>
      </c>
      <c r="Z1297" s="382" t="s">
        <v>924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8772</v>
      </c>
      <c r="B1298" s="373" t="s">
        <v>8773</v>
      </c>
      <c r="C1298" s="372" t="s">
        <v>8774</v>
      </c>
      <c r="D1298" s="374">
        <v>1101110026834</v>
      </c>
      <c r="E1298" s="372" t="s">
        <v>8775</v>
      </c>
      <c r="F1298" s="372" t="s">
        <v>1259</v>
      </c>
      <c r="G1298" s="375" t="s">
        <v>1260</v>
      </c>
      <c r="H1298" s="375" t="s">
        <v>1261</v>
      </c>
      <c r="I1298" s="375" t="s">
        <v>751</v>
      </c>
      <c r="J1298" s="375">
        <v>0</v>
      </c>
      <c r="K1298" s="375">
        <v>0</v>
      </c>
      <c r="L1298" s="375">
        <v>0</v>
      </c>
      <c r="M1298" s="375">
        <v>0</v>
      </c>
      <c r="N1298" s="372">
        <v>0.74099999999999999</v>
      </c>
      <c r="O1298" s="704" t="s">
        <v>16298</v>
      </c>
      <c r="P1298" s="375" t="s">
        <v>619</v>
      </c>
      <c r="Q1298" s="372" t="s">
        <v>619</v>
      </c>
      <c r="R1298" s="696">
        <v>19880304</v>
      </c>
      <c r="S1298" s="372" t="s">
        <v>3203</v>
      </c>
      <c r="T1298" s="697" t="s">
        <v>768</v>
      </c>
      <c r="U1298" s="372" t="s">
        <v>8776</v>
      </c>
      <c r="V1298" s="722">
        <v>0</v>
      </c>
      <c r="W1298" s="722">
        <v>0</v>
      </c>
      <c r="X1298" s="722">
        <v>0</v>
      </c>
      <c r="Y1298" s="722">
        <v>0</v>
      </c>
      <c r="Z1298" s="382" t="s">
        <v>924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8777</v>
      </c>
      <c r="B1299" s="373" t="s">
        <v>8778</v>
      </c>
      <c r="C1299" s="372" t="s">
        <v>8779</v>
      </c>
      <c r="D1299" s="374">
        <v>1201110097940</v>
      </c>
      <c r="E1299" s="372" t="s">
        <v>8780</v>
      </c>
      <c r="F1299" s="375" t="s">
        <v>2508</v>
      </c>
      <c r="G1299" s="375" t="s">
        <v>2508</v>
      </c>
      <c r="H1299" s="375" t="s">
        <v>858</v>
      </c>
      <c r="I1299" s="375" t="s">
        <v>859</v>
      </c>
      <c r="J1299" s="375">
        <v>134239.26868000001</v>
      </c>
      <c r="K1299" s="375">
        <v>19573.239430000001</v>
      </c>
      <c r="L1299" s="375">
        <v>8720.0508300000001</v>
      </c>
      <c r="M1299" s="375">
        <v>235630.33299</v>
      </c>
      <c r="N1299" s="372">
        <v>0.58299999999999996</v>
      </c>
      <c r="O1299" s="704">
        <v>16.747799653737559</v>
      </c>
      <c r="P1299" s="375" t="s">
        <v>619</v>
      </c>
      <c r="Q1299" s="372" t="s">
        <v>619</v>
      </c>
      <c r="R1299" s="696">
        <v>20010803</v>
      </c>
      <c r="S1299" s="375" t="s">
        <v>8781</v>
      </c>
      <c r="T1299" s="697">
        <v>0.20900000000000002</v>
      </c>
      <c r="U1299" s="375" t="s">
        <v>8782</v>
      </c>
      <c r="V1299" s="722">
        <v>7.23</v>
      </c>
      <c r="W1299" s="722">
        <v>0.73</v>
      </c>
      <c r="X1299" s="722">
        <v>1.29</v>
      </c>
      <c r="Y1299" s="722">
        <v>21.85</v>
      </c>
      <c r="Z1299" s="382" t="s">
        <v>924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8783</v>
      </c>
      <c r="B1300" s="373" t="s">
        <v>8784</v>
      </c>
      <c r="C1300" s="372" t="s">
        <v>8785</v>
      </c>
      <c r="D1300" s="374">
        <v>1801110038447</v>
      </c>
      <c r="E1300" s="372" t="s">
        <v>8786</v>
      </c>
      <c r="F1300" s="372" t="s">
        <v>2411</v>
      </c>
      <c r="G1300" s="375" t="s">
        <v>2411</v>
      </c>
      <c r="H1300" s="375" t="s">
        <v>858</v>
      </c>
      <c r="I1300" s="375" t="s">
        <v>859</v>
      </c>
      <c r="J1300" s="375">
        <v>194393.51042000001</v>
      </c>
      <c r="K1300" s="375">
        <v>23193.199509999999</v>
      </c>
      <c r="L1300" s="375">
        <v>20503.070800000001</v>
      </c>
      <c r="M1300" s="375">
        <v>103361.41477</v>
      </c>
      <c r="N1300" s="372">
        <v>0.71799999999999997</v>
      </c>
      <c r="O1300" s="704">
        <v>31.340042395574258</v>
      </c>
      <c r="P1300" s="375" t="s">
        <v>619</v>
      </c>
      <c r="Q1300" s="372" t="s">
        <v>619</v>
      </c>
      <c r="R1300" s="696">
        <v>20011221</v>
      </c>
      <c r="S1300" s="372" t="s">
        <v>8787</v>
      </c>
      <c r="T1300" s="697">
        <v>0.23100000000000001</v>
      </c>
      <c r="U1300" s="372" t="s">
        <v>8788</v>
      </c>
      <c r="V1300" s="722">
        <v>7.15</v>
      </c>
      <c r="W1300" s="722">
        <v>1.69</v>
      </c>
      <c r="X1300" s="722">
        <v>0.91</v>
      </c>
      <c r="Y1300" s="722">
        <v>9.6</v>
      </c>
      <c r="Z1300" s="382">
        <v>0.11843703554343921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2072</v>
      </c>
      <c r="AF1300" s="372">
        <v>2252</v>
      </c>
      <c r="AG1300" s="372">
        <v>2465</v>
      </c>
      <c r="AH1300" s="372">
        <v>0</v>
      </c>
    </row>
    <row r="1301" spans="1:34">
      <c r="A1301" s="372" t="s">
        <v>8789</v>
      </c>
      <c r="B1301" s="373" t="s">
        <v>8790</v>
      </c>
      <c r="C1301" s="372" t="s">
        <v>8791</v>
      </c>
      <c r="D1301" s="374">
        <v>1717110071503</v>
      </c>
      <c r="E1301" s="372" t="s">
        <v>8792</v>
      </c>
      <c r="F1301" s="375" t="s">
        <v>1273</v>
      </c>
      <c r="G1301" s="375" t="s">
        <v>1449</v>
      </c>
      <c r="H1301" s="375" t="s">
        <v>858</v>
      </c>
      <c r="I1301" s="375" t="s">
        <v>859</v>
      </c>
      <c r="J1301" s="375">
        <v>123629.64062999999</v>
      </c>
      <c r="K1301" s="375">
        <v>15098.302729999999</v>
      </c>
      <c r="L1301" s="375">
        <v>2143.8312999999998</v>
      </c>
      <c r="M1301" s="375">
        <v>90639.291530000002</v>
      </c>
      <c r="N1301" s="372">
        <v>0.99299999999999999</v>
      </c>
      <c r="O1301" s="704">
        <v>38.992486219446818</v>
      </c>
      <c r="P1301" s="375" t="s">
        <v>619</v>
      </c>
      <c r="Q1301" s="375" t="s">
        <v>619</v>
      </c>
      <c r="R1301" s="696">
        <v>20200731</v>
      </c>
      <c r="S1301" s="375" t="s">
        <v>8793</v>
      </c>
      <c r="T1301" s="697">
        <v>0.20900000000000002</v>
      </c>
      <c r="U1301" s="372" t="s">
        <v>8794</v>
      </c>
      <c r="V1301" s="722">
        <v>6.73</v>
      </c>
      <c r="W1301" s="722">
        <v>1.2</v>
      </c>
      <c r="X1301" s="722">
        <v>0.92</v>
      </c>
      <c r="Y1301" s="722">
        <v>16.739999999999998</v>
      </c>
      <c r="Z1301" s="382" t="s">
        <v>924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8795</v>
      </c>
      <c r="B1302" s="373" t="s">
        <v>8796</v>
      </c>
      <c r="C1302" s="372" t="s">
        <v>8797</v>
      </c>
      <c r="D1302" s="374">
        <v>1301110006296</v>
      </c>
      <c r="E1302" s="372" t="s">
        <v>8798</v>
      </c>
      <c r="F1302" s="375" t="s">
        <v>2004</v>
      </c>
      <c r="G1302" s="375" t="s">
        <v>2004</v>
      </c>
      <c r="H1302" s="375" t="s">
        <v>789</v>
      </c>
      <c r="I1302" s="375" t="s">
        <v>751</v>
      </c>
      <c r="J1302" s="375">
        <v>645761.70495000004</v>
      </c>
      <c r="K1302" s="375">
        <v>29892.164529999998</v>
      </c>
      <c r="L1302" s="375">
        <v>19534.06898</v>
      </c>
      <c r="M1302" s="375">
        <v>236314.05392000001</v>
      </c>
      <c r="N1302" s="372">
        <v>0.94299999999999995</v>
      </c>
      <c r="O1302" s="704">
        <v>297.29690809203413</v>
      </c>
      <c r="P1302" s="375" t="s">
        <v>619</v>
      </c>
      <c r="Q1302" s="372" t="s">
        <v>619</v>
      </c>
      <c r="R1302" s="696">
        <v>19970623</v>
      </c>
      <c r="S1302" s="372" t="s">
        <v>8799</v>
      </c>
      <c r="T1302" s="697">
        <v>0.20900000000000002</v>
      </c>
      <c r="U1302" s="372" t="s">
        <v>8800</v>
      </c>
      <c r="V1302" s="722">
        <v>5.31</v>
      </c>
      <c r="W1302" s="722">
        <v>0.43</v>
      </c>
      <c r="X1302" s="722">
        <v>0.15</v>
      </c>
      <c r="Y1302" s="722">
        <v>7.48</v>
      </c>
      <c r="Z1302" s="382" t="s">
        <v>924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8801</v>
      </c>
      <c r="B1303" s="373" t="s">
        <v>8802</v>
      </c>
      <c r="C1303" s="372" t="s">
        <v>8803</v>
      </c>
      <c r="D1303" s="374">
        <v>1648110065785</v>
      </c>
      <c r="E1303" s="372" t="s">
        <v>8804</v>
      </c>
      <c r="F1303" s="375" t="s">
        <v>2423</v>
      </c>
      <c r="G1303" s="375" t="s">
        <v>6071</v>
      </c>
      <c r="H1303" s="375" t="s">
        <v>858</v>
      </c>
      <c r="I1303" s="375" t="s">
        <v>859</v>
      </c>
      <c r="J1303" s="375">
        <v>0</v>
      </c>
      <c r="K1303" s="375">
        <v>0</v>
      </c>
      <c r="L1303" s="375">
        <v>0</v>
      </c>
      <c r="M1303" s="375">
        <v>96920.945600000006</v>
      </c>
      <c r="N1303" s="372">
        <v>1.254</v>
      </c>
      <c r="O1303" s="704">
        <v>22.656523651107491</v>
      </c>
      <c r="P1303" s="375" t="s">
        <v>619</v>
      </c>
      <c r="Q1303" s="375" t="s">
        <v>619</v>
      </c>
      <c r="R1303" s="696">
        <v>20211021</v>
      </c>
      <c r="S1303" s="375" t="s">
        <v>8805</v>
      </c>
      <c r="T1303" s="697" t="s">
        <v>768</v>
      </c>
      <c r="U1303" s="372" t="s">
        <v>8806</v>
      </c>
      <c r="V1303" s="722">
        <v>0</v>
      </c>
      <c r="W1303" s="722">
        <v>1.27</v>
      </c>
      <c r="X1303" s="722">
        <v>0</v>
      </c>
      <c r="Y1303" s="722">
        <v>0</v>
      </c>
      <c r="Z1303" s="382" t="s">
        <v>924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8807</v>
      </c>
      <c r="B1304" s="373" t="s">
        <v>8808</v>
      </c>
      <c r="C1304" s="372" t="s">
        <v>8809</v>
      </c>
      <c r="D1304" s="374">
        <v>1801110021509</v>
      </c>
      <c r="E1304" s="372" t="s">
        <v>8810</v>
      </c>
      <c r="F1304" s="375" t="s">
        <v>8811</v>
      </c>
      <c r="G1304" s="375" t="s">
        <v>8812</v>
      </c>
      <c r="H1304" s="375" t="s">
        <v>858</v>
      </c>
      <c r="I1304" s="375" t="s">
        <v>859</v>
      </c>
      <c r="J1304" s="375">
        <v>375663.08958999999</v>
      </c>
      <c r="K1304" s="375">
        <v>19533.29824</v>
      </c>
      <c r="L1304" s="375">
        <v>21060.749830000001</v>
      </c>
      <c r="M1304" s="375">
        <v>162172.32634</v>
      </c>
      <c r="N1304" s="372">
        <v>1.266</v>
      </c>
      <c r="O1304" s="704">
        <v>86.958605717555756</v>
      </c>
      <c r="P1304" s="375" t="s">
        <v>619</v>
      </c>
      <c r="Q1304" s="372" t="s">
        <v>619</v>
      </c>
      <c r="R1304" s="696">
        <v>20011221</v>
      </c>
      <c r="S1304" s="372" t="s">
        <v>8813</v>
      </c>
      <c r="T1304" s="697">
        <v>0.23100000000000001</v>
      </c>
      <c r="U1304" s="372" t="s">
        <v>8814</v>
      </c>
      <c r="V1304" s="722">
        <v>4.5</v>
      </c>
      <c r="W1304" s="722">
        <v>0.68</v>
      </c>
      <c r="X1304" s="722">
        <v>0.31</v>
      </c>
      <c r="Y1304" s="722">
        <v>8.75</v>
      </c>
      <c r="Z1304" s="382" t="s">
        <v>924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8815</v>
      </c>
      <c r="B1305" s="373" t="s">
        <v>8816</v>
      </c>
      <c r="C1305" s="372" t="s">
        <v>8817</v>
      </c>
      <c r="D1305" s="374">
        <v>1348110072786</v>
      </c>
      <c r="E1305" s="372" t="s">
        <v>8818</v>
      </c>
      <c r="F1305" s="375" t="s">
        <v>1182</v>
      </c>
      <c r="G1305" s="375" t="s">
        <v>1183</v>
      </c>
      <c r="H1305" s="375" t="s">
        <v>858</v>
      </c>
      <c r="I1305" s="375" t="s">
        <v>859</v>
      </c>
      <c r="J1305" s="375">
        <v>138837.54962999999</v>
      </c>
      <c r="K1305" s="375">
        <v>4528.4600799999998</v>
      </c>
      <c r="L1305" s="375">
        <v>4705.0545300000003</v>
      </c>
      <c r="M1305" s="375">
        <v>116314.06191999999</v>
      </c>
      <c r="N1305" s="372">
        <v>0.80900000000000005</v>
      </c>
      <c r="O1305" s="704">
        <v>19.935053681469292</v>
      </c>
      <c r="P1305" s="375" t="s">
        <v>619</v>
      </c>
      <c r="Q1305" s="372" t="s">
        <v>619</v>
      </c>
      <c r="R1305" s="696">
        <v>20180125</v>
      </c>
      <c r="S1305" s="372" t="s">
        <v>8819</v>
      </c>
      <c r="T1305" s="697">
        <v>0.20900000000000002</v>
      </c>
      <c r="U1305" s="372" t="s">
        <v>8820</v>
      </c>
      <c r="V1305" s="722">
        <v>20.260000000000002</v>
      </c>
      <c r="W1305" s="722">
        <v>1.0900000000000001</v>
      </c>
      <c r="X1305" s="722">
        <v>0.93</v>
      </c>
      <c r="Y1305" s="722">
        <v>29.2</v>
      </c>
      <c r="Z1305" s="382" t="s">
        <v>924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8821</v>
      </c>
      <c r="B1306" s="373" t="s">
        <v>8822</v>
      </c>
      <c r="C1306" s="372" t="s">
        <v>8823</v>
      </c>
      <c r="D1306" s="374">
        <v>1345110000600</v>
      </c>
      <c r="E1306" s="372" t="s">
        <v>8824</v>
      </c>
      <c r="F1306" s="375" t="s">
        <v>8669</v>
      </c>
      <c r="G1306" s="375" t="s">
        <v>8825</v>
      </c>
      <c r="H1306" s="375" t="s">
        <v>858</v>
      </c>
      <c r="I1306" s="375" t="s">
        <v>859</v>
      </c>
      <c r="J1306" s="375">
        <v>88120.385829999999</v>
      </c>
      <c r="K1306" s="375">
        <v>3908.4517599999999</v>
      </c>
      <c r="L1306" s="375">
        <v>2848.3123599999999</v>
      </c>
      <c r="M1306" s="375">
        <v>146352.44919000001</v>
      </c>
      <c r="N1306" s="372">
        <v>0.83199999999999996</v>
      </c>
      <c r="O1306" s="704">
        <v>24.245853068971069</v>
      </c>
      <c r="P1306" s="375" t="s">
        <v>619</v>
      </c>
      <c r="Q1306" s="372" t="s">
        <v>619</v>
      </c>
      <c r="R1306" s="696">
        <v>19971110</v>
      </c>
      <c r="S1306" s="375" t="s">
        <v>8826</v>
      </c>
      <c r="T1306" s="697">
        <v>0.20900000000000002</v>
      </c>
      <c r="U1306" s="372" t="s">
        <v>8827</v>
      </c>
      <c r="V1306" s="722">
        <v>17.579999999999998</v>
      </c>
      <c r="W1306" s="722">
        <v>0.61</v>
      </c>
      <c r="X1306" s="722">
        <v>1.07</v>
      </c>
      <c r="Y1306" s="722">
        <v>22.23</v>
      </c>
      <c r="Z1306" s="382" t="s">
        <v>924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8828</v>
      </c>
      <c r="B1307" s="373" t="s">
        <v>8829</v>
      </c>
      <c r="C1307" s="372" t="s">
        <v>8830</v>
      </c>
      <c r="D1307" s="374">
        <v>1101111673585</v>
      </c>
      <c r="E1307" s="372" t="s">
        <v>8831</v>
      </c>
      <c r="F1307" s="375" t="s">
        <v>1793</v>
      </c>
      <c r="G1307" s="375" t="s">
        <v>2794</v>
      </c>
      <c r="H1307" s="375" t="s">
        <v>858</v>
      </c>
      <c r="I1307" s="375" t="s">
        <v>859</v>
      </c>
      <c r="J1307" s="375">
        <v>463156.02792999998</v>
      </c>
      <c r="K1307" s="375">
        <v>-2018.7121</v>
      </c>
      <c r="L1307" s="375">
        <v>-4298.9299199999996</v>
      </c>
      <c r="M1307" s="375">
        <v>149410.77421999999</v>
      </c>
      <c r="N1307" s="372">
        <v>0.81100000000000005</v>
      </c>
      <c r="O1307" s="704">
        <v>71.936317601878812</v>
      </c>
      <c r="P1307" s="375" t="s">
        <v>619</v>
      </c>
      <c r="Q1307" s="375" t="s">
        <v>619</v>
      </c>
      <c r="R1307" s="696">
        <v>20011030</v>
      </c>
      <c r="S1307" s="375" t="s">
        <v>8832</v>
      </c>
      <c r="T1307" s="697" t="s">
        <v>768</v>
      </c>
      <c r="U1307" s="375" t="s">
        <v>8833</v>
      </c>
      <c r="V1307" s="722" t="s">
        <v>770</v>
      </c>
      <c r="W1307" s="722">
        <v>0.47</v>
      </c>
      <c r="X1307" s="722">
        <v>0.16</v>
      </c>
      <c r="Y1307" s="722" t="s">
        <v>770</v>
      </c>
      <c r="Z1307" s="382" t="s">
        <v>924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8834</v>
      </c>
      <c r="B1308" s="373" t="s">
        <v>8835</v>
      </c>
      <c r="C1308" s="372" t="s">
        <v>8836</v>
      </c>
      <c r="D1308" s="374">
        <v>1101110320955</v>
      </c>
      <c r="E1308" s="372" t="s">
        <v>8837</v>
      </c>
      <c r="F1308" s="375" t="s">
        <v>1273</v>
      </c>
      <c r="G1308" s="375" t="s">
        <v>1273</v>
      </c>
      <c r="H1308" s="375" t="s">
        <v>858</v>
      </c>
      <c r="I1308" s="375" t="s">
        <v>859</v>
      </c>
      <c r="J1308" s="375">
        <v>421867.95753000001</v>
      </c>
      <c r="K1308" s="375">
        <v>20422.25678</v>
      </c>
      <c r="L1308" s="375">
        <v>24617.963749999999</v>
      </c>
      <c r="M1308" s="375">
        <v>184937.20988000001</v>
      </c>
      <c r="N1308" s="372">
        <v>0.57499999999999996</v>
      </c>
      <c r="O1308" s="704">
        <v>17.818176059632265</v>
      </c>
      <c r="P1308" s="375" t="s">
        <v>619</v>
      </c>
      <c r="Q1308" s="372" t="s">
        <v>619</v>
      </c>
      <c r="R1308" s="696">
        <v>20010731</v>
      </c>
      <c r="S1308" s="372" t="s">
        <v>8838</v>
      </c>
      <c r="T1308" s="697">
        <v>0.23100000000000001</v>
      </c>
      <c r="U1308" s="372" t="s">
        <v>8839</v>
      </c>
      <c r="V1308" s="722">
        <v>3.74</v>
      </c>
      <c r="W1308" s="722">
        <v>0.61</v>
      </c>
      <c r="X1308" s="722">
        <v>0.27</v>
      </c>
      <c r="Y1308" s="722">
        <v>4.4000000000000004</v>
      </c>
      <c r="Z1308" s="382" t="s">
        <v>924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4846</v>
      </c>
      <c r="AF1308" s="372">
        <v>0</v>
      </c>
      <c r="AG1308" s="372">
        <v>0</v>
      </c>
      <c r="AH1308" s="372">
        <v>0</v>
      </c>
    </row>
    <row r="1309" spans="1:34">
      <c r="A1309" s="372" t="s">
        <v>8840</v>
      </c>
      <c r="B1309" s="373" t="s">
        <v>8841</v>
      </c>
      <c r="C1309" s="372" t="s">
        <v>8842</v>
      </c>
      <c r="D1309" s="374">
        <v>1101113433440</v>
      </c>
      <c r="E1309" s="372" t="s">
        <v>8843</v>
      </c>
      <c r="F1309" s="372" t="s">
        <v>850</v>
      </c>
      <c r="G1309" s="375" t="s">
        <v>4416</v>
      </c>
      <c r="H1309" s="375" t="s">
        <v>892</v>
      </c>
      <c r="I1309" s="375" t="s">
        <v>859</v>
      </c>
      <c r="J1309" s="375">
        <v>0</v>
      </c>
      <c r="K1309" s="375">
        <v>0</v>
      </c>
      <c r="L1309" s="375">
        <v>0</v>
      </c>
      <c r="M1309" s="375">
        <v>0</v>
      </c>
      <c r="N1309" s="372">
        <v>0.90800000000000003</v>
      </c>
      <c r="O1309" s="704" t="s">
        <v>16298</v>
      </c>
      <c r="P1309" s="375" t="s">
        <v>619</v>
      </c>
      <c r="Q1309" s="372" t="s">
        <v>619</v>
      </c>
      <c r="R1309" s="696">
        <v>20180706</v>
      </c>
      <c r="S1309" s="372" t="s">
        <v>8844</v>
      </c>
      <c r="T1309" s="697" t="s">
        <v>768</v>
      </c>
      <c r="U1309" s="375" t="s">
        <v>8845</v>
      </c>
      <c r="V1309" s="722">
        <v>0</v>
      </c>
      <c r="W1309" s="722">
        <v>0</v>
      </c>
      <c r="X1309" s="722">
        <v>0</v>
      </c>
      <c r="Y1309" s="722">
        <v>0</v>
      </c>
      <c r="Z1309" s="382" t="s">
        <v>924</v>
      </c>
      <c r="AA1309" s="372">
        <v>298.94038119999999</v>
      </c>
      <c r="AB1309" s="372">
        <v>314.95668030000002</v>
      </c>
      <c r="AC1309" s="372">
        <v>253.60233500000001</v>
      </c>
      <c r="AD1309" s="372">
        <v>297.49069070000002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8846</v>
      </c>
      <c r="B1310" s="373" t="s">
        <v>8847</v>
      </c>
      <c r="C1310" s="372" t="s">
        <v>8848</v>
      </c>
      <c r="D1310" s="374">
        <v>1244110019308</v>
      </c>
      <c r="E1310" s="372" t="s">
        <v>8849</v>
      </c>
      <c r="F1310" s="375" t="s">
        <v>1273</v>
      </c>
      <c r="G1310" s="375" t="s">
        <v>1449</v>
      </c>
      <c r="H1310" s="375" t="s">
        <v>858</v>
      </c>
      <c r="I1310" s="375" t="s">
        <v>859</v>
      </c>
      <c r="J1310" s="375">
        <v>218559.33712000001</v>
      </c>
      <c r="K1310" s="375">
        <v>-23939.66185</v>
      </c>
      <c r="L1310" s="375">
        <v>-27792.739010000001</v>
      </c>
      <c r="M1310" s="375">
        <v>155554.69852000001</v>
      </c>
      <c r="N1310" s="372">
        <v>0.61499999999999999</v>
      </c>
      <c r="O1310" s="704">
        <v>211.41933569285362</v>
      </c>
      <c r="P1310" s="375" t="s">
        <v>619</v>
      </c>
      <c r="Q1310" s="375" t="s">
        <v>619</v>
      </c>
      <c r="R1310" s="696">
        <v>20030730</v>
      </c>
      <c r="S1310" s="375" t="s">
        <v>8850</v>
      </c>
      <c r="T1310" s="697" t="s">
        <v>768</v>
      </c>
      <c r="U1310" s="375" t="s">
        <v>8851</v>
      </c>
      <c r="V1310" s="722" t="s">
        <v>770</v>
      </c>
      <c r="W1310" s="722">
        <v>0.34</v>
      </c>
      <c r="X1310" s="722">
        <v>0.24</v>
      </c>
      <c r="Y1310" s="722" t="s">
        <v>770</v>
      </c>
      <c r="Z1310" s="382">
        <v>0.16574121762579819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2296</v>
      </c>
      <c r="AF1310" s="372">
        <v>2844</v>
      </c>
      <c r="AG1310" s="372">
        <v>3450</v>
      </c>
      <c r="AH1310" s="372">
        <v>0</v>
      </c>
    </row>
    <row r="1311" spans="1:34">
      <c r="A1311" s="372" t="s">
        <v>8852</v>
      </c>
      <c r="B1311" s="373" t="s">
        <v>8853</v>
      </c>
      <c r="C1311" s="372" t="s">
        <v>8854</v>
      </c>
      <c r="D1311" s="374">
        <v>1201110095499</v>
      </c>
      <c r="E1311" s="372" t="s">
        <v>8855</v>
      </c>
      <c r="F1311" s="372" t="s">
        <v>3718</v>
      </c>
      <c r="G1311" s="375" t="s">
        <v>3718</v>
      </c>
      <c r="H1311" s="375" t="s">
        <v>823</v>
      </c>
      <c r="I1311" s="375" t="s">
        <v>751</v>
      </c>
      <c r="J1311" s="375">
        <v>140390.75588000001</v>
      </c>
      <c r="K1311" s="375">
        <v>1344.0376000000001</v>
      </c>
      <c r="L1311" s="375">
        <v>978.82939999999996</v>
      </c>
      <c r="M1311" s="375">
        <v>153392.99277000001</v>
      </c>
      <c r="N1311" s="372">
        <v>1.2789999999999999</v>
      </c>
      <c r="O1311" s="704">
        <v>19.360941952475702</v>
      </c>
      <c r="P1311" s="375" t="s">
        <v>619</v>
      </c>
      <c r="Q1311" s="372" t="s">
        <v>619</v>
      </c>
      <c r="R1311" s="696">
        <v>20171031</v>
      </c>
      <c r="S1311" s="375" t="s">
        <v>8856</v>
      </c>
      <c r="T1311" s="697">
        <v>0.20900000000000002</v>
      </c>
      <c r="U1311" s="372" t="s">
        <v>8857</v>
      </c>
      <c r="V1311" s="722">
        <v>11.47</v>
      </c>
      <c r="W1311" s="722">
        <v>0.56999999999999995</v>
      </c>
      <c r="X1311" s="722">
        <v>0.63</v>
      </c>
      <c r="Y1311" s="722">
        <v>29.07</v>
      </c>
      <c r="Z1311" s="382" t="s">
        <v>924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8858</v>
      </c>
      <c r="B1312" s="373" t="s">
        <v>8859</v>
      </c>
      <c r="C1312" s="372" t="s">
        <v>8860</v>
      </c>
      <c r="D1312" s="374">
        <v>1345110257251</v>
      </c>
      <c r="E1312" s="372" t="s">
        <v>8861</v>
      </c>
      <c r="F1312" s="375" t="s">
        <v>877</v>
      </c>
      <c r="G1312" s="375" t="s">
        <v>877</v>
      </c>
      <c r="H1312" s="375" t="s">
        <v>858</v>
      </c>
      <c r="I1312" s="375" t="s">
        <v>859</v>
      </c>
      <c r="J1312" s="375">
        <v>508251.10425999999</v>
      </c>
      <c r="K1312" s="375">
        <v>19459.463820000001</v>
      </c>
      <c r="L1312" s="375">
        <v>19417.832740000002</v>
      </c>
      <c r="M1312" s="375">
        <v>108063.76256</v>
      </c>
      <c r="N1312" s="372">
        <v>0.92100000000000004</v>
      </c>
      <c r="O1312" s="704">
        <v>99.54967810504597</v>
      </c>
      <c r="P1312" s="375" t="s">
        <v>619</v>
      </c>
      <c r="Q1312" s="375" t="s">
        <v>619</v>
      </c>
      <c r="R1312" s="696">
        <v>20150506</v>
      </c>
      <c r="S1312" s="375" t="s">
        <v>8862</v>
      </c>
      <c r="T1312" s="697">
        <v>0.20900000000000002</v>
      </c>
      <c r="U1312" s="372" t="s">
        <v>8863</v>
      </c>
      <c r="V1312" s="722">
        <v>6.5</v>
      </c>
      <c r="W1312" s="722">
        <v>1.07</v>
      </c>
      <c r="X1312" s="722">
        <v>0.22</v>
      </c>
      <c r="Y1312" s="722">
        <v>6.92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8864</v>
      </c>
      <c r="B1313" s="373" t="s">
        <v>8865</v>
      </c>
      <c r="C1313" s="372" t="s">
        <v>8866</v>
      </c>
      <c r="D1313" s="374">
        <v>1301110007533</v>
      </c>
      <c r="E1313" s="372" t="s">
        <v>8867</v>
      </c>
      <c r="F1313" s="372" t="s">
        <v>1860</v>
      </c>
      <c r="G1313" s="375" t="s">
        <v>1861</v>
      </c>
      <c r="H1313" s="375" t="s">
        <v>858</v>
      </c>
      <c r="I1313" s="375" t="s">
        <v>859</v>
      </c>
      <c r="J1313" s="375">
        <v>848458.85279000003</v>
      </c>
      <c r="K1313" s="375">
        <v>39855.604610000002</v>
      </c>
      <c r="L1313" s="375">
        <v>57202.498310000003</v>
      </c>
      <c r="M1313" s="375">
        <v>469108.91080000001</v>
      </c>
      <c r="N1313" s="372">
        <v>0.74</v>
      </c>
      <c r="O1313" s="704">
        <v>8.7245233338428125</v>
      </c>
      <c r="P1313" s="375" t="s">
        <v>619</v>
      </c>
      <c r="Q1313" s="372" t="s">
        <v>619</v>
      </c>
      <c r="R1313" s="696">
        <v>19930614</v>
      </c>
      <c r="S1313" s="372" t="s">
        <v>8868</v>
      </c>
      <c r="T1313" s="697">
        <v>0.23100000000000001</v>
      </c>
      <c r="U1313" s="372" t="s">
        <v>8869</v>
      </c>
      <c r="V1313" s="722">
        <v>2</v>
      </c>
      <c r="W1313" s="722">
        <v>0.25</v>
      </c>
      <c r="X1313" s="722">
        <v>0.14000000000000001</v>
      </c>
      <c r="Y1313" s="722">
        <v>2.89</v>
      </c>
      <c r="Z1313" s="382" t="s">
        <v>924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8870</v>
      </c>
      <c r="B1314" s="373" t="s">
        <v>8871</v>
      </c>
      <c r="C1314" s="372" t="s">
        <v>8872</v>
      </c>
      <c r="D1314" s="374">
        <v>1101110343957</v>
      </c>
      <c r="E1314" s="372" t="s">
        <v>8873</v>
      </c>
      <c r="F1314" s="375" t="s">
        <v>877</v>
      </c>
      <c r="G1314" s="375" t="s">
        <v>877</v>
      </c>
      <c r="H1314" s="375" t="s">
        <v>789</v>
      </c>
      <c r="I1314" s="375" t="s">
        <v>751</v>
      </c>
      <c r="J1314" s="375">
        <v>779697.02135000005</v>
      </c>
      <c r="K1314" s="375">
        <v>45145.300869999999</v>
      </c>
      <c r="L1314" s="375">
        <v>34312.422740000002</v>
      </c>
      <c r="M1314" s="375">
        <v>234481.15205</v>
      </c>
      <c r="N1314" s="372">
        <v>1.135</v>
      </c>
      <c r="O1314" s="704">
        <v>76.627551345711652</v>
      </c>
      <c r="P1314" s="375" t="s">
        <v>619</v>
      </c>
      <c r="Q1314" s="375" t="s">
        <v>619</v>
      </c>
      <c r="R1314" s="696">
        <v>20160729</v>
      </c>
      <c r="S1314" s="375" t="s">
        <v>8874</v>
      </c>
      <c r="T1314" s="697">
        <v>0.23100000000000001</v>
      </c>
      <c r="U1314" s="372" t="s">
        <v>8875</v>
      </c>
      <c r="V1314" s="722">
        <v>2.21</v>
      </c>
      <c r="W1314" s="722">
        <v>0.48</v>
      </c>
      <c r="X1314" s="722">
        <v>0.14000000000000001</v>
      </c>
      <c r="Y1314" s="722">
        <v>6.61</v>
      </c>
      <c r="Z1314" s="382" t="s">
        <v>924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8876</v>
      </c>
      <c r="B1315" s="373" t="s">
        <v>8877</v>
      </c>
      <c r="C1315" s="372" t="s">
        <v>8878</v>
      </c>
      <c r="D1315" s="374">
        <v>1201110081951</v>
      </c>
      <c r="E1315" s="372" t="s">
        <v>8879</v>
      </c>
      <c r="F1315" s="375" t="s">
        <v>1272</v>
      </c>
      <c r="G1315" s="375" t="s">
        <v>1272</v>
      </c>
      <c r="H1315" s="375" t="s">
        <v>858</v>
      </c>
      <c r="I1315" s="375" t="s">
        <v>859</v>
      </c>
      <c r="J1315" s="375">
        <v>399802.34229</v>
      </c>
      <c r="K1315" s="375">
        <v>-504.49678</v>
      </c>
      <c r="L1315" s="375">
        <v>-21185.282149999999</v>
      </c>
      <c r="M1315" s="375">
        <v>78930.901629999993</v>
      </c>
      <c r="N1315" s="372">
        <v>1.0109999999999999</v>
      </c>
      <c r="O1315" s="704">
        <v>119.94758015766523</v>
      </c>
      <c r="P1315" s="375" t="s">
        <v>619</v>
      </c>
      <c r="Q1315" s="375" t="s">
        <v>619</v>
      </c>
      <c r="R1315" s="696">
        <v>20010515</v>
      </c>
      <c r="S1315" s="375" t="s">
        <v>8880</v>
      </c>
      <c r="T1315" s="697" t="s">
        <v>768</v>
      </c>
      <c r="U1315" s="372" t="s">
        <v>8881</v>
      </c>
      <c r="V1315" s="722">
        <v>9.31</v>
      </c>
      <c r="W1315" s="722">
        <v>1.07</v>
      </c>
      <c r="X1315" s="722">
        <v>0.21</v>
      </c>
      <c r="Y1315" s="722" t="s">
        <v>770</v>
      </c>
      <c r="Z1315" s="382" t="s">
        <v>924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8882</v>
      </c>
      <c r="B1316" s="373" t="s">
        <v>8883</v>
      </c>
      <c r="C1316" s="372" t="s">
        <v>8884</v>
      </c>
      <c r="D1316" s="374">
        <v>1601110065824</v>
      </c>
      <c r="E1316" s="372" t="s">
        <v>8885</v>
      </c>
      <c r="F1316" s="372" t="s">
        <v>3934</v>
      </c>
      <c r="G1316" s="375" t="s">
        <v>3934</v>
      </c>
      <c r="H1316" s="375" t="s">
        <v>1334</v>
      </c>
      <c r="I1316" s="375" t="s">
        <v>859</v>
      </c>
      <c r="J1316" s="375">
        <v>776213.83397000004</v>
      </c>
      <c r="K1316" s="375">
        <v>52495.635300000002</v>
      </c>
      <c r="L1316" s="375">
        <v>57131.062669999999</v>
      </c>
      <c r="M1316" s="375">
        <v>844397.84259000001</v>
      </c>
      <c r="N1316" s="372">
        <v>0.42699999999999999</v>
      </c>
      <c r="O1316" s="704">
        <v>245.47408415911102</v>
      </c>
      <c r="P1316" s="375" t="s">
        <v>619</v>
      </c>
      <c r="Q1316" s="372" t="s">
        <v>619</v>
      </c>
      <c r="R1316" s="696">
        <v>20010925</v>
      </c>
      <c r="S1316" s="372" t="s">
        <v>1972</v>
      </c>
      <c r="T1316" s="697">
        <v>0.23100000000000001</v>
      </c>
      <c r="U1316" s="372" t="s">
        <v>8886</v>
      </c>
      <c r="V1316" s="722">
        <v>8.15</v>
      </c>
      <c r="W1316" s="722">
        <v>0.28999999999999998</v>
      </c>
      <c r="X1316" s="722">
        <v>0.12</v>
      </c>
      <c r="Y1316" s="722">
        <v>4.68</v>
      </c>
      <c r="Z1316" s="382" t="s">
        <v>924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8887</v>
      </c>
      <c r="B1317" s="373" t="s">
        <v>8888</v>
      </c>
      <c r="C1317" s="372" t="s">
        <v>16007</v>
      </c>
      <c r="D1317" s="374">
        <v>1101111591034</v>
      </c>
      <c r="E1317" s="372" t="s">
        <v>16008</v>
      </c>
      <c r="F1317" s="375" t="s">
        <v>8889</v>
      </c>
      <c r="G1317" s="375" t="s">
        <v>8889</v>
      </c>
      <c r="H1317" s="375" t="s">
        <v>858</v>
      </c>
      <c r="I1317" s="375" t="s">
        <v>859</v>
      </c>
      <c r="J1317" s="375">
        <v>123740.86596</v>
      </c>
      <c r="K1317" s="375">
        <v>-1311.1577600000001</v>
      </c>
      <c r="L1317" s="375">
        <v>105699.12893000001</v>
      </c>
      <c r="M1317" s="375">
        <v>200884.01569999999</v>
      </c>
      <c r="N1317" s="372">
        <v>0.94499999999999995</v>
      </c>
      <c r="O1317" s="704">
        <v>83.819862716379674</v>
      </c>
      <c r="P1317" s="375" t="s">
        <v>619</v>
      </c>
      <c r="Q1317" s="375" t="s">
        <v>619</v>
      </c>
      <c r="R1317" s="696">
        <v>20110131</v>
      </c>
      <c r="S1317" s="375" t="s">
        <v>8890</v>
      </c>
      <c r="T1317" s="697">
        <v>0.23100000000000001</v>
      </c>
      <c r="U1317" s="372" t="s">
        <v>8891</v>
      </c>
      <c r="V1317" s="722">
        <v>0</v>
      </c>
      <c r="W1317" s="722">
        <v>0</v>
      </c>
      <c r="X1317" s="722">
        <v>0</v>
      </c>
      <c r="Y1317" s="722">
        <v>0</v>
      </c>
      <c r="Z1317" s="382" t="s">
        <v>924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8892</v>
      </c>
      <c r="B1318" s="373" t="s">
        <v>8893</v>
      </c>
      <c r="C1318" s="372" t="s">
        <v>8894</v>
      </c>
      <c r="D1318" s="374">
        <v>1746110005478</v>
      </c>
      <c r="E1318" s="372" t="s">
        <v>8895</v>
      </c>
      <c r="F1318" s="375" t="s">
        <v>2744</v>
      </c>
      <c r="G1318" s="375" t="s">
        <v>2745</v>
      </c>
      <c r="H1318" s="375" t="s">
        <v>809</v>
      </c>
      <c r="I1318" s="375" t="s">
        <v>751</v>
      </c>
      <c r="J1318" s="375">
        <v>996932.56262999994</v>
      </c>
      <c r="K1318" s="375">
        <v>11955.289870000001</v>
      </c>
      <c r="L1318" s="375">
        <v>865.92016000000001</v>
      </c>
      <c r="M1318" s="375">
        <v>338708.75670999999</v>
      </c>
      <c r="N1318" s="372">
        <v>0.89900000000000002</v>
      </c>
      <c r="O1318" s="704">
        <v>190.06231321404292</v>
      </c>
      <c r="P1318" s="375" t="s">
        <v>619</v>
      </c>
      <c r="Q1318" s="375" t="s">
        <v>619</v>
      </c>
      <c r="R1318" s="696">
        <v>20110601</v>
      </c>
      <c r="S1318" s="375" t="s">
        <v>8896</v>
      </c>
      <c r="T1318" s="697">
        <v>0.20900000000000002</v>
      </c>
      <c r="U1318" s="372" t="s">
        <v>8897</v>
      </c>
      <c r="V1318" s="722">
        <v>10.37</v>
      </c>
      <c r="W1318" s="722">
        <v>0.36</v>
      </c>
      <c r="X1318" s="722">
        <v>0.12</v>
      </c>
      <c r="Y1318" s="722" t="s">
        <v>770</v>
      </c>
      <c r="Z1318" s="382" t="s">
        <v>924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8898</v>
      </c>
      <c r="B1319" s="373" t="s">
        <v>8899</v>
      </c>
      <c r="C1319" s="372" t="s">
        <v>8900</v>
      </c>
      <c r="D1319" s="374">
        <v>1101113922550</v>
      </c>
      <c r="E1319" s="372" t="s">
        <v>8901</v>
      </c>
      <c r="F1319" s="375" t="s">
        <v>5597</v>
      </c>
      <c r="G1319" s="375" t="s">
        <v>5597</v>
      </c>
      <c r="H1319" s="375" t="s">
        <v>1528</v>
      </c>
      <c r="I1319" s="375" t="s">
        <v>859</v>
      </c>
      <c r="J1319" s="375">
        <v>127007.00002000001</v>
      </c>
      <c r="K1319" s="375">
        <v>-14250.606889999999</v>
      </c>
      <c r="L1319" s="375">
        <v>-22221.12011</v>
      </c>
      <c r="M1319" s="375">
        <v>131738.15534</v>
      </c>
      <c r="N1319" s="372">
        <v>0.90800000000000003</v>
      </c>
      <c r="O1319" s="704">
        <v>163.11334787433901</v>
      </c>
      <c r="P1319" s="375" t="s">
        <v>619</v>
      </c>
      <c r="Q1319" s="375" t="s">
        <v>619</v>
      </c>
      <c r="R1319" s="696">
        <v>20141223</v>
      </c>
      <c r="S1319" s="375" t="s">
        <v>8902</v>
      </c>
      <c r="T1319" s="697" t="s">
        <v>768</v>
      </c>
      <c r="U1319" s="372" t="s">
        <v>8903</v>
      </c>
      <c r="V1319" s="722" t="s">
        <v>770</v>
      </c>
      <c r="W1319" s="722">
        <v>0.68</v>
      </c>
      <c r="X1319" s="722">
        <v>0.52</v>
      </c>
      <c r="Y1319" s="722" t="s">
        <v>770</v>
      </c>
      <c r="Z1319" s="382" t="s">
        <v>924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1428</v>
      </c>
      <c r="AF1319" s="372">
        <v>1600</v>
      </c>
      <c r="AG1319" s="372">
        <v>0</v>
      </c>
      <c r="AH1319" s="372">
        <v>0</v>
      </c>
    </row>
    <row r="1320" spans="1:34">
      <c r="A1320" s="372" t="s">
        <v>8904</v>
      </c>
      <c r="B1320" s="373" t="s">
        <v>8905</v>
      </c>
      <c r="C1320" s="372" t="s">
        <v>8906</v>
      </c>
      <c r="D1320" s="374">
        <v>1101110003428</v>
      </c>
      <c r="E1320" s="372" t="s">
        <v>8907</v>
      </c>
      <c r="F1320" s="375" t="s">
        <v>2037</v>
      </c>
      <c r="G1320" s="375" t="s">
        <v>7153</v>
      </c>
      <c r="H1320" s="375" t="s">
        <v>3096</v>
      </c>
      <c r="I1320" s="375" t="s">
        <v>859</v>
      </c>
      <c r="J1320" s="375">
        <v>51164.559520000003</v>
      </c>
      <c r="K1320" s="375">
        <v>-1536.4347299999999</v>
      </c>
      <c r="L1320" s="375">
        <v>-938.22613999999999</v>
      </c>
      <c r="M1320" s="375">
        <v>54704.765800000001</v>
      </c>
      <c r="N1320" s="372">
        <v>0.372</v>
      </c>
      <c r="O1320" s="704">
        <v>1.1810658903751001</v>
      </c>
      <c r="P1320" s="375" t="s">
        <v>619</v>
      </c>
      <c r="Q1320" s="372" t="s">
        <v>619</v>
      </c>
      <c r="R1320" s="696">
        <v>19930317</v>
      </c>
      <c r="S1320" s="372" t="s">
        <v>8908</v>
      </c>
      <c r="T1320" s="697" t="s">
        <v>768</v>
      </c>
      <c r="U1320" s="372" t="s">
        <v>8909</v>
      </c>
      <c r="V1320" s="722" t="s">
        <v>770</v>
      </c>
      <c r="W1320" s="722">
        <v>2.02</v>
      </c>
      <c r="X1320" s="722">
        <v>2.5299999999999998</v>
      </c>
      <c r="Y1320" s="722" t="s">
        <v>770</v>
      </c>
      <c r="Z1320" s="382" t="s">
        <v>924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8910</v>
      </c>
      <c r="B1321" s="373" t="s">
        <v>8911</v>
      </c>
      <c r="C1321" s="372" t="s">
        <v>8912</v>
      </c>
      <c r="D1321" s="374">
        <v>1201110799950</v>
      </c>
      <c r="E1321" s="372" t="s">
        <v>8913</v>
      </c>
      <c r="F1321" s="375" t="s">
        <v>1174</v>
      </c>
      <c r="G1321" s="375" t="s">
        <v>8914</v>
      </c>
      <c r="H1321" s="375" t="s">
        <v>858</v>
      </c>
      <c r="I1321" s="375" t="s">
        <v>859</v>
      </c>
      <c r="J1321" s="375">
        <v>56261.996850000003</v>
      </c>
      <c r="K1321" s="375">
        <v>-6033.9951799999999</v>
      </c>
      <c r="L1321" s="375">
        <v>-6892.5858600000001</v>
      </c>
      <c r="M1321" s="375">
        <v>54484.72363</v>
      </c>
      <c r="N1321" s="372">
        <v>1.167</v>
      </c>
      <c r="O1321" s="704">
        <v>37.962439686508006</v>
      </c>
      <c r="P1321" s="375" t="s">
        <v>619</v>
      </c>
      <c r="Q1321" s="375" t="s">
        <v>619</v>
      </c>
      <c r="R1321" s="696">
        <v>20200918</v>
      </c>
      <c r="S1321" s="375" t="s">
        <v>8915</v>
      </c>
      <c r="T1321" s="697" t="s">
        <v>768</v>
      </c>
      <c r="U1321" s="375" t="s">
        <v>8916</v>
      </c>
      <c r="V1321" s="722">
        <v>36.909999999999997</v>
      </c>
      <c r="W1321" s="722">
        <v>1.07</v>
      </c>
      <c r="X1321" s="722">
        <v>1.05</v>
      </c>
      <c r="Y1321" s="722" t="s">
        <v>770</v>
      </c>
      <c r="Z1321" s="382" t="s">
        <v>924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8917</v>
      </c>
      <c r="B1322" s="373" t="s">
        <v>8918</v>
      </c>
      <c r="C1322" s="372" t="s">
        <v>8919</v>
      </c>
      <c r="D1322" s="374">
        <v>1101117474424</v>
      </c>
      <c r="E1322" s="372" t="s">
        <v>8920</v>
      </c>
      <c r="F1322" s="375" t="s">
        <v>5298</v>
      </c>
      <c r="G1322" s="375" t="s">
        <v>5298</v>
      </c>
      <c r="H1322" s="375" t="s">
        <v>858</v>
      </c>
      <c r="I1322" s="375" t="s">
        <v>859</v>
      </c>
      <c r="J1322" s="375">
        <v>309288.24680000002</v>
      </c>
      <c r="K1322" s="375">
        <v>28572.595420000001</v>
      </c>
      <c r="L1322" s="375">
        <v>26528.573939999998</v>
      </c>
      <c r="M1322" s="375">
        <v>71811.402149999994</v>
      </c>
      <c r="N1322" s="372">
        <v>0.67800000000000005</v>
      </c>
      <c r="O1322" s="704">
        <v>171.9227347060644</v>
      </c>
      <c r="P1322" s="375" t="s">
        <v>619</v>
      </c>
      <c r="Q1322" s="372" t="s">
        <v>619</v>
      </c>
      <c r="R1322" s="696">
        <v>20200605</v>
      </c>
      <c r="S1322" s="372" t="s">
        <v>8921</v>
      </c>
      <c r="T1322" s="697">
        <v>0.23100000000000001</v>
      </c>
      <c r="U1322" s="372" t="s">
        <v>6658</v>
      </c>
      <c r="V1322" s="722">
        <v>6.95</v>
      </c>
      <c r="W1322" s="722">
        <v>1.85</v>
      </c>
      <c r="X1322" s="722">
        <v>0.42</v>
      </c>
      <c r="Y1322" s="722">
        <v>6.52</v>
      </c>
      <c r="Z1322" s="382" t="s">
        <v>924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8922</v>
      </c>
      <c r="B1323" s="373" t="s">
        <v>8923</v>
      </c>
      <c r="C1323" s="372" t="s">
        <v>8924</v>
      </c>
      <c r="D1323" s="374">
        <v>1311110478436</v>
      </c>
      <c r="E1323" s="372" t="s">
        <v>8925</v>
      </c>
      <c r="F1323" s="375" t="s">
        <v>1272</v>
      </c>
      <c r="G1323" s="375" t="s">
        <v>1272</v>
      </c>
      <c r="H1323" s="375" t="s">
        <v>858</v>
      </c>
      <c r="I1323" s="375" t="s">
        <v>859</v>
      </c>
      <c r="J1323" s="375">
        <v>12530.6615</v>
      </c>
      <c r="K1323" s="375">
        <v>-4616.6225700000005</v>
      </c>
      <c r="L1323" s="375">
        <v>-8761.6692999999996</v>
      </c>
      <c r="M1323" s="375">
        <v>54124.703589999997</v>
      </c>
      <c r="N1323" s="372">
        <v>1.288</v>
      </c>
      <c r="O1323" s="704">
        <v>23.734058868388704</v>
      </c>
      <c r="P1323" s="375" t="s">
        <v>619</v>
      </c>
      <c r="Q1323" s="372" t="s">
        <v>619</v>
      </c>
      <c r="R1323" s="696">
        <v>20190801</v>
      </c>
      <c r="S1323" s="375" t="s">
        <v>8926</v>
      </c>
      <c r="T1323" s="697" t="s">
        <v>768</v>
      </c>
      <c r="U1323" s="375" t="s">
        <v>15898</v>
      </c>
      <c r="V1323" s="722" t="s">
        <v>770</v>
      </c>
      <c r="W1323" s="722">
        <v>1.29</v>
      </c>
      <c r="X1323" s="722">
        <v>5.36</v>
      </c>
      <c r="Y1323" s="722" t="s">
        <v>770</v>
      </c>
      <c r="Z1323" s="382" t="s">
        <v>924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8927</v>
      </c>
      <c r="B1324" s="373" t="s">
        <v>8928</v>
      </c>
      <c r="C1324" s="372" t="s">
        <v>8929</v>
      </c>
      <c r="D1324" s="374">
        <v>1101111785710</v>
      </c>
      <c r="E1324" s="372" t="s">
        <v>8930</v>
      </c>
      <c r="F1324" s="375" t="s">
        <v>2508</v>
      </c>
      <c r="G1324" s="375" t="s">
        <v>2508</v>
      </c>
      <c r="H1324" s="375" t="s">
        <v>858</v>
      </c>
      <c r="I1324" s="375" t="s">
        <v>859</v>
      </c>
      <c r="J1324" s="375">
        <v>0</v>
      </c>
      <c r="K1324" s="375">
        <v>0</v>
      </c>
      <c r="L1324" s="375">
        <v>0</v>
      </c>
      <c r="M1324" s="375">
        <v>85836.027950000003</v>
      </c>
      <c r="N1324" s="372" t="s">
        <v>1023</v>
      </c>
      <c r="O1324" s="704">
        <v>23.797553283850274</v>
      </c>
      <c r="P1324" s="375" t="s">
        <v>619</v>
      </c>
      <c r="Q1324" s="375" t="s">
        <v>619</v>
      </c>
      <c r="R1324" s="696">
        <v>20231120</v>
      </c>
      <c r="S1324" s="372" t="s">
        <v>8931</v>
      </c>
      <c r="T1324" s="697" t="s">
        <v>768</v>
      </c>
      <c r="U1324" s="372" t="s">
        <v>8932</v>
      </c>
      <c r="V1324" s="722">
        <v>0</v>
      </c>
      <c r="W1324" s="722">
        <v>1.1299999999999999</v>
      </c>
      <c r="X1324" s="722">
        <v>0</v>
      </c>
      <c r="Y1324" s="722">
        <v>0</v>
      </c>
      <c r="Z1324" s="382" t="s">
        <v>924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8933</v>
      </c>
      <c r="B1325" s="373" t="s">
        <v>8934</v>
      </c>
      <c r="C1325" s="372" t="s">
        <v>8935</v>
      </c>
      <c r="D1325" s="374">
        <v>1101112929276</v>
      </c>
      <c r="E1325" s="372" t="s">
        <v>8936</v>
      </c>
      <c r="F1325" s="375" t="s">
        <v>5597</v>
      </c>
      <c r="G1325" s="375" t="s">
        <v>5597</v>
      </c>
      <c r="H1325" s="375" t="s">
        <v>1528</v>
      </c>
      <c r="I1325" s="375" t="s">
        <v>859</v>
      </c>
      <c r="J1325" s="375">
        <v>29257.990010000001</v>
      </c>
      <c r="K1325" s="375">
        <v>2246.2145700000001</v>
      </c>
      <c r="L1325" s="375">
        <v>-187.36530999999999</v>
      </c>
      <c r="M1325" s="375">
        <v>61255.033479999998</v>
      </c>
      <c r="N1325" s="372">
        <v>0.70099999999999996</v>
      </c>
      <c r="O1325" s="704">
        <v>13.077847020366928</v>
      </c>
      <c r="P1325" s="375" t="s">
        <v>619</v>
      </c>
      <c r="Q1325" s="372" t="s">
        <v>619</v>
      </c>
      <c r="R1325" s="696">
        <v>20190719</v>
      </c>
      <c r="S1325" s="372" t="s">
        <v>8937</v>
      </c>
      <c r="T1325" s="697" t="s">
        <v>768</v>
      </c>
      <c r="U1325" s="372" t="s">
        <v>8938</v>
      </c>
      <c r="V1325" s="722">
        <v>23.75</v>
      </c>
      <c r="W1325" s="722">
        <v>1.02</v>
      </c>
      <c r="X1325" s="722">
        <v>2.41</v>
      </c>
      <c r="Y1325" s="722">
        <v>117.78</v>
      </c>
      <c r="Z1325" s="382" t="s">
        <v>924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163</v>
      </c>
      <c r="AF1325" s="372">
        <v>600</v>
      </c>
      <c r="AG1325" s="372">
        <v>0</v>
      </c>
      <c r="AH1325" s="372">
        <v>0</v>
      </c>
    </row>
    <row r="1326" spans="1:34">
      <c r="A1326" s="372" t="s">
        <v>8939</v>
      </c>
      <c r="B1326" s="373" t="s">
        <v>8940</v>
      </c>
      <c r="C1326" s="372" t="s">
        <v>8941</v>
      </c>
      <c r="D1326" s="374">
        <v>1201110216699</v>
      </c>
      <c r="E1326" s="372" t="s">
        <v>8942</v>
      </c>
      <c r="F1326" s="375" t="s">
        <v>1287</v>
      </c>
      <c r="G1326" s="375" t="s">
        <v>1287</v>
      </c>
      <c r="H1326" s="375" t="s">
        <v>858</v>
      </c>
      <c r="I1326" s="375" t="s">
        <v>859</v>
      </c>
      <c r="J1326" s="375">
        <v>44472.871079999997</v>
      </c>
      <c r="K1326" s="375">
        <v>3936.2730099999999</v>
      </c>
      <c r="L1326" s="375">
        <v>4014.7015200000001</v>
      </c>
      <c r="M1326" s="375">
        <v>34776.011939999997</v>
      </c>
      <c r="N1326" s="372">
        <v>0.88700000000000001</v>
      </c>
      <c r="O1326" s="704">
        <v>16.728747234796632</v>
      </c>
      <c r="P1326" s="375" t="s">
        <v>619</v>
      </c>
      <c r="Q1326" s="372" t="s">
        <v>619</v>
      </c>
      <c r="R1326" s="696">
        <v>20151215</v>
      </c>
      <c r="S1326" s="372" t="s">
        <v>8943</v>
      </c>
      <c r="T1326" s="697">
        <v>0.20900000000000002</v>
      </c>
      <c r="U1326" s="372" t="s">
        <v>8944</v>
      </c>
      <c r="V1326" s="722">
        <v>0</v>
      </c>
      <c r="W1326" s="722">
        <v>0</v>
      </c>
      <c r="X1326" s="722">
        <v>0</v>
      </c>
      <c r="Y1326" s="722">
        <v>0</v>
      </c>
      <c r="Z1326" s="382" t="s">
        <v>924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8945</v>
      </c>
      <c r="B1327" s="373" t="s">
        <v>8946</v>
      </c>
      <c r="C1327" s="372" t="s">
        <v>8947</v>
      </c>
      <c r="D1327" s="374">
        <v>1601110312126</v>
      </c>
      <c r="E1327" s="372" t="s">
        <v>8948</v>
      </c>
      <c r="F1327" s="372" t="s">
        <v>1052</v>
      </c>
      <c r="G1327" s="375" t="s">
        <v>16101</v>
      </c>
      <c r="H1327" s="375" t="s">
        <v>858</v>
      </c>
      <c r="I1327" s="375" t="s">
        <v>859</v>
      </c>
      <c r="J1327" s="375">
        <v>9707.2148099999995</v>
      </c>
      <c r="K1327" s="375">
        <v>-18192.650130000002</v>
      </c>
      <c r="L1327" s="375">
        <v>-17346.169529999999</v>
      </c>
      <c r="M1327" s="375">
        <v>106037.73946</v>
      </c>
      <c r="N1327" s="372">
        <v>0.61599999999999999</v>
      </c>
      <c r="O1327" s="704">
        <v>5.4140426808082776</v>
      </c>
      <c r="P1327" s="375" t="s">
        <v>619</v>
      </c>
      <c r="Q1327" s="375" t="s">
        <v>619</v>
      </c>
      <c r="R1327" s="696">
        <v>20161111</v>
      </c>
      <c r="S1327" s="375" t="s">
        <v>8949</v>
      </c>
      <c r="T1327" s="697" t="s">
        <v>768</v>
      </c>
      <c r="U1327" s="372" t="s">
        <v>8950</v>
      </c>
      <c r="V1327" s="722" t="s">
        <v>770</v>
      </c>
      <c r="W1327" s="722">
        <v>0.85</v>
      </c>
      <c r="X1327" s="722">
        <v>10.32</v>
      </c>
      <c r="Y1327" s="722" t="s">
        <v>770</v>
      </c>
      <c r="Z1327" s="382" t="s">
        <v>924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8951</v>
      </c>
      <c r="B1328" s="373" t="s">
        <v>8952</v>
      </c>
      <c r="C1328" s="372" t="s">
        <v>8953</v>
      </c>
      <c r="D1328" s="374">
        <v>1101115518084</v>
      </c>
      <c r="E1328" s="372" t="s">
        <v>8954</v>
      </c>
      <c r="F1328" s="375" t="s">
        <v>8596</v>
      </c>
      <c r="G1328" s="375" t="s">
        <v>8596</v>
      </c>
      <c r="H1328" s="375" t="s">
        <v>4844</v>
      </c>
      <c r="I1328" s="375" t="s">
        <v>859</v>
      </c>
      <c r="J1328" s="375">
        <v>23892.640790000001</v>
      </c>
      <c r="K1328" s="375">
        <v>-6215.0478400000002</v>
      </c>
      <c r="L1328" s="375">
        <v>-17806.404600000002</v>
      </c>
      <c r="M1328" s="375">
        <v>83001.846049999993</v>
      </c>
      <c r="N1328" s="372">
        <v>0.755</v>
      </c>
      <c r="O1328" s="704">
        <v>6.1449856549503394</v>
      </c>
      <c r="P1328" s="375" t="s">
        <v>619</v>
      </c>
      <c r="Q1328" s="372" t="s">
        <v>619</v>
      </c>
      <c r="R1328" s="696">
        <v>20141210</v>
      </c>
      <c r="S1328" s="372" t="s">
        <v>8955</v>
      </c>
      <c r="T1328" s="697" t="s">
        <v>768</v>
      </c>
      <c r="U1328" s="372" t="s">
        <v>15899</v>
      </c>
      <c r="V1328" s="722" t="s">
        <v>770</v>
      </c>
      <c r="W1328" s="722">
        <v>1.27</v>
      </c>
      <c r="X1328" s="722">
        <v>4.42</v>
      </c>
      <c r="Y1328" s="722" t="s">
        <v>770</v>
      </c>
      <c r="Z1328" s="382" t="s">
        <v>924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8956</v>
      </c>
      <c r="B1329" s="373" t="s">
        <v>8957</v>
      </c>
      <c r="C1329" s="372" t="s">
        <v>8958</v>
      </c>
      <c r="D1329" s="374">
        <v>1701110002171</v>
      </c>
      <c r="E1329" s="372" t="s">
        <v>8959</v>
      </c>
      <c r="F1329" s="372" t="s">
        <v>808</v>
      </c>
      <c r="G1329" s="375" t="s">
        <v>5378</v>
      </c>
      <c r="H1329" s="375" t="s">
        <v>809</v>
      </c>
      <c r="I1329" s="375" t="s">
        <v>751</v>
      </c>
      <c r="J1329" s="375">
        <v>424331.43231</v>
      </c>
      <c r="K1329" s="375">
        <v>3474.9902299999999</v>
      </c>
      <c r="L1329" s="375">
        <v>5768.0726000000004</v>
      </c>
      <c r="M1329" s="375">
        <v>419474.67382999999</v>
      </c>
      <c r="N1329" s="372">
        <v>0.76</v>
      </c>
      <c r="O1329" s="704">
        <v>17.525767509336944</v>
      </c>
      <c r="P1329" s="375" t="s">
        <v>619</v>
      </c>
      <c r="Q1329" s="372" t="s">
        <v>619</v>
      </c>
      <c r="R1329" s="696">
        <v>20050630</v>
      </c>
      <c r="S1329" s="372" t="s">
        <v>8960</v>
      </c>
      <c r="T1329" s="697">
        <v>0.20900000000000002</v>
      </c>
      <c r="U1329" s="372" t="s">
        <v>8961</v>
      </c>
      <c r="V1329" s="722">
        <v>7.78</v>
      </c>
      <c r="W1329" s="722">
        <v>0.24</v>
      </c>
      <c r="X1329" s="722">
        <v>0.24</v>
      </c>
      <c r="Y1329" s="722">
        <v>28.32</v>
      </c>
      <c r="Z1329" s="382" t="s">
        <v>924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8962</v>
      </c>
      <c r="B1330" s="373" t="s">
        <v>8963</v>
      </c>
      <c r="C1330" s="372" t="s">
        <v>8964</v>
      </c>
      <c r="D1330" s="374">
        <v>1158110006449</v>
      </c>
      <c r="E1330" s="372" t="s">
        <v>8965</v>
      </c>
      <c r="F1330" s="375" t="s">
        <v>4868</v>
      </c>
      <c r="G1330" s="375" t="s">
        <v>4868</v>
      </c>
      <c r="H1330" s="375" t="s">
        <v>858</v>
      </c>
      <c r="I1330" s="375" t="s">
        <v>859</v>
      </c>
      <c r="J1330" s="375">
        <v>477730.80566999997</v>
      </c>
      <c r="K1330" s="375">
        <v>15327.113369999999</v>
      </c>
      <c r="L1330" s="375">
        <v>14374.35894</v>
      </c>
      <c r="M1330" s="375">
        <v>130854.16289000001</v>
      </c>
      <c r="N1330" s="372">
        <v>0.998</v>
      </c>
      <c r="O1330" s="704">
        <v>96.94767726232125</v>
      </c>
      <c r="P1330" s="375" t="s">
        <v>619</v>
      </c>
      <c r="Q1330" s="375" t="s">
        <v>619</v>
      </c>
      <c r="R1330" s="696">
        <v>20010807</v>
      </c>
      <c r="S1330" s="375" t="s">
        <v>8966</v>
      </c>
      <c r="T1330" s="697">
        <v>0.20900000000000002</v>
      </c>
      <c r="U1330" s="372" t="s">
        <v>8967</v>
      </c>
      <c r="V1330" s="722">
        <v>3.55</v>
      </c>
      <c r="W1330" s="722">
        <v>0.64</v>
      </c>
      <c r="X1330" s="722">
        <v>0.18</v>
      </c>
      <c r="Y1330" s="722">
        <v>7.39</v>
      </c>
      <c r="Z1330" s="382">
        <v>1.6998721060881072E-2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4635</v>
      </c>
      <c r="AF1330" s="372">
        <v>4903.5</v>
      </c>
      <c r="AG1330" s="372">
        <v>5374</v>
      </c>
      <c r="AH1330" s="372">
        <v>0</v>
      </c>
    </row>
    <row r="1331" spans="1:34">
      <c r="A1331" s="372" t="s">
        <v>8968</v>
      </c>
      <c r="B1331" s="373" t="s">
        <v>8969</v>
      </c>
      <c r="C1331" s="372" t="s">
        <v>8970</v>
      </c>
      <c r="D1331" s="374">
        <v>1746110014924</v>
      </c>
      <c r="E1331" s="372" t="s">
        <v>8971</v>
      </c>
      <c r="F1331" s="375" t="s">
        <v>1860</v>
      </c>
      <c r="G1331" s="375" t="s">
        <v>1861</v>
      </c>
      <c r="H1331" s="375" t="s">
        <v>789</v>
      </c>
      <c r="I1331" s="375" t="s">
        <v>751</v>
      </c>
      <c r="J1331" s="375">
        <v>353404.93631999998</v>
      </c>
      <c r="K1331" s="375">
        <v>13452.99826</v>
      </c>
      <c r="L1331" s="375">
        <v>18189.197680000001</v>
      </c>
      <c r="M1331" s="375">
        <v>249378.375</v>
      </c>
      <c r="N1331" s="372">
        <v>0.69799999999999995</v>
      </c>
      <c r="O1331" s="704">
        <v>0</v>
      </c>
      <c r="P1331" s="375" t="s">
        <v>619</v>
      </c>
      <c r="Q1331" s="375" t="s">
        <v>619</v>
      </c>
      <c r="R1331" s="696">
        <v>20110722</v>
      </c>
      <c r="S1331" s="375" t="s">
        <v>8972</v>
      </c>
      <c r="T1331" s="697">
        <v>0.20900000000000002</v>
      </c>
      <c r="U1331" s="372" t="s">
        <v>8973</v>
      </c>
      <c r="V1331" s="722">
        <v>0</v>
      </c>
      <c r="W1331" s="722">
        <v>0</v>
      </c>
      <c r="X1331" s="722">
        <v>0</v>
      </c>
      <c r="Y1331" s="722">
        <v>0</v>
      </c>
      <c r="Z1331" s="382" t="s">
        <v>924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8974</v>
      </c>
      <c r="B1332" s="373" t="s">
        <v>8975</v>
      </c>
      <c r="C1332" s="372" t="s">
        <v>8976</v>
      </c>
      <c r="D1332" s="374">
        <v>2301110274751</v>
      </c>
      <c r="E1332" s="372" t="s">
        <v>8977</v>
      </c>
      <c r="F1332" s="375" t="s">
        <v>1588</v>
      </c>
      <c r="G1332" s="375" t="s">
        <v>1588</v>
      </c>
      <c r="H1332" s="375" t="s">
        <v>943</v>
      </c>
      <c r="I1332" s="375" t="s">
        <v>751</v>
      </c>
      <c r="J1332" s="375">
        <v>1808959.2715400001</v>
      </c>
      <c r="K1332" s="375">
        <v>27005.637940000001</v>
      </c>
      <c r="L1332" s="375">
        <v>36166.740169999997</v>
      </c>
      <c r="M1332" s="375">
        <v>439500.49592000002</v>
      </c>
      <c r="N1332" s="372">
        <v>0.64800000000000002</v>
      </c>
      <c r="O1332" s="704">
        <v>15.139976623840637</v>
      </c>
      <c r="P1332" s="375" t="s">
        <v>619</v>
      </c>
      <c r="Q1332" s="372" t="s">
        <v>619</v>
      </c>
      <c r="R1332" s="696">
        <v>20170512</v>
      </c>
      <c r="S1332" s="372" t="s">
        <v>8978</v>
      </c>
      <c r="T1332" s="697">
        <v>0.23100000000000001</v>
      </c>
      <c r="U1332" s="375" t="s">
        <v>8979</v>
      </c>
      <c r="V1332" s="722">
        <v>2.0699999999999998</v>
      </c>
      <c r="W1332" s="722">
        <v>0.25</v>
      </c>
      <c r="X1332" s="722">
        <v>0.06</v>
      </c>
      <c r="Y1332" s="722">
        <v>3.97</v>
      </c>
      <c r="Z1332" s="382" t="s">
        <v>924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8980</v>
      </c>
      <c r="B1333" s="373" t="s">
        <v>8981</v>
      </c>
      <c r="C1333" s="372" t="s">
        <v>8982</v>
      </c>
      <c r="D1333" s="374">
        <v>1101110070815</v>
      </c>
      <c r="E1333" s="372" t="s">
        <v>8983</v>
      </c>
      <c r="F1333" s="372" t="s">
        <v>766</v>
      </c>
      <c r="G1333" s="375" t="s">
        <v>766</v>
      </c>
      <c r="H1333" s="375" t="s">
        <v>858</v>
      </c>
      <c r="I1333" s="375" t="s">
        <v>859</v>
      </c>
      <c r="J1333" s="375">
        <v>124890.53044</v>
      </c>
      <c r="K1333" s="375">
        <v>-23754.48488</v>
      </c>
      <c r="L1333" s="375">
        <v>-23365.444309999999</v>
      </c>
      <c r="M1333" s="375">
        <v>102260.98366</v>
      </c>
      <c r="N1333" s="372">
        <v>1.444</v>
      </c>
      <c r="O1333" s="704">
        <v>11.551301094876786</v>
      </c>
      <c r="P1333" s="375" t="s">
        <v>619</v>
      </c>
      <c r="Q1333" s="372" t="s">
        <v>619</v>
      </c>
      <c r="R1333" s="696">
        <v>20101126</v>
      </c>
      <c r="S1333" s="372" t="s">
        <v>8984</v>
      </c>
      <c r="T1333" s="697" t="s">
        <v>768</v>
      </c>
      <c r="U1333" s="372" t="s">
        <v>8985</v>
      </c>
      <c r="V1333" s="722" t="s">
        <v>770</v>
      </c>
      <c r="W1333" s="722">
        <v>0.89</v>
      </c>
      <c r="X1333" s="722">
        <v>0.73</v>
      </c>
      <c r="Y1333" s="722" t="s">
        <v>770</v>
      </c>
      <c r="Z1333" s="382" t="s">
        <v>924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8986</v>
      </c>
      <c r="B1334" s="373" t="s">
        <v>8987</v>
      </c>
      <c r="C1334" s="372" t="s">
        <v>8988</v>
      </c>
      <c r="D1334" s="374">
        <v>1115110004162</v>
      </c>
      <c r="E1334" s="372" t="s">
        <v>8989</v>
      </c>
      <c r="F1334" s="375" t="s">
        <v>1273</v>
      </c>
      <c r="G1334" s="375" t="s">
        <v>1449</v>
      </c>
      <c r="H1334" s="375" t="s">
        <v>750</v>
      </c>
      <c r="I1334" s="375" t="s">
        <v>751</v>
      </c>
      <c r="J1334" s="375">
        <v>156191.87478000001</v>
      </c>
      <c r="K1334" s="375">
        <v>-7697.3283199999996</v>
      </c>
      <c r="L1334" s="375">
        <v>-13451.043739999999</v>
      </c>
      <c r="M1334" s="375">
        <v>499277.28042999998</v>
      </c>
      <c r="N1334" s="372">
        <v>0.67200000000000004</v>
      </c>
      <c r="O1334" s="704">
        <v>111.3028614450204</v>
      </c>
      <c r="P1334" s="375" t="s">
        <v>16112</v>
      </c>
      <c r="Q1334" s="372" t="s">
        <v>16113</v>
      </c>
      <c r="R1334" s="696">
        <v>19970930</v>
      </c>
      <c r="S1334" s="372" t="s">
        <v>8990</v>
      </c>
      <c r="T1334" s="697" t="s">
        <v>768</v>
      </c>
      <c r="U1334" s="372" t="s">
        <v>8991</v>
      </c>
      <c r="V1334" s="722">
        <v>54.01</v>
      </c>
      <c r="W1334" s="722">
        <v>0.25</v>
      </c>
      <c r="X1334" s="722">
        <v>0.81</v>
      </c>
      <c r="Y1334" s="722" t="s">
        <v>770</v>
      </c>
      <c r="Z1334" s="382" t="s">
        <v>924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8992</v>
      </c>
      <c r="B1335" s="373" t="s">
        <v>8993</v>
      </c>
      <c r="C1335" s="372" t="s">
        <v>8994</v>
      </c>
      <c r="D1335" s="374">
        <v>1101110124521</v>
      </c>
      <c r="E1335" s="372" t="s">
        <v>8995</v>
      </c>
      <c r="F1335" s="375" t="s">
        <v>8996</v>
      </c>
      <c r="G1335" s="375" t="s">
        <v>8996</v>
      </c>
      <c r="H1335" s="375" t="s">
        <v>906</v>
      </c>
      <c r="I1335" s="375" t="s">
        <v>751</v>
      </c>
      <c r="J1335" s="375">
        <v>843068.83134999999</v>
      </c>
      <c r="K1335" s="375">
        <v>40986.977579999999</v>
      </c>
      <c r="L1335" s="375">
        <v>25504.648669999999</v>
      </c>
      <c r="M1335" s="375">
        <v>166324.28031999999</v>
      </c>
      <c r="N1335" s="372">
        <v>0.47699999999999998</v>
      </c>
      <c r="O1335" s="704">
        <v>267.20950378617323</v>
      </c>
      <c r="P1335" s="375" t="s">
        <v>619</v>
      </c>
      <c r="Q1335" s="375" t="s">
        <v>619</v>
      </c>
      <c r="R1335" s="696">
        <v>19880810</v>
      </c>
      <c r="S1335" s="375" t="s">
        <v>8997</v>
      </c>
      <c r="T1335" s="697">
        <v>0.23100000000000001</v>
      </c>
      <c r="U1335" s="375" t="s">
        <v>8998</v>
      </c>
      <c r="V1335" s="722">
        <v>4.8899999999999997</v>
      </c>
      <c r="W1335" s="722">
        <v>0.82</v>
      </c>
      <c r="X1335" s="722">
        <v>0.16</v>
      </c>
      <c r="Y1335" s="722">
        <v>5.89</v>
      </c>
      <c r="Z1335" s="382" t="s">
        <v>924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8999</v>
      </c>
      <c r="B1336" s="373" t="s">
        <v>9000</v>
      </c>
      <c r="C1336" s="372" t="s">
        <v>9001</v>
      </c>
      <c r="D1336" s="374">
        <v>1845110001252</v>
      </c>
      <c r="E1336" s="372" t="s">
        <v>9002</v>
      </c>
      <c r="F1336" s="375" t="s">
        <v>1860</v>
      </c>
      <c r="G1336" s="375" t="s">
        <v>16110</v>
      </c>
      <c r="H1336" s="375" t="s">
        <v>789</v>
      </c>
      <c r="I1336" s="375" t="s">
        <v>751</v>
      </c>
      <c r="J1336" s="375">
        <v>1629120.23652</v>
      </c>
      <c r="K1336" s="375">
        <v>87839.528900000005</v>
      </c>
      <c r="L1336" s="375">
        <v>67850.668260000006</v>
      </c>
      <c r="M1336" s="375">
        <v>314920.84220000001</v>
      </c>
      <c r="N1336" s="372">
        <v>0.76400000000000001</v>
      </c>
      <c r="O1336" s="704">
        <v>697.89977808950323</v>
      </c>
      <c r="P1336" s="375" t="s">
        <v>619</v>
      </c>
      <c r="Q1336" s="372" t="s">
        <v>619</v>
      </c>
      <c r="R1336" s="696">
        <v>19910222</v>
      </c>
      <c r="S1336" s="372" t="s">
        <v>9003</v>
      </c>
      <c r="T1336" s="697">
        <v>0.23100000000000001</v>
      </c>
      <c r="U1336" s="372" t="s">
        <v>15900</v>
      </c>
      <c r="V1336" s="722">
        <v>5.18</v>
      </c>
      <c r="W1336" s="722">
        <v>0.51</v>
      </c>
      <c r="X1336" s="722">
        <v>0.06</v>
      </c>
      <c r="Y1336" s="722">
        <v>5.19</v>
      </c>
      <c r="Z1336" s="382" t="s">
        <v>924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9005</v>
      </c>
      <c r="B1337" s="373" t="s">
        <v>9006</v>
      </c>
      <c r="C1337" s="372" t="s">
        <v>9007</v>
      </c>
      <c r="D1337" s="374">
        <v>1311110409481</v>
      </c>
      <c r="E1337" s="372" t="s">
        <v>9008</v>
      </c>
      <c r="F1337" s="375" t="s">
        <v>3669</v>
      </c>
      <c r="G1337" s="375" t="s">
        <v>3669</v>
      </c>
      <c r="H1337" s="375" t="s">
        <v>1334</v>
      </c>
      <c r="I1337" s="375" t="s">
        <v>859</v>
      </c>
      <c r="J1337" s="375">
        <v>1155.2066600000001</v>
      </c>
      <c r="K1337" s="375">
        <v>-16065.995440000001</v>
      </c>
      <c r="L1337" s="375">
        <v>-8958.3510999999999</v>
      </c>
      <c r="M1337" s="375">
        <v>39418.962679999997</v>
      </c>
      <c r="N1337" s="372">
        <v>1.4970000000000001</v>
      </c>
      <c r="O1337" s="704">
        <v>10.36983852008815</v>
      </c>
      <c r="P1337" s="375" t="s">
        <v>619</v>
      </c>
      <c r="Q1337" s="375" t="s">
        <v>619</v>
      </c>
      <c r="R1337" s="696">
        <v>20221122</v>
      </c>
      <c r="S1337" s="375" t="s">
        <v>9009</v>
      </c>
      <c r="T1337" s="697" t="s">
        <v>768</v>
      </c>
      <c r="U1337" s="372" t="s">
        <v>9010</v>
      </c>
      <c r="V1337" s="722">
        <v>0</v>
      </c>
      <c r="W1337" s="722">
        <v>0</v>
      </c>
      <c r="X1337" s="722">
        <v>0</v>
      </c>
      <c r="Y1337" s="722">
        <v>0</v>
      </c>
      <c r="Z1337" s="382" t="s">
        <v>924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9011</v>
      </c>
      <c r="B1338" s="373" t="s">
        <v>9012</v>
      </c>
      <c r="C1338" s="372" t="s">
        <v>9013</v>
      </c>
      <c r="D1338" s="374">
        <v>1101116558469</v>
      </c>
      <c r="E1338" s="372" t="s">
        <v>9014</v>
      </c>
      <c r="F1338" s="375" t="s">
        <v>3669</v>
      </c>
      <c r="G1338" s="375" t="s">
        <v>3669</v>
      </c>
      <c r="H1338" s="375" t="s">
        <v>1334</v>
      </c>
      <c r="I1338" s="375" t="s">
        <v>859</v>
      </c>
      <c r="J1338" s="375">
        <v>620.08765000000005</v>
      </c>
      <c r="K1338" s="375">
        <v>-11911.439710000001</v>
      </c>
      <c r="L1338" s="375">
        <v>-10964.432220000001</v>
      </c>
      <c r="M1338" s="375">
        <v>10072.250260000001</v>
      </c>
      <c r="N1338" s="372">
        <v>1.018</v>
      </c>
      <c r="O1338" s="704">
        <v>2.7165503601453542</v>
      </c>
      <c r="P1338" s="375" t="s">
        <v>619</v>
      </c>
      <c r="Q1338" s="372" t="s">
        <v>619</v>
      </c>
      <c r="R1338" s="696">
        <v>20180608</v>
      </c>
      <c r="S1338" s="372" t="s">
        <v>9015</v>
      </c>
      <c r="T1338" s="697" t="s">
        <v>768</v>
      </c>
      <c r="U1338" s="372" t="s">
        <v>9016</v>
      </c>
      <c r="V1338" s="722" t="s">
        <v>770</v>
      </c>
      <c r="W1338" s="722">
        <v>21.55</v>
      </c>
      <c r="X1338" s="722">
        <v>208.18</v>
      </c>
      <c r="Y1338" s="722" t="s">
        <v>770</v>
      </c>
      <c r="Z1338" s="382" t="s">
        <v>924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9017</v>
      </c>
      <c r="B1339" s="373" t="s">
        <v>9018</v>
      </c>
      <c r="C1339" s="372" t="s">
        <v>9019</v>
      </c>
      <c r="D1339" s="374">
        <v>1348110110148</v>
      </c>
      <c r="E1339" s="372" t="s">
        <v>9020</v>
      </c>
      <c r="F1339" s="375" t="s">
        <v>1959</v>
      </c>
      <c r="G1339" s="375" t="s">
        <v>1959</v>
      </c>
      <c r="H1339" s="375" t="s">
        <v>858</v>
      </c>
      <c r="I1339" s="375" t="s">
        <v>859</v>
      </c>
      <c r="J1339" s="375">
        <v>83192.516019999995</v>
      </c>
      <c r="K1339" s="375">
        <v>4486.0655500000003</v>
      </c>
      <c r="L1339" s="375">
        <v>5722.0055599999996</v>
      </c>
      <c r="M1339" s="375">
        <v>64364.156219999997</v>
      </c>
      <c r="N1339" s="372" t="s">
        <v>1023</v>
      </c>
      <c r="O1339" s="704">
        <v>17.301070442867381</v>
      </c>
      <c r="P1339" s="375" t="s">
        <v>619</v>
      </c>
      <c r="Q1339" s="372" t="s">
        <v>619</v>
      </c>
      <c r="R1339" s="696">
        <v>20230523</v>
      </c>
      <c r="S1339" s="375" t="s">
        <v>9021</v>
      </c>
      <c r="T1339" s="697">
        <v>0.20900000000000002</v>
      </c>
      <c r="U1339" s="375" t="s">
        <v>9022</v>
      </c>
      <c r="V1339" s="722">
        <v>12.74</v>
      </c>
      <c r="W1339" s="722">
        <v>1.06</v>
      </c>
      <c r="X1339" s="722">
        <v>0.85</v>
      </c>
      <c r="Y1339" s="722">
        <v>11.16</v>
      </c>
      <c r="Z1339" s="382" t="s">
        <v>924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9023</v>
      </c>
      <c r="B1340" s="373" t="s">
        <v>9024</v>
      </c>
      <c r="C1340" s="372" t="s">
        <v>9025</v>
      </c>
      <c r="D1340" s="374">
        <v>1101117067972</v>
      </c>
      <c r="E1340" s="372" t="s">
        <v>9026</v>
      </c>
      <c r="F1340" s="375" t="s">
        <v>1959</v>
      </c>
      <c r="G1340" s="375" t="s">
        <v>1959</v>
      </c>
      <c r="H1340" s="375" t="s">
        <v>858</v>
      </c>
      <c r="I1340" s="375" t="s">
        <v>859</v>
      </c>
      <c r="J1340" s="375">
        <v>53249.495170000002</v>
      </c>
      <c r="K1340" s="375">
        <v>3551.7020900000002</v>
      </c>
      <c r="L1340" s="375">
        <v>2805.6703200000002</v>
      </c>
      <c r="M1340" s="375">
        <v>37310.175450000002</v>
      </c>
      <c r="N1340" s="372">
        <v>1.369</v>
      </c>
      <c r="O1340" s="704">
        <v>1.0056250163326919</v>
      </c>
      <c r="P1340" s="375" t="s">
        <v>619</v>
      </c>
      <c r="Q1340" s="372" t="s">
        <v>619</v>
      </c>
      <c r="R1340" s="696">
        <v>20190624</v>
      </c>
      <c r="S1340" s="372" t="s">
        <v>16276</v>
      </c>
      <c r="T1340" s="697">
        <v>0.20900000000000002</v>
      </c>
      <c r="U1340" s="375" t="s">
        <v>9028</v>
      </c>
      <c r="V1340" s="722">
        <v>141.44</v>
      </c>
      <c r="W1340" s="722">
        <v>18.75</v>
      </c>
      <c r="X1340" s="722">
        <v>13.06</v>
      </c>
      <c r="Y1340" s="722">
        <v>372.88</v>
      </c>
      <c r="Z1340" s="382" t="s">
        <v>924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9029</v>
      </c>
      <c r="B1341" s="373" t="s">
        <v>9030</v>
      </c>
      <c r="C1341" s="372" t="s">
        <v>9031</v>
      </c>
      <c r="D1341" s="374">
        <v>1801110000339</v>
      </c>
      <c r="E1341" s="372" t="s">
        <v>9032</v>
      </c>
      <c r="F1341" s="375" t="s">
        <v>5877</v>
      </c>
      <c r="G1341" s="375" t="s">
        <v>5877</v>
      </c>
      <c r="H1341" s="375" t="s">
        <v>823</v>
      </c>
      <c r="I1341" s="375" t="s">
        <v>751</v>
      </c>
      <c r="J1341" s="375">
        <v>769216.94007999997</v>
      </c>
      <c r="K1341" s="375">
        <v>24921.759259999999</v>
      </c>
      <c r="L1341" s="375">
        <v>15067.516729999999</v>
      </c>
      <c r="M1341" s="375">
        <v>507846.69562000001</v>
      </c>
      <c r="N1341" s="372">
        <v>0.82199999999999995</v>
      </c>
      <c r="O1341" s="704">
        <v>315.41524222933754</v>
      </c>
      <c r="P1341" s="375" t="s">
        <v>619</v>
      </c>
      <c r="Q1341" s="372" t="s">
        <v>619</v>
      </c>
      <c r="R1341" s="696">
        <v>19760521</v>
      </c>
      <c r="S1341" s="372" t="s">
        <v>9033</v>
      </c>
      <c r="T1341" s="697">
        <v>0.20900000000000002</v>
      </c>
      <c r="U1341" s="372" t="s">
        <v>9034</v>
      </c>
      <c r="V1341" s="722">
        <v>6.56</v>
      </c>
      <c r="W1341" s="722">
        <v>0.24</v>
      </c>
      <c r="X1341" s="722">
        <v>0.12</v>
      </c>
      <c r="Y1341" s="722" t="s">
        <v>770</v>
      </c>
      <c r="Z1341" s="382" t="s">
        <v>924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9035</v>
      </c>
      <c r="B1342" s="373" t="s">
        <v>9036</v>
      </c>
      <c r="C1342" s="372" t="s">
        <v>9037</v>
      </c>
      <c r="D1342" s="374">
        <v>1101113926875</v>
      </c>
      <c r="E1342" s="372" t="s">
        <v>9038</v>
      </c>
      <c r="F1342" s="375" t="s">
        <v>1113</v>
      </c>
      <c r="G1342" s="375" t="s">
        <v>1333</v>
      </c>
      <c r="H1342" s="375" t="s">
        <v>1334</v>
      </c>
      <c r="I1342" s="375" t="s">
        <v>859</v>
      </c>
      <c r="J1342" s="375">
        <v>8752.2270800000006</v>
      </c>
      <c r="K1342" s="375">
        <v>-24132.463520000001</v>
      </c>
      <c r="L1342" s="375">
        <v>-22854.22208</v>
      </c>
      <c r="M1342" s="375">
        <v>53418.918550000002</v>
      </c>
      <c r="N1342" s="372">
        <v>1.3080000000000001</v>
      </c>
      <c r="O1342" s="704">
        <v>0.6297087832367142</v>
      </c>
      <c r="P1342" s="375" t="s">
        <v>619</v>
      </c>
      <c r="Q1342" s="375" t="s">
        <v>619</v>
      </c>
      <c r="R1342" s="696">
        <v>20160229</v>
      </c>
      <c r="S1342" s="375" t="s">
        <v>9039</v>
      </c>
      <c r="T1342" s="697" t="s">
        <v>768</v>
      </c>
      <c r="U1342" s="372" t="s">
        <v>9040</v>
      </c>
      <c r="V1342" s="722" t="s">
        <v>770</v>
      </c>
      <c r="W1342" s="722">
        <v>3.01</v>
      </c>
      <c r="X1342" s="722">
        <v>14.74</v>
      </c>
      <c r="Y1342" s="722" t="s">
        <v>770</v>
      </c>
      <c r="Z1342" s="382" t="s">
        <v>924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9041</v>
      </c>
      <c r="B1343" s="373" t="s">
        <v>9042</v>
      </c>
      <c r="C1343" s="372" t="s">
        <v>9043</v>
      </c>
      <c r="D1343" s="374">
        <v>1101113176925</v>
      </c>
      <c r="E1343" s="372" t="s">
        <v>9044</v>
      </c>
      <c r="F1343" s="375" t="s">
        <v>2423</v>
      </c>
      <c r="G1343" s="375" t="s">
        <v>6071</v>
      </c>
      <c r="H1343" s="375" t="s">
        <v>858</v>
      </c>
      <c r="I1343" s="375" t="s">
        <v>859</v>
      </c>
      <c r="J1343" s="375">
        <v>68049.059080000006</v>
      </c>
      <c r="K1343" s="375">
        <v>2236.8550300000002</v>
      </c>
      <c r="L1343" s="375">
        <v>2930.5740300000002</v>
      </c>
      <c r="M1343" s="375">
        <v>65067.039299999997</v>
      </c>
      <c r="N1343" s="372">
        <v>0.92500000000000004</v>
      </c>
      <c r="O1343" s="704">
        <v>23.706892062799945</v>
      </c>
      <c r="P1343" s="375" t="s">
        <v>619</v>
      </c>
      <c r="Q1343" s="372" t="s">
        <v>619</v>
      </c>
      <c r="R1343" s="696">
        <v>20221007</v>
      </c>
      <c r="S1343" s="372" t="s">
        <v>9045</v>
      </c>
      <c r="T1343" s="697">
        <v>0.20900000000000002</v>
      </c>
      <c r="U1343" s="375" t="s">
        <v>9046</v>
      </c>
      <c r="V1343" s="722">
        <v>10.16</v>
      </c>
      <c r="W1343" s="722">
        <v>1.02</v>
      </c>
      <c r="X1343" s="722">
        <v>0.97</v>
      </c>
      <c r="Y1343" s="722">
        <v>25.01</v>
      </c>
      <c r="Z1343" s="382" t="s">
        <v>924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9047</v>
      </c>
      <c r="B1344" s="373" t="s">
        <v>9048</v>
      </c>
      <c r="C1344" s="372" t="s">
        <v>9049</v>
      </c>
      <c r="D1344" s="374">
        <v>1911110000758</v>
      </c>
      <c r="E1344" s="372" t="s">
        <v>9050</v>
      </c>
      <c r="F1344" s="375" t="s">
        <v>1959</v>
      </c>
      <c r="G1344" s="375" t="s">
        <v>1959</v>
      </c>
      <c r="H1344" s="375" t="s">
        <v>858</v>
      </c>
      <c r="I1344" s="375" t="s">
        <v>859</v>
      </c>
      <c r="J1344" s="375">
        <v>260977.87927999999</v>
      </c>
      <c r="K1344" s="375">
        <v>5403.6067499999999</v>
      </c>
      <c r="L1344" s="375">
        <v>366.95643999999999</v>
      </c>
      <c r="M1344" s="375">
        <v>84003.665689999994</v>
      </c>
      <c r="N1344" s="372">
        <v>1.2170000000000001</v>
      </c>
      <c r="O1344" s="704">
        <v>127.30679105350158</v>
      </c>
      <c r="P1344" s="375" t="s">
        <v>619</v>
      </c>
      <c r="Q1344" s="372" t="s">
        <v>619</v>
      </c>
      <c r="R1344" s="696">
        <v>19910510</v>
      </c>
      <c r="S1344" s="372" t="s">
        <v>9051</v>
      </c>
      <c r="T1344" s="697">
        <v>0.20900000000000002</v>
      </c>
      <c r="U1344" s="372" t="s">
        <v>9052</v>
      </c>
      <c r="V1344" s="722">
        <v>0</v>
      </c>
      <c r="W1344" s="722">
        <v>0</v>
      </c>
      <c r="X1344" s="722">
        <v>0</v>
      </c>
      <c r="Y1344" s="722">
        <v>0</v>
      </c>
      <c r="Z1344" s="382" t="s">
        <v>924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9053</v>
      </c>
      <c r="B1345" s="373" t="s">
        <v>9054</v>
      </c>
      <c r="C1345" s="372" t="s">
        <v>9055</v>
      </c>
      <c r="D1345" s="374">
        <v>1101111806409</v>
      </c>
      <c r="E1345" s="372" t="s">
        <v>9056</v>
      </c>
      <c r="F1345" s="375" t="s">
        <v>2100</v>
      </c>
      <c r="G1345" s="375" t="s">
        <v>2100</v>
      </c>
      <c r="H1345" s="375" t="s">
        <v>892</v>
      </c>
      <c r="I1345" s="375" t="s">
        <v>859</v>
      </c>
      <c r="J1345" s="375">
        <v>13263.79774</v>
      </c>
      <c r="K1345" s="375">
        <v>4684.6049300000004</v>
      </c>
      <c r="L1345" s="375">
        <v>5420.5471399999997</v>
      </c>
      <c r="M1345" s="375">
        <v>85824.728959999993</v>
      </c>
      <c r="N1345" s="372" t="s">
        <v>1023</v>
      </c>
      <c r="O1345" s="704">
        <v>0</v>
      </c>
      <c r="P1345" s="375" t="s">
        <v>619</v>
      </c>
      <c r="Q1345" s="375" t="s">
        <v>619</v>
      </c>
      <c r="R1345" s="696">
        <v>20240125</v>
      </c>
      <c r="S1345" s="375" t="s">
        <v>9057</v>
      </c>
      <c r="T1345" s="697">
        <v>0.20900000000000002</v>
      </c>
      <c r="U1345" s="372" t="s">
        <v>9058</v>
      </c>
      <c r="V1345" s="722">
        <v>0</v>
      </c>
      <c r="W1345" s="722">
        <v>0</v>
      </c>
      <c r="X1345" s="722">
        <v>0</v>
      </c>
      <c r="Y1345" s="722">
        <v>0</v>
      </c>
      <c r="Z1345" s="382" t="s">
        <v>924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9059</v>
      </c>
      <c r="B1346" s="373" t="s">
        <v>9060</v>
      </c>
      <c r="C1346" s="372" t="s">
        <v>9061</v>
      </c>
      <c r="D1346" s="374">
        <v>1101110597166</v>
      </c>
      <c r="E1346" s="372" t="s">
        <v>9062</v>
      </c>
      <c r="F1346" s="375" t="s">
        <v>1093</v>
      </c>
      <c r="G1346" s="375" t="s">
        <v>1094</v>
      </c>
      <c r="H1346" s="375" t="s">
        <v>858</v>
      </c>
      <c r="I1346" s="375" t="s">
        <v>859</v>
      </c>
      <c r="J1346" s="375">
        <v>82313.985769999999</v>
      </c>
      <c r="K1346" s="375">
        <v>865.86194</v>
      </c>
      <c r="L1346" s="375">
        <v>882.87089000000003</v>
      </c>
      <c r="M1346" s="375">
        <v>86912.477629999994</v>
      </c>
      <c r="N1346" s="372">
        <v>0.39500000000000002</v>
      </c>
      <c r="O1346" s="704">
        <v>11.046400862899187</v>
      </c>
      <c r="P1346" s="375" t="s">
        <v>619</v>
      </c>
      <c r="Q1346" s="375" t="s">
        <v>619</v>
      </c>
      <c r="R1346" s="696">
        <v>19991208</v>
      </c>
      <c r="S1346" s="375" t="s">
        <v>2066</v>
      </c>
      <c r="T1346" s="697">
        <v>0.20900000000000002</v>
      </c>
      <c r="U1346" s="375" t="s">
        <v>9063</v>
      </c>
      <c r="V1346" s="722">
        <v>25.16</v>
      </c>
      <c r="W1346" s="722">
        <v>1.04</v>
      </c>
      <c r="X1346" s="722">
        <v>1.33</v>
      </c>
      <c r="Y1346" s="722">
        <v>172.39</v>
      </c>
      <c r="Z1346" s="382" t="s">
        <v>924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9064</v>
      </c>
      <c r="B1347" s="373" t="s">
        <v>9065</v>
      </c>
      <c r="C1347" s="372" t="s">
        <v>9066</v>
      </c>
      <c r="D1347" s="374">
        <v>1101113624007</v>
      </c>
      <c r="E1347" s="372" t="s">
        <v>9067</v>
      </c>
      <c r="F1347" s="375" t="s">
        <v>9068</v>
      </c>
      <c r="G1347" s="375" t="s">
        <v>9068</v>
      </c>
      <c r="H1347" s="375" t="s">
        <v>1334</v>
      </c>
      <c r="I1347" s="375" t="s">
        <v>859</v>
      </c>
      <c r="J1347" s="375">
        <v>84264.198499999999</v>
      </c>
      <c r="K1347" s="375">
        <v>3256.8141900000001</v>
      </c>
      <c r="L1347" s="375">
        <v>5616.7545099999998</v>
      </c>
      <c r="M1347" s="375">
        <v>80537.807549999998</v>
      </c>
      <c r="N1347" s="372">
        <v>0.76</v>
      </c>
      <c r="O1347" s="704">
        <v>1.6685903640626147</v>
      </c>
      <c r="P1347" s="375" t="s">
        <v>619</v>
      </c>
      <c r="Q1347" s="375" t="s">
        <v>619</v>
      </c>
      <c r="R1347" s="696">
        <v>20070430</v>
      </c>
      <c r="S1347" s="375" t="s">
        <v>9069</v>
      </c>
      <c r="T1347" s="697">
        <v>0.20900000000000002</v>
      </c>
      <c r="U1347" s="372" t="s">
        <v>9070</v>
      </c>
      <c r="V1347" s="722">
        <v>0</v>
      </c>
      <c r="W1347" s="722">
        <v>0</v>
      </c>
      <c r="X1347" s="722">
        <v>0</v>
      </c>
      <c r="Y1347" s="722">
        <v>0</v>
      </c>
      <c r="Z1347" s="382" t="s">
        <v>924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9071</v>
      </c>
      <c r="B1348" s="373" t="s">
        <v>9072</v>
      </c>
      <c r="C1348" s="372" t="s">
        <v>9073</v>
      </c>
      <c r="D1348" s="374">
        <v>1101116852431</v>
      </c>
      <c r="E1348" s="372" t="s">
        <v>9074</v>
      </c>
      <c r="F1348" s="375" t="s">
        <v>1959</v>
      </c>
      <c r="G1348" s="375" t="s">
        <v>1959</v>
      </c>
      <c r="H1348" s="375" t="s">
        <v>858</v>
      </c>
      <c r="I1348" s="375" t="s">
        <v>859</v>
      </c>
      <c r="J1348" s="375">
        <v>120299.99961</v>
      </c>
      <c r="K1348" s="375">
        <v>6172.3969699999998</v>
      </c>
      <c r="L1348" s="375">
        <v>2365.6075999999998</v>
      </c>
      <c r="M1348" s="375">
        <v>61288.515890000002</v>
      </c>
      <c r="N1348" s="372">
        <v>0.85199999999999998</v>
      </c>
      <c r="O1348" s="704">
        <v>58.612876096278029</v>
      </c>
      <c r="P1348" s="375" t="s">
        <v>619</v>
      </c>
      <c r="Q1348" s="372" t="s">
        <v>619</v>
      </c>
      <c r="R1348" s="696">
        <v>20181031</v>
      </c>
      <c r="S1348" s="372" t="s">
        <v>9015</v>
      </c>
      <c r="T1348" s="697">
        <v>0.20900000000000002</v>
      </c>
      <c r="U1348" s="375" t="s">
        <v>9075</v>
      </c>
      <c r="V1348" s="722">
        <v>16.440000000000001</v>
      </c>
      <c r="W1348" s="722">
        <v>1.86</v>
      </c>
      <c r="X1348" s="722">
        <v>0.76</v>
      </c>
      <c r="Y1348" s="722" t="s">
        <v>770</v>
      </c>
      <c r="Z1348" s="382" t="s">
        <v>924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9076</v>
      </c>
      <c r="B1349" s="373" t="s">
        <v>9077</v>
      </c>
      <c r="C1349" s="372" t="s">
        <v>9078</v>
      </c>
      <c r="D1349" s="374">
        <v>1812110001102</v>
      </c>
      <c r="E1349" s="372" t="s">
        <v>9079</v>
      </c>
      <c r="F1349" s="375" t="s">
        <v>1860</v>
      </c>
      <c r="G1349" s="375" t="s">
        <v>1861</v>
      </c>
      <c r="H1349" s="375" t="s">
        <v>858</v>
      </c>
      <c r="I1349" s="375" t="s">
        <v>859</v>
      </c>
      <c r="J1349" s="375">
        <v>324724.85862999997</v>
      </c>
      <c r="K1349" s="375">
        <v>14665.853139999999</v>
      </c>
      <c r="L1349" s="375">
        <v>14601.094349999999</v>
      </c>
      <c r="M1349" s="375">
        <v>149532.45246999999</v>
      </c>
      <c r="N1349" s="372">
        <v>0.93400000000000005</v>
      </c>
      <c r="O1349" s="704">
        <v>6.6912384102763358</v>
      </c>
      <c r="P1349" s="375" t="s">
        <v>619</v>
      </c>
      <c r="Q1349" s="375" t="s">
        <v>619</v>
      </c>
      <c r="R1349" s="696">
        <v>20131204</v>
      </c>
      <c r="S1349" s="375" t="s">
        <v>9080</v>
      </c>
      <c r="T1349" s="697">
        <v>0.20900000000000002</v>
      </c>
      <c r="U1349" s="372" t="s">
        <v>9081</v>
      </c>
      <c r="V1349" s="722">
        <v>4.9800000000000004</v>
      </c>
      <c r="W1349" s="722">
        <v>0.59</v>
      </c>
      <c r="X1349" s="722">
        <v>0.28000000000000003</v>
      </c>
      <c r="Y1349" s="722">
        <v>8.27</v>
      </c>
      <c r="Z1349" s="382" t="s">
        <v>924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9082</v>
      </c>
      <c r="B1350" s="373" t="s">
        <v>9083</v>
      </c>
      <c r="C1350" s="372" t="s">
        <v>9084</v>
      </c>
      <c r="D1350" s="374">
        <v>1101111424243</v>
      </c>
      <c r="E1350" s="372" t="s">
        <v>9085</v>
      </c>
      <c r="F1350" s="372" t="s">
        <v>1320</v>
      </c>
      <c r="G1350" s="375" t="s">
        <v>16103</v>
      </c>
      <c r="H1350" s="375" t="s">
        <v>858</v>
      </c>
      <c r="I1350" s="375" t="s">
        <v>859</v>
      </c>
      <c r="J1350" s="375">
        <v>8059.2457899999999</v>
      </c>
      <c r="K1350" s="375">
        <v>-1817.5915199999999</v>
      </c>
      <c r="L1350" s="375">
        <v>-2115.0876800000001</v>
      </c>
      <c r="M1350" s="375">
        <v>25519.673579999999</v>
      </c>
      <c r="N1350" s="372">
        <v>0.65900000000000003</v>
      </c>
      <c r="O1350" s="704">
        <v>36.725695805051934</v>
      </c>
      <c r="P1350" s="375" t="s">
        <v>619</v>
      </c>
      <c r="Q1350" s="372" t="s">
        <v>619</v>
      </c>
      <c r="R1350" s="696">
        <v>20160122</v>
      </c>
      <c r="S1350" s="372" t="s">
        <v>9086</v>
      </c>
      <c r="T1350" s="697" t="s">
        <v>768</v>
      </c>
      <c r="U1350" s="375" t="s">
        <v>9087</v>
      </c>
      <c r="V1350" s="722">
        <v>0</v>
      </c>
      <c r="W1350" s="722">
        <v>0</v>
      </c>
      <c r="X1350" s="722">
        <v>0</v>
      </c>
      <c r="Y1350" s="722">
        <v>0</v>
      </c>
      <c r="Z1350" s="382" t="s">
        <v>924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9088</v>
      </c>
      <c r="B1351" s="373" t="s">
        <v>9089</v>
      </c>
      <c r="C1351" s="372" t="s">
        <v>9090</v>
      </c>
      <c r="D1351" s="374">
        <v>2013110001155</v>
      </c>
      <c r="E1351" s="372" t="s">
        <v>9091</v>
      </c>
      <c r="F1351" s="372" t="s">
        <v>9092</v>
      </c>
      <c r="G1351" s="375" t="s">
        <v>9093</v>
      </c>
      <c r="H1351" s="375" t="s">
        <v>858</v>
      </c>
      <c r="I1351" s="375" t="s">
        <v>859</v>
      </c>
      <c r="J1351" s="375">
        <v>69348.104430000007</v>
      </c>
      <c r="K1351" s="375">
        <v>939.09097999999994</v>
      </c>
      <c r="L1351" s="375">
        <v>2126.3168099999998</v>
      </c>
      <c r="M1351" s="375">
        <v>236347.80301</v>
      </c>
      <c r="N1351" s="372">
        <v>0.86499999999999999</v>
      </c>
      <c r="O1351" s="704">
        <v>0</v>
      </c>
      <c r="P1351" s="375" t="s">
        <v>619</v>
      </c>
      <c r="Q1351" s="372" t="s">
        <v>619</v>
      </c>
      <c r="R1351" s="696">
        <v>20000822</v>
      </c>
      <c r="S1351" s="372" t="s">
        <v>9094</v>
      </c>
      <c r="T1351" s="697">
        <v>0.20900000000000002</v>
      </c>
      <c r="U1351" s="372" t="s">
        <v>9095</v>
      </c>
      <c r="V1351" s="722">
        <v>25.5</v>
      </c>
      <c r="W1351" s="722">
        <v>0.37</v>
      </c>
      <c r="X1351" s="722">
        <v>1.29</v>
      </c>
      <c r="Y1351" s="722">
        <v>32.42</v>
      </c>
      <c r="Z1351" s="382" t="s">
        <v>924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9096</v>
      </c>
      <c r="B1352" s="373" t="s">
        <v>9097</v>
      </c>
      <c r="C1352" s="372" t="s">
        <v>9098</v>
      </c>
      <c r="D1352" s="374">
        <v>1101110779152</v>
      </c>
      <c r="E1352" s="372" t="s">
        <v>9099</v>
      </c>
      <c r="F1352" s="375" t="s">
        <v>6607</v>
      </c>
      <c r="G1352" s="375" t="s">
        <v>6607</v>
      </c>
      <c r="H1352" s="375" t="s">
        <v>858</v>
      </c>
      <c r="I1352" s="375" t="s">
        <v>859</v>
      </c>
      <c r="J1352" s="375">
        <v>6649.6997199999996</v>
      </c>
      <c r="K1352" s="375">
        <v>-2650.04603</v>
      </c>
      <c r="L1352" s="375">
        <v>160767.45334000001</v>
      </c>
      <c r="M1352" s="375">
        <v>259237.07289000001</v>
      </c>
      <c r="N1352" s="372">
        <v>0.90400000000000003</v>
      </c>
      <c r="O1352" s="704">
        <v>9.5553474950758197</v>
      </c>
      <c r="P1352" s="375" t="s">
        <v>619</v>
      </c>
      <c r="Q1352" s="375" t="s">
        <v>619</v>
      </c>
      <c r="R1352" s="696">
        <v>19960820</v>
      </c>
      <c r="S1352" s="375" t="s">
        <v>9100</v>
      </c>
      <c r="T1352" s="697">
        <v>0.23100000000000001</v>
      </c>
      <c r="U1352" s="372" t="s">
        <v>9101</v>
      </c>
      <c r="V1352" s="722" t="s">
        <v>770</v>
      </c>
      <c r="W1352" s="722">
        <v>0.78</v>
      </c>
      <c r="X1352" s="722">
        <v>26.89</v>
      </c>
      <c r="Y1352" s="722">
        <v>1.3</v>
      </c>
      <c r="Z1352" s="382" t="s">
        <v>924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9102</v>
      </c>
      <c r="B1353" s="373" t="s">
        <v>9103</v>
      </c>
      <c r="C1353" s="372" t="s">
        <v>9104</v>
      </c>
      <c r="D1353" s="374">
        <v>1101114461002</v>
      </c>
      <c r="E1353" s="372" t="s">
        <v>9105</v>
      </c>
      <c r="F1353" s="375" t="s">
        <v>16098</v>
      </c>
      <c r="G1353" s="375" t="s">
        <v>16098</v>
      </c>
      <c r="H1353" s="375" t="s">
        <v>858</v>
      </c>
      <c r="I1353" s="375" t="s">
        <v>859</v>
      </c>
      <c r="J1353" s="375">
        <v>12772.297850000001</v>
      </c>
      <c r="K1353" s="375">
        <v>-19291.4447</v>
      </c>
      <c r="L1353" s="375">
        <v>-10447.552470000001</v>
      </c>
      <c r="M1353" s="375">
        <v>47458.779269999999</v>
      </c>
      <c r="N1353" s="372">
        <v>0.996</v>
      </c>
      <c r="O1353" s="704">
        <v>6.3585653834218672</v>
      </c>
      <c r="P1353" s="375" t="s">
        <v>619</v>
      </c>
      <c r="Q1353" s="372" t="s">
        <v>619</v>
      </c>
      <c r="R1353" s="696">
        <v>20151221</v>
      </c>
      <c r="S1353" s="375" t="s">
        <v>8061</v>
      </c>
      <c r="T1353" s="697" t="s">
        <v>768</v>
      </c>
      <c r="U1353" s="372" t="s">
        <v>9106</v>
      </c>
      <c r="V1353" s="722" t="s">
        <v>770</v>
      </c>
      <c r="W1353" s="722">
        <v>2.02</v>
      </c>
      <c r="X1353" s="722">
        <v>7.3</v>
      </c>
      <c r="Y1353" s="722" t="s">
        <v>770</v>
      </c>
      <c r="Z1353" s="382" t="s">
        <v>924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9107</v>
      </c>
      <c r="B1354" s="373" t="s">
        <v>9108</v>
      </c>
      <c r="C1354" s="372" t="s">
        <v>9109</v>
      </c>
      <c r="D1354" s="374">
        <v>1341110000096</v>
      </c>
      <c r="E1354" s="372" t="s">
        <v>9110</v>
      </c>
      <c r="F1354" s="375" t="s">
        <v>2861</v>
      </c>
      <c r="G1354" s="375" t="s">
        <v>5980</v>
      </c>
      <c r="H1354" s="375" t="s">
        <v>823</v>
      </c>
      <c r="I1354" s="375" t="s">
        <v>751</v>
      </c>
      <c r="J1354" s="375">
        <v>121198.11596</v>
      </c>
      <c r="K1354" s="375">
        <v>7690.36391</v>
      </c>
      <c r="L1354" s="375">
        <v>7532.3965200000002</v>
      </c>
      <c r="M1354" s="375">
        <v>90338.497189999995</v>
      </c>
      <c r="N1354" s="372">
        <v>0.79200000000000004</v>
      </c>
      <c r="O1354" s="704">
        <v>29.223543778138211</v>
      </c>
      <c r="P1354" s="375" t="s">
        <v>619</v>
      </c>
      <c r="Q1354" s="372" t="s">
        <v>619</v>
      </c>
      <c r="R1354" s="696">
        <v>19870925</v>
      </c>
      <c r="S1354" s="372" t="s">
        <v>9111</v>
      </c>
      <c r="T1354" s="697">
        <v>0.20900000000000002</v>
      </c>
      <c r="U1354" s="372" t="s">
        <v>9112</v>
      </c>
      <c r="V1354" s="722">
        <v>11.22</v>
      </c>
      <c r="W1354" s="722">
        <v>1.21</v>
      </c>
      <c r="X1354" s="722">
        <v>0.97</v>
      </c>
      <c r="Y1354" s="722">
        <v>20.260000000000002</v>
      </c>
      <c r="Z1354" s="382" t="s">
        <v>924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9113</v>
      </c>
      <c r="B1355" s="373" t="s">
        <v>9114</v>
      </c>
      <c r="C1355" s="372" t="s">
        <v>9115</v>
      </c>
      <c r="D1355" s="374">
        <v>1101110063779</v>
      </c>
      <c r="E1355" s="372" t="s">
        <v>9116</v>
      </c>
      <c r="F1355" s="372" t="s">
        <v>7209</v>
      </c>
      <c r="G1355" s="375" t="s">
        <v>8270</v>
      </c>
      <c r="H1355" s="375" t="s">
        <v>3954</v>
      </c>
      <c r="I1355" s="375" t="s">
        <v>751</v>
      </c>
      <c r="J1355" s="375">
        <v>530905.45128000004</v>
      </c>
      <c r="K1355" s="375">
        <v>-2059.9603000000002</v>
      </c>
      <c r="L1355" s="375">
        <v>-26771.251550000001</v>
      </c>
      <c r="M1355" s="375">
        <v>191813.27778</v>
      </c>
      <c r="N1355" s="372">
        <v>0.64800000000000002</v>
      </c>
      <c r="O1355" s="704">
        <v>431.72429544997721</v>
      </c>
      <c r="P1355" s="375" t="s">
        <v>619</v>
      </c>
      <c r="Q1355" s="375" t="s">
        <v>619</v>
      </c>
      <c r="R1355" s="696">
        <v>19750625</v>
      </c>
      <c r="S1355" s="375" t="s">
        <v>9117</v>
      </c>
      <c r="T1355" s="697" t="s">
        <v>768</v>
      </c>
      <c r="U1355" s="372" t="s">
        <v>9118</v>
      </c>
      <c r="V1355" s="722">
        <v>13.06</v>
      </c>
      <c r="W1355" s="722">
        <v>0.45</v>
      </c>
      <c r="X1355" s="722">
        <v>0.16</v>
      </c>
      <c r="Y1355" s="722" t="s">
        <v>770</v>
      </c>
      <c r="Z1355" s="382" t="s">
        <v>924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9119</v>
      </c>
      <c r="B1356" s="373" t="s">
        <v>9120</v>
      </c>
      <c r="C1356" s="372" t="s">
        <v>9121</v>
      </c>
      <c r="D1356" s="374">
        <v>1801110078534</v>
      </c>
      <c r="E1356" s="372" t="s">
        <v>9122</v>
      </c>
      <c r="F1356" s="375" t="s">
        <v>1287</v>
      </c>
      <c r="G1356" s="375" t="s">
        <v>1287</v>
      </c>
      <c r="H1356" s="375" t="s">
        <v>858</v>
      </c>
      <c r="I1356" s="375" t="s">
        <v>859</v>
      </c>
      <c r="J1356" s="375">
        <v>68069.484689999997</v>
      </c>
      <c r="K1356" s="375">
        <v>-2885.28991</v>
      </c>
      <c r="L1356" s="375">
        <v>-2192.7455500000001</v>
      </c>
      <c r="M1356" s="375">
        <v>67378.404779999997</v>
      </c>
      <c r="N1356" s="372">
        <v>1.27</v>
      </c>
      <c r="O1356" s="704">
        <v>28.844272317434399</v>
      </c>
      <c r="P1356" s="375" t="s">
        <v>619</v>
      </c>
      <c r="Q1356" s="375" t="s">
        <v>619</v>
      </c>
      <c r="R1356" s="696">
        <v>20190814</v>
      </c>
      <c r="S1356" s="375" t="s">
        <v>9123</v>
      </c>
      <c r="T1356" s="697" t="s">
        <v>768</v>
      </c>
      <c r="U1356" s="372" t="s">
        <v>9124</v>
      </c>
      <c r="V1356" s="722" t="s">
        <v>770</v>
      </c>
      <c r="W1356" s="722">
        <v>1.08</v>
      </c>
      <c r="X1356" s="722">
        <v>0.91</v>
      </c>
      <c r="Y1356" s="722" t="s">
        <v>770</v>
      </c>
      <c r="Z1356" s="382" t="s">
        <v>924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9125</v>
      </c>
      <c r="B1357" s="373" t="s">
        <v>9126</v>
      </c>
      <c r="C1357" s="372" t="s">
        <v>9127</v>
      </c>
      <c r="D1357" s="374">
        <v>1101114290039</v>
      </c>
      <c r="E1357" s="372" t="s">
        <v>9128</v>
      </c>
      <c r="F1357" s="372" t="s">
        <v>1860</v>
      </c>
      <c r="G1357" s="375" t="s">
        <v>1861</v>
      </c>
      <c r="H1357" s="375" t="s">
        <v>858</v>
      </c>
      <c r="I1357" s="375" t="s">
        <v>859</v>
      </c>
      <c r="J1357" s="375">
        <v>742135.66038999998</v>
      </c>
      <c r="K1357" s="375">
        <v>38728.15612</v>
      </c>
      <c r="L1357" s="375">
        <v>44948.463649999998</v>
      </c>
      <c r="M1357" s="375">
        <v>204217.58095</v>
      </c>
      <c r="N1357" s="372">
        <v>1.1140000000000001</v>
      </c>
      <c r="O1357" s="704">
        <v>71.914209531077702</v>
      </c>
      <c r="P1357" s="375" t="s">
        <v>619</v>
      </c>
      <c r="Q1357" s="375" t="s">
        <v>619</v>
      </c>
      <c r="R1357" s="696">
        <v>20100827</v>
      </c>
      <c r="S1357" s="375" t="s">
        <v>9129</v>
      </c>
      <c r="T1357" s="697">
        <v>0.23100000000000001</v>
      </c>
      <c r="U1357" s="372" t="s">
        <v>9130</v>
      </c>
      <c r="V1357" s="722">
        <v>3.69</v>
      </c>
      <c r="W1357" s="722">
        <v>0.86</v>
      </c>
      <c r="X1357" s="722">
        <v>0.23</v>
      </c>
      <c r="Y1357" s="722">
        <v>5.05</v>
      </c>
      <c r="Z1357" s="382">
        <v>5.705116266727539E-2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7396.67</v>
      </c>
      <c r="AF1357" s="372">
        <v>7950.5</v>
      </c>
      <c r="AG1357" s="372">
        <v>8484</v>
      </c>
      <c r="AH1357" s="372">
        <v>0</v>
      </c>
    </row>
    <row r="1358" spans="1:34">
      <c r="A1358" s="372" t="s">
        <v>9131</v>
      </c>
      <c r="B1358" s="373" t="s">
        <v>9132</v>
      </c>
      <c r="C1358" s="372" t="s">
        <v>9133</v>
      </c>
      <c r="D1358" s="374">
        <v>1201110014027</v>
      </c>
      <c r="E1358" s="372" t="s">
        <v>9134</v>
      </c>
      <c r="F1358" s="372" t="s">
        <v>1588</v>
      </c>
      <c r="G1358" s="375" t="s">
        <v>1588</v>
      </c>
      <c r="H1358" s="375" t="s">
        <v>943</v>
      </c>
      <c r="I1358" s="375" t="s">
        <v>751</v>
      </c>
      <c r="J1358" s="375">
        <v>924115.04480000003</v>
      </c>
      <c r="K1358" s="375">
        <v>21879.133010000001</v>
      </c>
      <c r="L1358" s="375">
        <v>27330.910070000002</v>
      </c>
      <c r="M1358" s="375">
        <v>217371.19633999999</v>
      </c>
      <c r="N1358" s="372">
        <v>0.43099999999999999</v>
      </c>
      <c r="O1358" s="704">
        <v>16.674063794220785</v>
      </c>
      <c r="P1358" s="375" t="s">
        <v>619</v>
      </c>
      <c r="Q1358" s="372" t="s">
        <v>619</v>
      </c>
      <c r="R1358" s="696">
        <v>20061107</v>
      </c>
      <c r="S1358" s="372" t="s">
        <v>9135</v>
      </c>
      <c r="T1358" s="697">
        <v>0.23100000000000001</v>
      </c>
      <c r="U1358" s="372" t="s">
        <v>9136</v>
      </c>
      <c r="V1358" s="722">
        <v>0</v>
      </c>
      <c r="W1358" s="722">
        <v>0</v>
      </c>
      <c r="X1358" s="722">
        <v>0</v>
      </c>
      <c r="Y1358" s="722">
        <v>0</v>
      </c>
      <c r="Z1358" s="382" t="s">
        <v>924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9137</v>
      </c>
      <c r="B1359" s="373" t="s">
        <v>9138</v>
      </c>
      <c r="C1359" s="372" t="s">
        <v>9139</v>
      </c>
      <c r="D1359" s="374">
        <v>1101112739998</v>
      </c>
      <c r="E1359" s="372" t="s">
        <v>9140</v>
      </c>
      <c r="F1359" s="375" t="s">
        <v>5766</v>
      </c>
      <c r="G1359" s="375" t="s">
        <v>5766</v>
      </c>
      <c r="H1359" s="375" t="s">
        <v>1334</v>
      </c>
      <c r="I1359" s="375" t="s">
        <v>859</v>
      </c>
      <c r="J1359" s="375">
        <v>14350.841109999999</v>
      </c>
      <c r="K1359" s="375">
        <v>-2831.0550499999999</v>
      </c>
      <c r="L1359" s="375">
        <v>-1604.8874900000001</v>
      </c>
      <c r="M1359" s="375">
        <v>35019.054369999998</v>
      </c>
      <c r="N1359" s="372">
        <v>0.89200000000000002</v>
      </c>
      <c r="O1359" s="704">
        <v>1.2416749857261908</v>
      </c>
      <c r="P1359" s="375" t="s">
        <v>619</v>
      </c>
      <c r="Q1359" s="375" t="s">
        <v>619</v>
      </c>
      <c r="R1359" s="696">
        <v>20210713</v>
      </c>
      <c r="S1359" s="375" t="s">
        <v>9141</v>
      </c>
      <c r="T1359" s="697" t="s">
        <v>768</v>
      </c>
      <c r="U1359" s="375" t="s">
        <v>9142</v>
      </c>
      <c r="V1359" s="722" t="s">
        <v>770</v>
      </c>
      <c r="W1359" s="722">
        <v>2.37</v>
      </c>
      <c r="X1359" s="722">
        <v>5.67</v>
      </c>
      <c r="Y1359" s="722" t="s">
        <v>770</v>
      </c>
      <c r="Z1359" s="382" t="s">
        <v>924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9143</v>
      </c>
      <c r="B1360" s="373" t="s">
        <v>9144</v>
      </c>
      <c r="C1360" s="372" t="s">
        <v>9145</v>
      </c>
      <c r="D1360" s="374">
        <v>1101110564066</v>
      </c>
      <c r="E1360" s="372" t="s">
        <v>9146</v>
      </c>
      <c r="F1360" s="375" t="s">
        <v>8596</v>
      </c>
      <c r="G1360" s="375" t="s">
        <v>8596</v>
      </c>
      <c r="H1360" s="375" t="s">
        <v>4844</v>
      </c>
      <c r="I1360" s="375" t="s">
        <v>859</v>
      </c>
      <c r="J1360" s="375">
        <v>426462.71273000003</v>
      </c>
      <c r="K1360" s="375">
        <v>47043.393790000002</v>
      </c>
      <c r="L1360" s="375">
        <v>49171.242250000003</v>
      </c>
      <c r="M1360" s="375">
        <v>243939.93582000001</v>
      </c>
      <c r="N1360" s="372">
        <v>0.88400000000000001</v>
      </c>
      <c r="O1360" s="704">
        <v>0.89944885831858534</v>
      </c>
      <c r="P1360" s="375" t="s">
        <v>619</v>
      </c>
      <c r="Q1360" s="375" t="s">
        <v>619</v>
      </c>
      <c r="R1360" s="696">
        <v>20020903</v>
      </c>
      <c r="S1360" s="375" t="s">
        <v>9147</v>
      </c>
      <c r="T1360" s="697">
        <v>0.23100000000000001</v>
      </c>
      <c r="U1360" s="372" t="s">
        <v>9148</v>
      </c>
      <c r="V1360" s="722">
        <v>2.66</v>
      </c>
      <c r="W1360" s="722">
        <v>0.49</v>
      </c>
      <c r="X1360" s="722">
        <v>0.3</v>
      </c>
      <c r="Y1360" s="722">
        <v>3.76</v>
      </c>
      <c r="Z1360" s="382" t="s">
        <v>924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9149</v>
      </c>
      <c r="B1361" s="373" t="s">
        <v>9150</v>
      </c>
      <c r="C1361" s="372" t="s">
        <v>9151</v>
      </c>
      <c r="D1361" s="374">
        <v>1101111359630</v>
      </c>
      <c r="E1361" s="372" t="s">
        <v>9152</v>
      </c>
      <c r="F1361" s="375" t="s">
        <v>4263</v>
      </c>
      <c r="G1361" s="375" t="s">
        <v>4264</v>
      </c>
      <c r="H1361" s="375" t="s">
        <v>1334</v>
      </c>
      <c r="I1361" s="375" t="s">
        <v>859</v>
      </c>
      <c r="J1361" s="375">
        <v>83368.793879999997</v>
      </c>
      <c r="K1361" s="375">
        <v>3567.8642100000002</v>
      </c>
      <c r="L1361" s="375">
        <v>3601.8715200000001</v>
      </c>
      <c r="M1361" s="375">
        <v>74444.251409999997</v>
      </c>
      <c r="N1361" s="372">
        <v>0.85599999999999998</v>
      </c>
      <c r="O1361" s="704">
        <v>46.242625305179196</v>
      </c>
      <c r="P1361" s="375" t="s">
        <v>619</v>
      </c>
      <c r="Q1361" s="372" t="s">
        <v>619</v>
      </c>
      <c r="R1361" s="696">
        <v>20020531</v>
      </c>
      <c r="S1361" s="372" t="s">
        <v>9153</v>
      </c>
      <c r="T1361" s="697">
        <v>0.20900000000000002</v>
      </c>
      <c r="U1361" s="372" t="s">
        <v>9154</v>
      </c>
      <c r="V1361" s="722">
        <v>5.83</v>
      </c>
      <c r="W1361" s="722">
        <v>0.88</v>
      </c>
      <c r="X1361" s="722">
        <v>0.89</v>
      </c>
      <c r="Y1361" s="722">
        <v>24.91</v>
      </c>
      <c r="Z1361" s="382" t="s">
        <v>924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9155</v>
      </c>
      <c r="B1362" s="373" t="s">
        <v>9156</v>
      </c>
      <c r="C1362" s="372" t="s">
        <v>9157</v>
      </c>
      <c r="D1362" s="374">
        <v>1501110000856</v>
      </c>
      <c r="E1362" s="372" t="s">
        <v>9158</v>
      </c>
      <c r="F1362" s="375" t="s">
        <v>1273</v>
      </c>
      <c r="G1362" s="375" t="s">
        <v>1715</v>
      </c>
      <c r="H1362" s="375" t="s">
        <v>750</v>
      </c>
      <c r="I1362" s="375" t="s">
        <v>751</v>
      </c>
      <c r="J1362" s="375">
        <v>223374.30979999999</v>
      </c>
      <c r="K1362" s="375">
        <v>23384.73834</v>
      </c>
      <c r="L1362" s="375">
        <v>23701.854380000001</v>
      </c>
      <c r="M1362" s="375">
        <v>110771.63356</v>
      </c>
      <c r="N1362" s="372">
        <v>1.427</v>
      </c>
      <c r="O1362" s="704">
        <v>0.1860401040351212</v>
      </c>
      <c r="P1362" s="375" t="s">
        <v>619</v>
      </c>
      <c r="Q1362" s="375" t="s">
        <v>619</v>
      </c>
      <c r="R1362" s="696">
        <v>19861124</v>
      </c>
      <c r="S1362" s="375" t="s">
        <v>9159</v>
      </c>
      <c r="T1362" s="697">
        <v>0.23100000000000001</v>
      </c>
      <c r="U1362" s="372" t="s">
        <v>9160</v>
      </c>
      <c r="V1362" s="722">
        <v>12.62</v>
      </c>
      <c r="W1362" s="722">
        <v>3.69</v>
      </c>
      <c r="X1362" s="722">
        <v>1.46</v>
      </c>
      <c r="Y1362" s="722">
        <v>18.32</v>
      </c>
      <c r="Z1362" s="382">
        <v>0.13586711588795897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2413.67</v>
      </c>
      <c r="AF1362" s="372">
        <v>2871.33</v>
      </c>
      <c r="AG1362" s="372">
        <v>3370</v>
      </c>
      <c r="AH1362" s="372">
        <v>0</v>
      </c>
    </row>
    <row r="1363" spans="1:34">
      <c r="A1363" s="372" t="s">
        <v>9161</v>
      </c>
      <c r="B1363" s="373" t="s">
        <v>9162</v>
      </c>
      <c r="C1363" s="372" t="s">
        <v>9163</v>
      </c>
      <c r="D1363" s="374">
        <v>1101110954374</v>
      </c>
      <c r="E1363" s="372" t="s">
        <v>9164</v>
      </c>
      <c r="F1363" s="375" t="s">
        <v>9165</v>
      </c>
      <c r="G1363" s="375" t="s">
        <v>9165</v>
      </c>
      <c r="H1363" s="375" t="s">
        <v>858</v>
      </c>
      <c r="I1363" s="375" t="s">
        <v>859</v>
      </c>
      <c r="J1363" s="375">
        <v>84454.282470000006</v>
      </c>
      <c r="K1363" s="375">
        <v>3520.5080200000002</v>
      </c>
      <c r="L1363" s="375">
        <v>13899.593440000001</v>
      </c>
      <c r="M1363" s="375">
        <v>101127.17646</v>
      </c>
      <c r="N1363" s="372">
        <v>0.44500000000000001</v>
      </c>
      <c r="O1363" s="704">
        <v>23.878295577837712</v>
      </c>
      <c r="P1363" s="375" t="s">
        <v>619</v>
      </c>
      <c r="Q1363" s="375" t="s">
        <v>619</v>
      </c>
      <c r="R1363" s="696">
        <v>20010522</v>
      </c>
      <c r="S1363" s="375" t="s">
        <v>9166</v>
      </c>
      <c r="T1363" s="697">
        <v>0.20900000000000002</v>
      </c>
      <c r="U1363" s="372" t="s">
        <v>9167</v>
      </c>
      <c r="V1363" s="722">
        <v>29.23</v>
      </c>
      <c r="W1363" s="722">
        <v>1.1200000000000001</v>
      </c>
      <c r="X1363" s="722">
        <v>1.45</v>
      </c>
      <c r="Y1363" s="722">
        <v>8.4499999999999993</v>
      </c>
      <c r="Z1363" s="382" t="s">
        <v>924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9168</v>
      </c>
      <c r="B1364" s="373" t="s">
        <v>9169</v>
      </c>
      <c r="C1364" s="372" t="s">
        <v>9170</v>
      </c>
      <c r="D1364" s="374">
        <v>1101110057012</v>
      </c>
      <c r="E1364" s="372" t="s">
        <v>9171</v>
      </c>
      <c r="F1364" s="375" t="s">
        <v>1300</v>
      </c>
      <c r="G1364" s="375" t="s">
        <v>1300</v>
      </c>
      <c r="H1364" s="375" t="s">
        <v>823</v>
      </c>
      <c r="I1364" s="375" t="s">
        <v>751</v>
      </c>
      <c r="J1364" s="375">
        <v>184332.58175000001</v>
      </c>
      <c r="K1364" s="375">
        <v>9484.8393199999991</v>
      </c>
      <c r="L1364" s="375">
        <v>7655.2478199999996</v>
      </c>
      <c r="M1364" s="375">
        <v>53829.303269999997</v>
      </c>
      <c r="N1364" s="372">
        <v>0.30199999999999999</v>
      </c>
      <c r="O1364" s="704">
        <v>33.363680184971997</v>
      </c>
      <c r="P1364" s="375" t="s">
        <v>619</v>
      </c>
      <c r="Q1364" s="372" t="s">
        <v>619</v>
      </c>
      <c r="R1364" s="696">
        <v>19961224</v>
      </c>
      <c r="S1364" s="372" t="s">
        <v>9172</v>
      </c>
      <c r="T1364" s="697">
        <v>0.20900000000000002</v>
      </c>
      <c r="U1364" s="372" t="s">
        <v>9173</v>
      </c>
      <c r="V1364" s="722">
        <v>0</v>
      </c>
      <c r="W1364" s="722">
        <v>0</v>
      </c>
      <c r="X1364" s="722">
        <v>0</v>
      </c>
      <c r="Y1364" s="722">
        <v>0</v>
      </c>
      <c r="Z1364" s="382" t="s">
        <v>924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9174</v>
      </c>
      <c r="B1365" s="373" t="s">
        <v>9175</v>
      </c>
      <c r="C1365" s="372" t="s">
        <v>9176</v>
      </c>
      <c r="D1365" s="374">
        <v>1101111293531</v>
      </c>
      <c r="E1365" s="372" t="s">
        <v>9177</v>
      </c>
      <c r="F1365" s="372" t="s">
        <v>850</v>
      </c>
      <c r="G1365" s="375" t="s">
        <v>9178</v>
      </c>
      <c r="H1365" s="375" t="s">
        <v>892</v>
      </c>
      <c r="I1365" s="375" t="s">
        <v>859</v>
      </c>
      <c r="J1365" s="375">
        <v>22993.630819999998</v>
      </c>
      <c r="K1365" s="375">
        <v>5214.54097</v>
      </c>
      <c r="L1365" s="375">
        <v>5524.0797700000003</v>
      </c>
      <c r="M1365" s="375">
        <v>112469.77686</v>
      </c>
      <c r="N1365" s="372" t="s">
        <v>1023</v>
      </c>
      <c r="O1365" s="704">
        <v>0</v>
      </c>
      <c r="P1365" s="375" t="s">
        <v>619</v>
      </c>
      <c r="Q1365" s="372" t="s">
        <v>619</v>
      </c>
      <c r="R1365" s="696">
        <v>20230329</v>
      </c>
      <c r="S1365" s="372" t="s">
        <v>9179</v>
      </c>
      <c r="T1365" s="697">
        <v>0.20900000000000002</v>
      </c>
      <c r="U1365" s="372" t="s">
        <v>15901</v>
      </c>
      <c r="V1365" s="722">
        <v>0</v>
      </c>
      <c r="W1365" s="722">
        <v>0.84</v>
      </c>
      <c r="X1365" s="722">
        <v>4.1399999999999997</v>
      </c>
      <c r="Y1365" s="722">
        <v>21.57</v>
      </c>
      <c r="Z1365" s="382" t="s">
        <v>924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9180</v>
      </c>
      <c r="B1366" s="373" t="s">
        <v>9181</v>
      </c>
      <c r="C1366" s="372" t="s">
        <v>9182</v>
      </c>
      <c r="D1366" s="374">
        <v>1244110020587</v>
      </c>
      <c r="E1366" s="372" t="s">
        <v>9183</v>
      </c>
      <c r="F1366" s="375" t="s">
        <v>16098</v>
      </c>
      <c r="G1366" s="375" t="s">
        <v>16098</v>
      </c>
      <c r="H1366" s="375" t="s">
        <v>858</v>
      </c>
      <c r="I1366" s="375" t="s">
        <v>859</v>
      </c>
      <c r="J1366" s="375">
        <v>52599.81798</v>
      </c>
      <c r="K1366" s="375">
        <v>8052.9143899999999</v>
      </c>
      <c r="L1366" s="375">
        <v>11397.53786</v>
      </c>
      <c r="M1366" s="375">
        <v>117208.83252</v>
      </c>
      <c r="N1366" s="372">
        <v>0.72399999999999998</v>
      </c>
      <c r="O1366" s="704">
        <v>1.2573285387025235</v>
      </c>
      <c r="P1366" s="375" t="s">
        <v>619</v>
      </c>
      <c r="Q1366" s="375" t="s">
        <v>619</v>
      </c>
      <c r="R1366" s="696">
        <v>20021211</v>
      </c>
      <c r="S1366" s="375" t="s">
        <v>9184</v>
      </c>
      <c r="T1366" s="697">
        <v>0.20900000000000002</v>
      </c>
      <c r="U1366" s="372" t="s">
        <v>9185</v>
      </c>
      <c r="V1366" s="722">
        <v>10.85</v>
      </c>
      <c r="W1366" s="722">
        <v>0.92</v>
      </c>
      <c r="X1366" s="722">
        <v>2.4700000000000002</v>
      </c>
      <c r="Y1366" s="722">
        <v>11.84</v>
      </c>
      <c r="Z1366" s="382" t="s">
        <v>924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9186</v>
      </c>
      <c r="B1367" s="373" t="s">
        <v>9187</v>
      </c>
      <c r="C1367" s="372" t="s">
        <v>15902</v>
      </c>
      <c r="D1367" s="374">
        <v>1101111660368</v>
      </c>
      <c r="E1367" s="372" t="s">
        <v>9188</v>
      </c>
      <c r="F1367" s="375" t="s">
        <v>10060</v>
      </c>
      <c r="G1367" s="375" t="s">
        <v>10060</v>
      </c>
      <c r="H1367" s="375" t="s">
        <v>858</v>
      </c>
      <c r="I1367" s="375" t="s">
        <v>859</v>
      </c>
      <c r="J1367" s="375">
        <v>167482.60535</v>
      </c>
      <c r="K1367" s="375">
        <v>887.22555999999997</v>
      </c>
      <c r="L1367" s="375">
        <v>-5159.6119500000004</v>
      </c>
      <c r="M1367" s="375">
        <v>56024.039369999999</v>
      </c>
      <c r="N1367" s="372" t="s">
        <v>1023</v>
      </c>
      <c r="O1367" s="704">
        <v>41.374792994588375</v>
      </c>
      <c r="P1367" s="375" t="s">
        <v>619</v>
      </c>
      <c r="Q1367" s="372" t="s">
        <v>619</v>
      </c>
      <c r="R1367" s="696">
        <v>20231221</v>
      </c>
      <c r="S1367" s="372" t="s">
        <v>9189</v>
      </c>
      <c r="T1367" s="697" t="s">
        <v>768</v>
      </c>
      <c r="U1367" s="372" t="s">
        <v>9190</v>
      </c>
      <c r="V1367" s="722">
        <v>14.73</v>
      </c>
      <c r="W1367" s="722">
        <v>1.18</v>
      </c>
      <c r="X1367" s="722">
        <v>0.39</v>
      </c>
      <c r="Y1367" s="722" t="s">
        <v>770</v>
      </c>
      <c r="Z1367" s="382" t="s">
        <v>924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9191</v>
      </c>
      <c r="B1368" s="373" t="s">
        <v>9192</v>
      </c>
      <c r="C1368" s="372" t="s">
        <v>9193</v>
      </c>
      <c r="D1368" s="374">
        <v>1801110327981</v>
      </c>
      <c r="E1368" s="372" t="s">
        <v>9194</v>
      </c>
      <c r="F1368" s="372" t="s">
        <v>9195</v>
      </c>
      <c r="G1368" s="375" t="s">
        <v>9196</v>
      </c>
      <c r="H1368" s="375" t="s">
        <v>858</v>
      </c>
      <c r="I1368" s="375" t="s">
        <v>859</v>
      </c>
      <c r="J1368" s="375">
        <v>104815.19551000001</v>
      </c>
      <c r="K1368" s="375">
        <v>11199.51542</v>
      </c>
      <c r="L1368" s="375">
        <v>13013.940759999999</v>
      </c>
      <c r="M1368" s="375">
        <v>133935.68278999999</v>
      </c>
      <c r="N1368" s="372">
        <v>0.92400000000000004</v>
      </c>
      <c r="O1368" s="704">
        <v>64.596019860713099</v>
      </c>
      <c r="P1368" s="375" t="s">
        <v>619</v>
      </c>
      <c r="Q1368" s="372" t="s">
        <v>619</v>
      </c>
      <c r="R1368" s="696">
        <v>20160920</v>
      </c>
      <c r="S1368" s="372" t="s">
        <v>9197</v>
      </c>
      <c r="T1368" s="697">
        <v>0.20900000000000002</v>
      </c>
      <c r="U1368" s="372" t="s">
        <v>9198</v>
      </c>
      <c r="V1368" s="722">
        <v>8.58</v>
      </c>
      <c r="W1368" s="722">
        <v>0.74</v>
      </c>
      <c r="X1368" s="722">
        <v>0.95</v>
      </c>
      <c r="Y1368" s="722">
        <v>9.25</v>
      </c>
      <c r="Z1368" s="382" t="s">
        <v>924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9199</v>
      </c>
      <c r="B1369" s="373" t="s">
        <v>9200</v>
      </c>
      <c r="C1369" s="372" t="s">
        <v>9201</v>
      </c>
      <c r="D1369" s="374">
        <v>1943110003995</v>
      </c>
      <c r="E1369" s="372" t="s">
        <v>9202</v>
      </c>
      <c r="F1369" s="372" t="s">
        <v>2004</v>
      </c>
      <c r="G1369" s="375" t="s">
        <v>2004</v>
      </c>
      <c r="H1369" s="375" t="s">
        <v>858</v>
      </c>
      <c r="I1369" s="375" t="s">
        <v>859</v>
      </c>
      <c r="J1369" s="375">
        <v>352610.52717999998</v>
      </c>
      <c r="K1369" s="375">
        <v>7739.5627500000001</v>
      </c>
      <c r="L1369" s="375">
        <v>5418.7272999999996</v>
      </c>
      <c r="M1369" s="375">
        <v>84309.505529999995</v>
      </c>
      <c r="N1369" s="372">
        <v>0.85699999999999998</v>
      </c>
      <c r="O1369" s="704">
        <v>94.359877040372353</v>
      </c>
      <c r="P1369" s="375" t="s">
        <v>619</v>
      </c>
      <c r="Q1369" s="375" t="s">
        <v>619</v>
      </c>
      <c r="R1369" s="696">
        <v>20030210</v>
      </c>
      <c r="S1369" s="372" t="s">
        <v>9203</v>
      </c>
      <c r="T1369" s="697">
        <v>0.20900000000000002</v>
      </c>
      <c r="U1369" s="372" t="s">
        <v>9204</v>
      </c>
      <c r="V1369" s="722">
        <v>7.98</v>
      </c>
      <c r="W1369" s="722">
        <v>1.37</v>
      </c>
      <c r="X1369" s="722">
        <v>0.33</v>
      </c>
      <c r="Y1369" s="722">
        <v>14.16</v>
      </c>
      <c r="Z1369" s="382" t="s">
        <v>924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3758</v>
      </c>
      <c r="AF1369" s="372">
        <v>4713</v>
      </c>
      <c r="AG1369" s="372">
        <v>0</v>
      </c>
      <c r="AH1369" s="372">
        <v>0</v>
      </c>
    </row>
    <row r="1370" spans="1:34">
      <c r="A1370" s="372" t="s">
        <v>9205</v>
      </c>
      <c r="B1370" s="373" t="s">
        <v>9206</v>
      </c>
      <c r="C1370" s="372" t="s">
        <v>9207</v>
      </c>
      <c r="D1370" s="374">
        <v>1345110051645</v>
      </c>
      <c r="E1370" s="372" t="s">
        <v>9208</v>
      </c>
      <c r="F1370" s="375" t="s">
        <v>2423</v>
      </c>
      <c r="G1370" s="375" t="s">
        <v>6071</v>
      </c>
      <c r="H1370" s="375" t="s">
        <v>858</v>
      </c>
      <c r="I1370" s="375" t="s">
        <v>859</v>
      </c>
      <c r="J1370" s="375">
        <v>290046.39554</v>
      </c>
      <c r="K1370" s="375">
        <v>3292.3014800000001</v>
      </c>
      <c r="L1370" s="375">
        <v>1350.8578600000001</v>
      </c>
      <c r="M1370" s="375">
        <v>87277.702879999997</v>
      </c>
      <c r="N1370" s="372">
        <v>1.113</v>
      </c>
      <c r="O1370" s="704">
        <v>161.67493384615383</v>
      </c>
      <c r="P1370" s="375" t="s">
        <v>619</v>
      </c>
      <c r="Q1370" s="375" t="s">
        <v>619</v>
      </c>
      <c r="R1370" s="696">
        <v>20090417</v>
      </c>
      <c r="S1370" s="375" t="s">
        <v>9209</v>
      </c>
      <c r="T1370" s="697">
        <v>0.20900000000000002</v>
      </c>
      <c r="U1370" s="372" t="s">
        <v>9210</v>
      </c>
      <c r="V1370" s="722">
        <v>12.67</v>
      </c>
      <c r="W1370" s="722">
        <v>0.77</v>
      </c>
      <c r="X1370" s="722">
        <v>0.23</v>
      </c>
      <c r="Y1370" s="722">
        <v>62.26</v>
      </c>
      <c r="Z1370" s="382" t="s">
        <v>924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9211</v>
      </c>
      <c r="B1371" s="373" t="s">
        <v>9212</v>
      </c>
      <c r="C1371" s="372" t="s">
        <v>9213</v>
      </c>
      <c r="D1371" s="374">
        <v>1101110012776</v>
      </c>
      <c r="E1371" s="372" t="s">
        <v>9214</v>
      </c>
      <c r="F1371" s="375" t="s">
        <v>1320</v>
      </c>
      <c r="G1371" s="375" t="s">
        <v>16103</v>
      </c>
      <c r="H1371" s="375" t="s">
        <v>781</v>
      </c>
      <c r="I1371" s="375" t="s">
        <v>751</v>
      </c>
      <c r="J1371" s="375">
        <v>649809.55911999999</v>
      </c>
      <c r="K1371" s="375">
        <v>-15806.98101</v>
      </c>
      <c r="L1371" s="375">
        <v>-39594.44483</v>
      </c>
      <c r="M1371" s="375">
        <v>153616.91665</v>
      </c>
      <c r="N1371" s="372">
        <v>0.97</v>
      </c>
      <c r="O1371" s="704">
        <v>397.3863284814837</v>
      </c>
      <c r="P1371" s="375" t="s">
        <v>619</v>
      </c>
      <c r="Q1371" s="372" t="s">
        <v>619</v>
      </c>
      <c r="R1371" s="696">
        <v>19750628</v>
      </c>
      <c r="S1371" s="372" t="s">
        <v>9215</v>
      </c>
      <c r="T1371" s="697" t="s">
        <v>768</v>
      </c>
      <c r="U1371" s="372" t="s">
        <v>9216</v>
      </c>
      <c r="V1371" s="722">
        <v>21.95</v>
      </c>
      <c r="W1371" s="722">
        <v>1.56</v>
      </c>
      <c r="X1371" s="722">
        <v>0.14000000000000001</v>
      </c>
      <c r="Y1371" s="722" t="s">
        <v>770</v>
      </c>
      <c r="Z1371" s="382" t="s">
        <v>924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9217</v>
      </c>
      <c r="B1372" s="373" t="s">
        <v>9218</v>
      </c>
      <c r="C1372" s="372" t="s">
        <v>9219</v>
      </c>
      <c r="D1372" s="374">
        <v>1511110053458</v>
      </c>
      <c r="E1372" s="372" t="s">
        <v>9220</v>
      </c>
      <c r="F1372" s="372" t="s">
        <v>1573</v>
      </c>
      <c r="G1372" s="375" t="s">
        <v>1573</v>
      </c>
      <c r="H1372" s="375" t="s">
        <v>858</v>
      </c>
      <c r="I1372" s="375" t="s">
        <v>859</v>
      </c>
      <c r="J1372" s="375">
        <v>112993.52142</v>
      </c>
      <c r="K1372" s="375">
        <v>9456.3556100000005</v>
      </c>
      <c r="L1372" s="375">
        <v>9504.6042899999993</v>
      </c>
      <c r="M1372" s="375">
        <v>49389.602879999999</v>
      </c>
      <c r="N1372" s="372" t="s">
        <v>1023</v>
      </c>
      <c r="O1372" s="704">
        <v>11.272964625073156</v>
      </c>
      <c r="P1372" s="375" t="s">
        <v>619</v>
      </c>
      <c r="Q1372" s="375" t="s">
        <v>619</v>
      </c>
      <c r="R1372" s="696">
        <v>20231113</v>
      </c>
      <c r="S1372" s="375" t="s">
        <v>9221</v>
      </c>
      <c r="T1372" s="697">
        <v>0.20900000000000002</v>
      </c>
      <c r="U1372" s="372" t="s">
        <v>9222</v>
      </c>
      <c r="V1372" s="722">
        <v>0</v>
      </c>
      <c r="W1372" s="722">
        <v>0</v>
      </c>
      <c r="X1372" s="722">
        <v>0</v>
      </c>
      <c r="Y1372" s="722">
        <v>0</v>
      </c>
      <c r="Z1372" s="382" t="s">
        <v>924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9223</v>
      </c>
      <c r="B1373" s="373" t="s">
        <v>9224</v>
      </c>
      <c r="C1373" s="372" t="s">
        <v>9225</v>
      </c>
      <c r="D1373" s="374">
        <v>1201110388092</v>
      </c>
      <c r="E1373" s="372" t="s">
        <v>9226</v>
      </c>
      <c r="F1373" s="375" t="s">
        <v>16098</v>
      </c>
      <c r="G1373" s="375" t="s">
        <v>16098</v>
      </c>
      <c r="H1373" s="375" t="s">
        <v>858</v>
      </c>
      <c r="I1373" s="375" t="s">
        <v>859</v>
      </c>
      <c r="J1373" s="375">
        <v>16066.523359999999</v>
      </c>
      <c r="K1373" s="375">
        <v>4808.2224200000001</v>
      </c>
      <c r="L1373" s="375">
        <v>6276.9988000000003</v>
      </c>
      <c r="M1373" s="375">
        <v>61378.620289999999</v>
      </c>
      <c r="N1373" s="372">
        <v>0.79900000000000004</v>
      </c>
      <c r="O1373" s="704">
        <v>0.94911471318445251</v>
      </c>
      <c r="P1373" s="375" t="s">
        <v>619</v>
      </c>
      <c r="Q1373" s="372" t="s">
        <v>619</v>
      </c>
      <c r="R1373" s="696">
        <v>20220221</v>
      </c>
      <c r="S1373" s="372" t="s">
        <v>9227</v>
      </c>
      <c r="T1373" s="697">
        <v>0.20900000000000002</v>
      </c>
      <c r="U1373" s="372" t="s">
        <v>9228</v>
      </c>
      <c r="V1373" s="722">
        <v>0</v>
      </c>
      <c r="W1373" s="722">
        <v>0</v>
      </c>
      <c r="X1373" s="722">
        <v>0</v>
      </c>
      <c r="Y1373" s="722">
        <v>0</v>
      </c>
      <c r="Z1373" s="382" t="s">
        <v>924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9229</v>
      </c>
      <c r="B1374" s="373" t="s">
        <v>9230</v>
      </c>
      <c r="C1374" s="372" t="s">
        <v>9231</v>
      </c>
      <c r="D1374" s="374">
        <v>1101113069534</v>
      </c>
      <c r="E1374" s="372" t="s">
        <v>9232</v>
      </c>
      <c r="F1374" s="375" t="s">
        <v>1320</v>
      </c>
      <c r="G1374" s="375" t="s">
        <v>16103</v>
      </c>
      <c r="H1374" s="375" t="s">
        <v>858</v>
      </c>
      <c r="I1374" s="375" t="s">
        <v>859</v>
      </c>
      <c r="J1374" s="375">
        <v>105738.71674</v>
      </c>
      <c r="K1374" s="375">
        <v>8324.7457699999995</v>
      </c>
      <c r="L1374" s="375">
        <v>7442.3217100000002</v>
      </c>
      <c r="M1374" s="375">
        <v>92592.281520000004</v>
      </c>
      <c r="N1374" s="372">
        <v>0.52800000000000002</v>
      </c>
      <c r="O1374" s="704">
        <v>21.746777614288582</v>
      </c>
      <c r="P1374" s="375" t="s">
        <v>619</v>
      </c>
      <c r="Q1374" s="372" t="s">
        <v>619</v>
      </c>
      <c r="R1374" s="696">
        <v>20200703</v>
      </c>
      <c r="S1374" s="372" t="s">
        <v>9233</v>
      </c>
      <c r="T1374" s="697">
        <v>0.20900000000000002</v>
      </c>
      <c r="U1374" s="372" t="s">
        <v>9234</v>
      </c>
      <c r="V1374" s="722">
        <v>0</v>
      </c>
      <c r="W1374" s="722">
        <v>0</v>
      </c>
      <c r="X1374" s="722">
        <v>0</v>
      </c>
      <c r="Y1374" s="722">
        <v>0</v>
      </c>
      <c r="Z1374" s="382" t="s">
        <v>924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9235</v>
      </c>
      <c r="B1375" s="373" t="s">
        <v>9236</v>
      </c>
      <c r="C1375" s="372" t="s">
        <v>9237</v>
      </c>
      <c r="D1375" s="374">
        <v>1643110019980</v>
      </c>
      <c r="E1375" s="372" t="s">
        <v>9238</v>
      </c>
      <c r="F1375" s="372" t="s">
        <v>9239</v>
      </c>
      <c r="G1375" s="375" t="s">
        <v>9239</v>
      </c>
      <c r="H1375" s="375" t="s">
        <v>858</v>
      </c>
      <c r="I1375" s="375" t="s">
        <v>859</v>
      </c>
      <c r="J1375" s="375">
        <v>61617.243289999999</v>
      </c>
      <c r="K1375" s="375">
        <v>3686.36256</v>
      </c>
      <c r="L1375" s="375">
        <v>3485.7988599999999</v>
      </c>
      <c r="M1375" s="375">
        <v>39991.726159999998</v>
      </c>
      <c r="N1375" s="372" t="s">
        <v>1023</v>
      </c>
      <c r="O1375" s="704">
        <v>15.428690283792612</v>
      </c>
      <c r="P1375" s="375" t="s">
        <v>619</v>
      </c>
      <c r="Q1375" s="372" t="s">
        <v>619</v>
      </c>
      <c r="R1375" s="696">
        <v>20230919</v>
      </c>
      <c r="S1375" s="372" t="s">
        <v>9240</v>
      </c>
      <c r="T1375" s="697">
        <v>0.20900000000000002</v>
      </c>
      <c r="U1375" s="372" t="s">
        <v>9241</v>
      </c>
      <c r="V1375" s="722">
        <v>14.42</v>
      </c>
      <c r="W1375" s="722">
        <v>2.1800000000000002</v>
      </c>
      <c r="X1375" s="722">
        <v>1.38</v>
      </c>
      <c r="Y1375" s="722">
        <v>27.69</v>
      </c>
      <c r="Z1375" s="382" t="s">
        <v>924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9242</v>
      </c>
      <c r="B1376" s="373" t="s">
        <v>9243</v>
      </c>
      <c r="C1376" s="372" t="s">
        <v>9244</v>
      </c>
      <c r="D1376" s="374">
        <v>1101116042066</v>
      </c>
      <c r="E1376" s="372" t="s">
        <v>9245</v>
      </c>
      <c r="F1376" s="375" t="s">
        <v>1182</v>
      </c>
      <c r="G1376" s="375" t="s">
        <v>1183</v>
      </c>
      <c r="H1376" s="375" t="s">
        <v>858</v>
      </c>
      <c r="I1376" s="375" t="s">
        <v>859</v>
      </c>
      <c r="J1376" s="375">
        <v>37614.819609999999</v>
      </c>
      <c r="K1376" s="375">
        <v>-6377.6294399999997</v>
      </c>
      <c r="L1376" s="375">
        <v>-5523.8515799999996</v>
      </c>
      <c r="M1376" s="375">
        <v>45131.065260000003</v>
      </c>
      <c r="N1376" s="372">
        <v>1.391</v>
      </c>
      <c r="O1376" s="704">
        <v>23.331770163777698</v>
      </c>
      <c r="P1376" s="375" t="s">
        <v>619</v>
      </c>
      <c r="Q1376" s="375" t="s">
        <v>619</v>
      </c>
      <c r="R1376" s="696">
        <v>20221028</v>
      </c>
      <c r="S1376" s="375" t="s">
        <v>9246</v>
      </c>
      <c r="T1376" s="697" t="s">
        <v>768</v>
      </c>
      <c r="U1376" s="372" t="s">
        <v>9247</v>
      </c>
      <c r="V1376" s="722" t="s">
        <v>770</v>
      </c>
      <c r="W1376" s="722">
        <v>1.49</v>
      </c>
      <c r="X1376" s="722">
        <v>1.82</v>
      </c>
      <c r="Y1376" s="722" t="s">
        <v>770</v>
      </c>
      <c r="Z1376" s="382">
        <v>0.2580136279323697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440</v>
      </c>
      <c r="AF1376" s="372">
        <v>520</v>
      </c>
      <c r="AG1376" s="372">
        <v>900</v>
      </c>
      <c r="AH1376" s="372">
        <v>0</v>
      </c>
    </row>
    <row r="1377" spans="1:34">
      <c r="A1377" s="372" t="s">
        <v>9248</v>
      </c>
      <c r="B1377" s="373" t="s">
        <v>9249</v>
      </c>
      <c r="C1377" s="372" t="s">
        <v>9250</v>
      </c>
      <c r="D1377" s="374">
        <v>1701110003814</v>
      </c>
      <c r="E1377" s="372" t="s">
        <v>9251</v>
      </c>
      <c r="F1377" s="372" t="s">
        <v>1645</v>
      </c>
      <c r="G1377" s="375" t="s">
        <v>1646</v>
      </c>
      <c r="H1377" s="375" t="s">
        <v>843</v>
      </c>
      <c r="I1377" s="375" t="s">
        <v>751</v>
      </c>
      <c r="J1377" s="375">
        <v>62499.859270000001</v>
      </c>
      <c r="K1377" s="375">
        <v>-15737.38157</v>
      </c>
      <c r="L1377" s="375">
        <v>-32085.143220000002</v>
      </c>
      <c r="M1377" s="375">
        <v>175499.66824</v>
      </c>
      <c r="N1377" s="372">
        <v>0.45500000000000002</v>
      </c>
      <c r="O1377" s="704">
        <v>386.67845137117143</v>
      </c>
      <c r="P1377" s="375" t="s">
        <v>619</v>
      </c>
      <c r="Q1377" s="375" t="s">
        <v>619</v>
      </c>
      <c r="R1377" s="696">
        <v>19881010</v>
      </c>
      <c r="S1377" s="372" t="s">
        <v>9252</v>
      </c>
      <c r="T1377" s="697" t="s">
        <v>768</v>
      </c>
      <c r="U1377" s="372" t="s">
        <v>9253</v>
      </c>
      <c r="V1377" s="722" t="s">
        <v>770</v>
      </c>
      <c r="W1377" s="722">
        <v>0.42</v>
      </c>
      <c r="X1377" s="722">
        <v>1.42</v>
      </c>
      <c r="Y1377" s="722" t="s">
        <v>770</v>
      </c>
      <c r="Z1377" s="382" t="s">
        <v>924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9254</v>
      </c>
      <c r="B1378" s="373" t="s">
        <v>9255</v>
      </c>
      <c r="C1378" s="372" t="s">
        <v>9256</v>
      </c>
      <c r="D1378" s="374">
        <v>2001110115802</v>
      </c>
      <c r="E1378" s="372" t="s">
        <v>9257</v>
      </c>
      <c r="F1378" s="375" t="s">
        <v>16098</v>
      </c>
      <c r="G1378" s="375" t="s">
        <v>16098</v>
      </c>
      <c r="H1378" s="375" t="s">
        <v>858</v>
      </c>
      <c r="I1378" s="375" t="s">
        <v>859</v>
      </c>
      <c r="J1378" s="375">
        <v>6115.3189700000003</v>
      </c>
      <c r="K1378" s="375">
        <v>-7571.2238500000003</v>
      </c>
      <c r="L1378" s="375">
        <v>-8668.7739600000004</v>
      </c>
      <c r="M1378" s="375">
        <v>7763.9644399999997</v>
      </c>
      <c r="N1378" s="372">
        <v>0.51700000000000002</v>
      </c>
      <c r="O1378" s="704">
        <v>9.8289203343448808</v>
      </c>
      <c r="P1378" s="375" t="s">
        <v>619</v>
      </c>
      <c r="Q1378" s="372" t="s">
        <v>619</v>
      </c>
      <c r="R1378" s="696">
        <v>20161207</v>
      </c>
      <c r="S1378" s="372" t="s">
        <v>9258</v>
      </c>
      <c r="T1378" s="697" t="s">
        <v>768</v>
      </c>
      <c r="U1378" s="372" t="s">
        <v>9259</v>
      </c>
      <c r="V1378" s="722">
        <v>0</v>
      </c>
      <c r="W1378" s="722">
        <v>0</v>
      </c>
      <c r="X1378" s="722">
        <v>0</v>
      </c>
      <c r="Y1378" s="722">
        <v>0</v>
      </c>
      <c r="Z1378" s="382" t="s">
        <v>924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9260</v>
      </c>
      <c r="B1379" s="373" t="s">
        <v>9261</v>
      </c>
      <c r="C1379" s="372" t="s">
        <v>9262</v>
      </c>
      <c r="D1379" s="374">
        <v>1101114694679</v>
      </c>
      <c r="E1379" s="372" t="s">
        <v>9263</v>
      </c>
      <c r="F1379" s="375" t="s">
        <v>2121</v>
      </c>
      <c r="G1379" s="375" t="s">
        <v>4228</v>
      </c>
      <c r="H1379" s="375" t="s">
        <v>858</v>
      </c>
      <c r="I1379" s="375" t="s">
        <v>859</v>
      </c>
      <c r="J1379" s="375">
        <v>6276.5397700000003</v>
      </c>
      <c r="K1379" s="375">
        <v>-53621.573069999999</v>
      </c>
      <c r="L1379" s="375">
        <v>-65377.831619999997</v>
      </c>
      <c r="M1379" s="375">
        <v>31969.300459999999</v>
      </c>
      <c r="N1379" s="372">
        <v>0.34200000000000003</v>
      </c>
      <c r="O1379" s="704">
        <v>20.677868232774184</v>
      </c>
      <c r="P1379" s="375" t="s">
        <v>619</v>
      </c>
      <c r="Q1379" s="372" t="s">
        <v>619</v>
      </c>
      <c r="R1379" s="696">
        <v>20200914</v>
      </c>
      <c r="S1379" s="372" t="s">
        <v>9264</v>
      </c>
      <c r="T1379" s="697" t="s">
        <v>768</v>
      </c>
      <c r="U1379" s="372" t="s">
        <v>9265</v>
      </c>
      <c r="V1379" s="722" t="s">
        <v>770</v>
      </c>
      <c r="W1379" s="722">
        <v>6.73</v>
      </c>
      <c r="X1379" s="722">
        <v>29.18</v>
      </c>
      <c r="Y1379" s="722" t="s">
        <v>770</v>
      </c>
      <c r="Z1379" s="382" t="s">
        <v>924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9266</v>
      </c>
      <c r="B1380" s="373" t="s">
        <v>9267</v>
      </c>
      <c r="C1380" s="372" t="s">
        <v>9268</v>
      </c>
      <c r="D1380" s="374">
        <v>1348110015546</v>
      </c>
      <c r="E1380" s="372" t="s">
        <v>9269</v>
      </c>
      <c r="F1380" s="375" t="s">
        <v>1273</v>
      </c>
      <c r="G1380" s="375" t="s">
        <v>1715</v>
      </c>
      <c r="H1380" s="375" t="s">
        <v>858</v>
      </c>
      <c r="I1380" s="375" t="s">
        <v>859</v>
      </c>
      <c r="J1380" s="375">
        <v>54961.325109999998</v>
      </c>
      <c r="K1380" s="375">
        <v>2379.3968599999998</v>
      </c>
      <c r="L1380" s="375">
        <v>3371.9044199999998</v>
      </c>
      <c r="M1380" s="375">
        <v>71500.492469999997</v>
      </c>
      <c r="N1380" s="372">
        <v>0.51400000000000001</v>
      </c>
      <c r="O1380" s="704">
        <v>2.9977178433467486</v>
      </c>
      <c r="P1380" s="375" t="s">
        <v>619</v>
      </c>
      <c r="Q1380" s="372" t="s">
        <v>619</v>
      </c>
      <c r="R1380" s="696">
        <v>20000822</v>
      </c>
      <c r="S1380" s="372" t="s">
        <v>9270</v>
      </c>
      <c r="T1380" s="697">
        <v>0.20900000000000002</v>
      </c>
      <c r="U1380" s="372" t="s">
        <v>9271</v>
      </c>
      <c r="V1380" s="722">
        <v>23.74</v>
      </c>
      <c r="W1380" s="722">
        <v>1.36</v>
      </c>
      <c r="X1380" s="722">
        <v>1.95</v>
      </c>
      <c r="Y1380" s="722">
        <v>38.549999999999997</v>
      </c>
      <c r="Z1380" s="382" t="s">
        <v>924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9272</v>
      </c>
      <c r="B1381" s="373" t="s">
        <v>9273</v>
      </c>
      <c r="C1381" s="372" t="s">
        <v>9274</v>
      </c>
      <c r="D1381" s="374">
        <v>1243110000812</v>
      </c>
      <c r="E1381" s="372" t="s">
        <v>9275</v>
      </c>
      <c r="F1381" s="375" t="s">
        <v>1320</v>
      </c>
      <c r="G1381" s="375" t="s">
        <v>16103</v>
      </c>
      <c r="H1381" s="375" t="s">
        <v>781</v>
      </c>
      <c r="I1381" s="375" t="s">
        <v>751</v>
      </c>
      <c r="J1381" s="375">
        <v>173598.53042</v>
      </c>
      <c r="K1381" s="375">
        <v>12802.11059</v>
      </c>
      <c r="L1381" s="375">
        <v>-743.2799</v>
      </c>
      <c r="M1381" s="375">
        <v>230300.20803000001</v>
      </c>
      <c r="N1381" s="372">
        <v>0.80500000000000005</v>
      </c>
      <c r="O1381" s="704">
        <v>44.524993704584844</v>
      </c>
      <c r="P1381" s="375" t="s">
        <v>619</v>
      </c>
      <c r="Q1381" s="375" t="s">
        <v>619</v>
      </c>
      <c r="R1381" s="696">
        <v>19900615</v>
      </c>
      <c r="S1381" s="372" t="s">
        <v>9276</v>
      </c>
      <c r="T1381" s="697" t="s">
        <v>768</v>
      </c>
      <c r="U1381" s="372" t="s">
        <v>15903</v>
      </c>
      <c r="V1381" s="722">
        <v>5.38</v>
      </c>
      <c r="W1381" s="722">
        <v>0.39</v>
      </c>
      <c r="X1381" s="722">
        <v>0.51</v>
      </c>
      <c r="Y1381" s="722" t="s">
        <v>770</v>
      </c>
      <c r="Z1381" s="382" t="s">
        <v>924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9277</v>
      </c>
      <c r="B1382" s="373" t="s">
        <v>9278</v>
      </c>
      <c r="C1382" s="372" t="s">
        <v>9279</v>
      </c>
      <c r="D1382" s="374">
        <v>1243110039762</v>
      </c>
      <c r="E1382" s="372" t="s">
        <v>9280</v>
      </c>
      <c r="F1382" s="375" t="s">
        <v>2853</v>
      </c>
      <c r="G1382" s="375" t="s">
        <v>2853</v>
      </c>
      <c r="H1382" s="375" t="s">
        <v>1334</v>
      </c>
      <c r="I1382" s="375" t="s">
        <v>859</v>
      </c>
      <c r="J1382" s="375">
        <v>108031.0361</v>
      </c>
      <c r="K1382" s="375">
        <v>11584.39993</v>
      </c>
      <c r="L1382" s="375">
        <v>11411.760990000001</v>
      </c>
      <c r="M1382" s="375">
        <v>83653.97941</v>
      </c>
      <c r="N1382" s="372">
        <v>0.40500000000000003</v>
      </c>
      <c r="O1382" s="704">
        <v>5.4205457051121702</v>
      </c>
      <c r="P1382" s="375" t="s">
        <v>619</v>
      </c>
      <c r="Q1382" s="372" t="s">
        <v>619</v>
      </c>
      <c r="R1382" s="696">
        <v>20000728</v>
      </c>
      <c r="S1382" s="372" t="s">
        <v>9281</v>
      </c>
      <c r="T1382" s="697">
        <v>0.20900000000000002</v>
      </c>
      <c r="U1382" s="372" t="s">
        <v>9282</v>
      </c>
      <c r="V1382" s="722">
        <v>5.3</v>
      </c>
      <c r="W1382" s="722">
        <v>1.1000000000000001</v>
      </c>
      <c r="X1382" s="722">
        <v>0.93</v>
      </c>
      <c r="Y1382" s="722">
        <v>11.15</v>
      </c>
      <c r="Z1382" s="382">
        <v>-1.2491826934656114E-2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1061</v>
      </c>
      <c r="AF1382" s="372">
        <v>1074</v>
      </c>
      <c r="AG1382" s="372">
        <v>1078</v>
      </c>
      <c r="AH1382" s="372">
        <v>1071</v>
      </c>
    </row>
    <row r="1383" spans="1:34">
      <c r="A1383" s="372" t="s">
        <v>9283</v>
      </c>
      <c r="B1383" s="373" t="s">
        <v>9284</v>
      </c>
      <c r="C1383" s="372" t="s">
        <v>9285</v>
      </c>
      <c r="D1383" s="374">
        <v>1347110000408</v>
      </c>
      <c r="E1383" s="372" t="s">
        <v>9286</v>
      </c>
      <c r="F1383" s="375" t="s">
        <v>3953</v>
      </c>
      <c r="G1383" s="375" t="s">
        <v>3953</v>
      </c>
      <c r="H1383" s="375" t="s">
        <v>3954</v>
      </c>
      <c r="I1383" s="375" t="s">
        <v>751</v>
      </c>
      <c r="J1383" s="375">
        <v>86858.53512</v>
      </c>
      <c r="K1383" s="375">
        <v>-11980.8879</v>
      </c>
      <c r="L1383" s="375">
        <v>-18454.623780000002</v>
      </c>
      <c r="M1383" s="375">
        <v>108146.81137</v>
      </c>
      <c r="N1383" s="372">
        <v>0.72</v>
      </c>
      <c r="O1383" s="704">
        <v>112.09650892444985</v>
      </c>
      <c r="P1383" s="375" t="s">
        <v>619</v>
      </c>
      <c r="Q1383" s="372" t="s">
        <v>619</v>
      </c>
      <c r="R1383" s="696">
        <v>19960703</v>
      </c>
      <c r="S1383" s="372" t="s">
        <v>9287</v>
      </c>
      <c r="T1383" s="697" t="s">
        <v>768</v>
      </c>
      <c r="U1383" s="372" t="s">
        <v>9288</v>
      </c>
      <c r="V1383" s="722" t="s">
        <v>770</v>
      </c>
      <c r="W1383" s="722">
        <v>0.59</v>
      </c>
      <c r="X1383" s="722">
        <v>0.76</v>
      </c>
      <c r="Y1383" s="722" t="s">
        <v>770</v>
      </c>
      <c r="Z1383" s="382" t="s">
        <v>924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9289</v>
      </c>
      <c r="B1384" s="373" t="s">
        <v>9290</v>
      </c>
      <c r="C1384" s="372" t="s">
        <v>9291</v>
      </c>
      <c r="D1384" s="374">
        <v>1101111867831</v>
      </c>
      <c r="E1384" s="372" t="s">
        <v>9292</v>
      </c>
      <c r="F1384" s="375" t="s">
        <v>1272</v>
      </c>
      <c r="G1384" s="375" t="s">
        <v>1272</v>
      </c>
      <c r="H1384" s="375" t="s">
        <v>858</v>
      </c>
      <c r="I1384" s="375" t="s">
        <v>859</v>
      </c>
      <c r="J1384" s="375">
        <v>42571.418109999999</v>
      </c>
      <c r="K1384" s="375">
        <v>-10341.65957</v>
      </c>
      <c r="L1384" s="375">
        <v>-10675.1199</v>
      </c>
      <c r="M1384" s="375">
        <v>50800.960339999998</v>
      </c>
      <c r="N1384" s="372">
        <v>1.0129999999999999</v>
      </c>
      <c r="O1384" s="704">
        <v>25.261708848494514</v>
      </c>
      <c r="P1384" s="375" t="s">
        <v>619</v>
      </c>
      <c r="Q1384" s="372" t="s">
        <v>619</v>
      </c>
      <c r="R1384" s="696">
        <v>20131219</v>
      </c>
      <c r="S1384" s="375" t="s">
        <v>9293</v>
      </c>
      <c r="T1384" s="697" t="s">
        <v>768</v>
      </c>
      <c r="U1384" s="372" t="s">
        <v>9294</v>
      </c>
      <c r="V1384" s="722" t="s">
        <v>770</v>
      </c>
      <c r="W1384" s="722">
        <v>1.26</v>
      </c>
      <c r="X1384" s="722">
        <v>1.51</v>
      </c>
      <c r="Y1384" s="722" t="s">
        <v>770</v>
      </c>
      <c r="Z1384" s="382" t="s">
        <v>924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9295</v>
      </c>
      <c r="B1385" s="373" t="s">
        <v>9296</v>
      </c>
      <c r="C1385" s="372" t="s">
        <v>9297</v>
      </c>
      <c r="D1385" s="374">
        <v>1101111335656</v>
      </c>
      <c r="E1385" s="372" t="s">
        <v>9298</v>
      </c>
      <c r="F1385" s="375" t="s">
        <v>1003</v>
      </c>
      <c r="G1385" s="375" t="s">
        <v>1212</v>
      </c>
      <c r="H1385" s="375" t="s">
        <v>858</v>
      </c>
      <c r="I1385" s="375" t="s">
        <v>859</v>
      </c>
      <c r="J1385" s="375">
        <v>86837.459969999996</v>
      </c>
      <c r="K1385" s="375">
        <v>32763.601449999998</v>
      </c>
      <c r="L1385" s="375">
        <v>37626.568189999998</v>
      </c>
      <c r="M1385" s="375">
        <v>242294.0215</v>
      </c>
      <c r="N1385" s="372">
        <v>0.89</v>
      </c>
      <c r="O1385" s="704">
        <v>4.945235729363894</v>
      </c>
      <c r="P1385" s="375" t="s">
        <v>619</v>
      </c>
      <c r="Q1385" s="372" t="s">
        <v>619</v>
      </c>
      <c r="R1385" s="696">
        <v>20010810</v>
      </c>
      <c r="S1385" s="372" t="s">
        <v>9299</v>
      </c>
      <c r="T1385" s="697">
        <v>0.23100000000000001</v>
      </c>
      <c r="U1385" s="372" t="s">
        <v>9300</v>
      </c>
      <c r="V1385" s="722">
        <v>1.97</v>
      </c>
      <c r="W1385" s="722">
        <v>0.28000000000000003</v>
      </c>
      <c r="X1385" s="722">
        <v>0.79</v>
      </c>
      <c r="Y1385" s="722">
        <v>3.87</v>
      </c>
      <c r="Z1385" s="382" t="s">
        <v>924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9301</v>
      </c>
      <c r="B1386" s="373" t="s">
        <v>9302</v>
      </c>
      <c r="C1386" s="372" t="s">
        <v>9303</v>
      </c>
      <c r="D1386" s="374">
        <v>1311110332864</v>
      </c>
      <c r="E1386" s="372" t="s">
        <v>9304</v>
      </c>
      <c r="F1386" s="375" t="s">
        <v>972</v>
      </c>
      <c r="G1386" s="375" t="s">
        <v>972</v>
      </c>
      <c r="H1386" s="375" t="s">
        <v>1334</v>
      </c>
      <c r="I1386" s="375" t="s">
        <v>859</v>
      </c>
      <c r="J1386" s="375">
        <v>174771.63931999999</v>
      </c>
      <c r="K1386" s="375">
        <v>15186.333130000001</v>
      </c>
      <c r="L1386" s="375">
        <v>16825.92699</v>
      </c>
      <c r="M1386" s="375">
        <v>94974.794639999993</v>
      </c>
      <c r="N1386" s="372">
        <v>0.91600000000000004</v>
      </c>
      <c r="O1386" s="704">
        <v>14.602079356310712</v>
      </c>
      <c r="P1386" s="375" t="s">
        <v>619</v>
      </c>
      <c r="Q1386" s="375" t="s">
        <v>619</v>
      </c>
      <c r="R1386" s="696">
        <v>20171205</v>
      </c>
      <c r="S1386" s="375" t="s">
        <v>9305</v>
      </c>
      <c r="T1386" s="697">
        <v>0.20900000000000002</v>
      </c>
      <c r="U1386" s="372" t="s">
        <v>9306</v>
      </c>
      <c r="V1386" s="722">
        <v>6.67</v>
      </c>
      <c r="W1386" s="722">
        <v>1.35</v>
      </c>
      <c r="X1386" s="722">
        <v>0.75</v>
      </c>
      <c r="Y1386" s="722">
        <v>8.5500000000000007</v>
      </c>
      <c r="Z1386" s="382">
        <v>0.10168673059900568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1715</v>
      </c>
      <c r="AF1386" s="372">
        <v>1920</v>
      </c>
      <c r="AG1386" s="372">
        <v>2168</v>
      </c>
      <c r="AH1386" s="372">
        <v>0</v>
      </c>
    </row>
    <row r="1387" spans="1:34">
      <c r="A1387" s="372" t="s">
        <v>9307</v>
      </c>
      <c r="B1387" s="373" t="s">
        <v>9308</v>
      </c>
      <c r="C1387" s="372" t="s">
        <v>9309</v>
      </c>
      <c r="D1387" s="374">
        <v>1101110220204</v>
      </c>
      <c r="E1387" s="372" t="s">
        <v>9310</v>
      </c>
      <c r="F1387" s="375" t="s">
        <v>9311</v>
      </c>
      <c r="G1387" s="375" t="s">
        <v>9311</v>
      </c>
      <c r="H1387" s="375" t="s">
        <v>1040</v>
      </c>
      <c r="I1387" s="375" t="s">
        <v>751</v>
      </c>
      <c r="J1387" s="375">
        <v>27269.24855</v>
      </c>
      <c r="K1387" s="375">
        <v>2714.6297599999998</v>
      </c>
      <c r="L1387" s="375">
        <v>2377.1703000000002</v>
      </c>
      <c r="M1387" s="375">
        <v>45855.334159999999</v>
      </c>
      <c r="N1387" s="372" t="s">
        <v>1023</v>
      </c>
      <c r="O1387" s="704">
        <v>5.6279231693309795</v>
      </c>
      <c r="P1387" s="375" t="s">
        <v>16112</v>
      </c>
      <c r="Q1387" s="372" t="s">
        <v>619</v>
      </c>
      <c r="R1387" s="696">
        <v>19900710</v>
      </c>
      <c r="S1387" s="375" t="s">
        <v>9312</v>
      </c>
      <c r="T1387" s="697">
        <v>0.20900000000000002</v>
      </c>
      <c r="U1387" s="372" t="s">
        <v>15904</v>
      </c>
      <c r="V1387" s="722">
        <v>32.020000000000003</v>
      </c>
      <c r="W1387" s="722">
        <v>2.5299999999999998</v>
      </c>
      <c r="X1387" s="722">
        <v>4.1399999999999997</v>
      </c>
      <c r="Y1387" s="722">
        <v>47.63</v>
      </c>
      <c r="Z1387" s="382" t="s">
        <v>924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9313</v>
      </c>
      <c r="B1388" s="373" t="s">
        <v>9314</v>
      </c>
      <c r="C1388" s="372" t="s">
        <v>9315</v>
      </c>
      <c r="D1388" s="374">
        <v>1101111042574</v>
      </c>
      <c r="E1388" s="372" t="s">
        <v>9316</v>
      </c>
      <c r="F1388" s="375" t="s">
        <v>1279</v>
      </c>
      <c r="G1388" s="375" t="s">
        <v>1280</v>
      </c>
      <c r="H1388" s="375" t="s">
        <v>858</v>
      </c>
      <c r="I1388" s="375" t="s">
        <v>859</v>
      </c>
      <c r="J1388" s="375">
        <v>289389.05161999998</v>
      </c>
      <c r="K1388" s="375">
        <v>-1628.6614300000001</v>
      </c>
      <c r="L1388" s="375">
        <v>-5729.70669</v>
      </c>
      <c r="M1388" s="375">
        <v>179490.66097</v>
      </c>
      <c r="N1388" s="372">
        <v>0.871</v>
      </c>
      <c r="O1388" s="704">
        <v>39.992836145108733</v>
      </c>
      <c r="P1388" s="375" t="s">
        <v>619</v>
      </c>
      <c r="Q1388" s="372" t="s">
        <v>619</v>
      </c>
      <c r="R1388" s="696">
        <v>20031112</v>
      </c>
      <c r="S1388" s="372" t="s">
        <v>9317</v>
      </c>
      <c r="T1388" s="697" t="s">
        <v>768</v>
      </c>
      <c r="U1388" s="372" t="s">
        <v>9318</v>
      </c>
      <c r="V1388" s="722">
        <v>49.29</v>
      </c>
      <c r="W1388" s="722">
        <v>0.74</v>
      </c>
      <c r="X1388" s="722">
        <v>0.46</v>
      </c>
      <c r="Y1388" s="722" t="s">
        <v>770</v>
      </c>
      <c r="Z1388" s="382" t="s">
        <v>924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9319</v>
      </c>
      <c r="B1389" s="373" t="s">
        <v>9320</v>
      </c>
      <c r="C1389" s="372" t="s">
        <v>9321</v>
      </c>
      <c r="D1389" s="374">
        <v>1311110042950</v>
      </c>
      <c r="E1389" s="372" t="s">
        <v>9322</v>
      </c>
      <c r="F1389" s="375" t="s">
        <v>4830</v>
      </c>
      <c r="G1389" s="375" t="s">
        <v>4830</v>
      </c>
      <c r="H1389" s="375" t="s">
        <v>1313</v>
      </c>
      <c r="I1389" s="375" t="s">
        <v>751</v>
      </c>
      <c r="J1389" s="375">
        <v>1622458.39487</v>
      </c>
      <c r="K1389" s="375">
        <v>41148.171009999998</v>
      </c>
      <c r="L1389" s="375">
        <v>12480.502</v>
      </c>
      <c r="M1389" s="375">
        <v>246107.93577000001</v>
      </c>
      <c r="N1389" s="372">
        <v>0.94599999999999995</v>
      </c>
      <c r="O1389" s="704">
        <v>1128.5514536856222</v>
      </c>
      <c r="P1389" s="375" t="s">
        <v>619</v>
      </c>
      <c r="Q1389" s="372" t="s">
        <v>619</v>
      </c>
      <c r="R1389" s="696">
        <v>19991025</v>
      </c>
      <c r="S1389" s="372" t="s">
        <v>9323</v>
      </c>
      <c r="T1389" s="697">
        <v>0.20900000000000002</v>
      </c>
      <c r="U1389" s="372" t="s">
        <v>9324</v>
      </c>
      <c r="V1389" s="722">
        <v>8.32</v>
      </c>
      <c r="W1389" s="722">
        <v>0.37</v>
      </c>
      <c r="X1389" s="722">
        <v>0.05</v>
      </c>
      <c r="Y1389" s="722" t="s">
        <v>770</v>
      </c>
      <c r="Z1389" s="382" t="s">
        <v>924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9325</v>
      </c>
      <c r="B1390" s="373" t="s">
        <v>9326</v>
      </c>
      <c r="C1390" s="372" t="s">
        <v>9327</v>
      </c>
      <c r="D1390" s="374">
        <v>1601110082513</v>
      </c>
      <c r="E1390" s="372" t="s">
        <v>9328</v>
      </c>
      <c r="F1390" s="375" t="s">
        <v>4868</v>
      </c>
      <c r="G1390" s="375" t="s">
        <v>4868</v>
      </c>
      <c r="H1390" s="375" t="s">
        <v>858</v>
      </c>
      <c r="I1390" s="375" t="s">
        <v>859</v>
      </c>
      <c r="J1390" s="375">
        <v>239680.79483999999</v>
      </c>
      <c r="K1390" s="375">
        <v>9100.5234400000008</v>
      </c>
      <c r="L1390" s="375">
        <v>-12952.53068</v>
      </c>
      <c r="M1390" s="375">
        <v>36074.768199999999</v>
      </c>
      <c r="N1390" s="372">
        <v>0.92600000000000005</v>
      </c>
      <c r="O1390" s="704">
        <v>217.54500679161009</v>
      </c>
      <c r="P1390" s="375" t="s">
        <v>619</v>
      </c>
      <c r="Q1390" s="372" t="s">
        <v>619</v>
      </c>
      <c r="R1390" s="696">
        <v>20050624</v>
      </c>
      <c r="S1390" s="372" t="s">
        <v>9329</v>
      </c>
      <c r="T1390" s="697" t="s">
        <v>768</v>
      </c>
      <c r="U1390" s="372" t="s">
        <v>9330</v>
      </c>
      <c r="V1390" s="722">
        <v>9.0500000000000007</v>
      </c>
      <c r="W1390" s="722">
        <v>1.64</v>
      </c>
      <c r="X1390" s="722">
        <v>0.28000000000000003</v>
      </c>
      <c r="Y1390" s="722" t="s">
        <v>770</v>
      </c>
      <c r="Z1390" s="382">
        <v>3.661322393686528E-2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2191</v>
      </c>
      <c r="AF1390" s="372">
        <v>2438</v>
      </c>
      <c r="AG1390" s="372">
        <v>2680</v>
      </c>
      <c r="AH1390" s="372">
        <v>0</v>
      </c>
    </row>
    <row r="1391" spans="1:34">
      <c r="A1391" s="372" t="s">
        <v>9331</v>
      </c>
      <c r="B1391" s="373" t="s">
        <v>9332</v>
      </c>
      <c r="C1391" s="372" t="s">
        <v>9333</v>
      </c>
      <c r="D1391" s="374">
        <v>1701110207177</v>
      </c>
      <c r="E1391" s="372" t="s">
        <v>9334</v>
      </c>
      <c r="F1391" s="375" t="s">
        <v>1959</v>
      </c>
      <c r="G1391" s="375" t="s">
        <v>1959</v>
      </c>
      <c r="H1391" s="375" t="s">
        <v>858</v>
      </c>
      <c r="I1391" s="375" t="s">
        <v>859</v>
      </c>
      <c r="J1391" s="375">
        <v>26982.328819999999</v>
      </c>
      <c r="K1391" s="375">
        <v>809.08515999999997</v>
      </c>
      <c r="L1391" s="375">
        <v>629.01831000000004</v>
      </c>
      <c r="M1391" s="375">
        <v>27410.98833</v>
      </c>
      <c r="N1391" s="372" t="s">
        <v>1023</v>
      </c>
      <c r="O1391" s="704">
        <v>17.426569045688243</v>
      </c>
      <c r="P1391" s="375" t="s">
        <v>619</v>
      </c>
      <c r="Q1391" s="375" t="s">
        <v>619</v>
      </c>
      <c r="R1391" s="696">
        <v>20180913</v>
      </c>
      <c r="S1391" s="375" t="s">
        <v>9335</v>
      </c>
      <c r="T1391" s="697">
        <v>0.20900000000000002</v>
      </c>
      <c r="U1391" s="372" t="s">
        <v>9336</v>
      </c>
      <c r="V1391" s="722">
        <v>0</v>
      </c>
      <c r="W1391" s="722">
        <v>0</v>
      </c>
      <c r="X1391" s="722">
        <v>0</v>
      </c>
      <c r="Y1391" s="722">
        <v>0</v>
      </c>
      <c r="Z1391" s="382" t="s">
        <v>924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9337</v>
      </c>
      <c r="B1392" s="373" t="s">
        <v>9338</v>
      </c>
      <c r="C1392" s="372" t="s">
        <v>9339</v>
      </c>
      <c r="D1392" s="374">
        <v>1311110128338</v>
      </c>
      <c r="E1392" s="372" t="s">
        <v>9340</v>
      </c>
      <c r="F1392" s="375" t="s">
        <v>5684</v>
      </c>
      <c r="G1392" s="375" t="s">
        <v>5684</v>
      </c>
      <c r="H1392" s="375" t="s">
        <v>858</v>
      </c>
      <c r="I1392" s="375" t="s">
        <v>859</v>
      </c>
      <c r="J1392" s="375">
        <v>1195.34214</v>
      </c>
      <c r="K1392" s="375">
        <v>-4458.3171300000004</v>
      </c>
      <c r="L1392" s="375">
        <v>-3752.8859200000002</v>
      </c>
      <c r="M1392" s="375">
        <v>9244.3457799999996</v>
      </c>
      <c r="N1392" s="372">
        <v>1.091</v>
      </c>
      <c r="O1392" s="704">
        <v>2.356785943061023</v>
      </c>
      <c r="P1392" s="375" t="s">
        <v>619</v>
      </c>
      <c r="Q1392" s="372" t="s">
        <v>619</v>
      </c>
      <c r="R1392" s="696">
        <v>20200220</v>
      </c>
      <c r="S1392" s="372" t="s">
        <v>9341</v>
      </c>
      <c r="T1392" s="697" t="s">
        <v>768</v>
      </c>
      <c r="U1392" s="372" t="s">
        <v>9342</v>
      </c>
      <c r="V1392" s="722">
        <v>0</v>
      </c>
      <c r="W1392" s="722">
        <v>0</v>
      </c>
      <c r="X1392" s="722">
        <v>0</v>
      </c>
      <c r="Y1392" s="722">
        <v>0</v>
      </c>
      <c r="Z1392" s="382" t="s">
        <v>924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9343</v>
      </c>
      <c r="B1393" s="373" t="s">
        <v>9344</v>
      </c>
      <c r="C1393" s="372" t="s">
        <v>9345</v>
      </c>
      <c r="D1393" s="374">
        <v>1101110220882</v>
      </c>
      <c r="E1393" s="372" t="s">
        <v>9346</v>
      </c>
      <c r="F1393" s="375" t="s">
        <v>9347</v>
      </c>
      <c r="G1393" s="375" t="s">
        <v>9348</v>
      </c>
      <c r="H1393" s="375" t="s">
        <v>3954</v>
      </c>
      <c r="I1393" s="375" t="s">
        <v>751</v>
      </c>
      <c r="J1393" s="375">
        <v>128481.48417</v>
      </c>
      <c r="K1393" s="375">
        <v>4713.49377</v>
      </c>
      <c r="L1393" s="375">
        <v>4920.8386700000001</v>
      </c>
      <c r="M1393" s="375">
        <v>81725.14718</v>
      </c>
      <c r="N1393" s="372">
        <v>0.56200000000000006</v>
      </c>
      <c r="O1393" s="704">
        <v>0.51632251965966502</v>
      </c>
      <c r="P1393" s="375" t="s">
        <v>619</v>
      </c>
      <c r="Q1393" s="375" t="s">
        <v>619</v>
      </c>
      <c r="R1393" s="696">
        <v>19881014</v>
      </c>
      <c r="S1393" s="375" t="s">
        <v>9349</v>
      </c>
      <c r="T1393" s="697">
        <v>0.20900000000000002</v>
      </c>
      <c r="U1393" s="372" t="s">
        <v>9350</v>
      </c>
      <c r="V1393" s="722">
        <v>0</v>
      </c>
      <c r="W1393" s="722">
        <v>0</v>
      </c>
      <c r="X1393" s="722">
        <v>0</v>
      </c>
      <c r="Y1393" s="722">
        <v>0</v>
      </c>
      <c r="Z1393" s="382" t="s">
        <v>924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9351</v>
      </c>
      <c r="B1394" s="373" t="s">
        <v>9352</v>
      </c>
      <c r="C1394" s="372" t="s">
        <v>16122</v>
      </c>
      <c r="D1394" s="374">
        <v>1701110001131</v>
      </c>
      <c r="E1394" s="372" t="s">
        <v>16123</v>
      </c>
      <c r="F1394" s="375" t="s">
        <v>1846</v>
      </c>
      <c r="G1394" s="375" t="s">
        <v>1847</v>
      </c>
      <c r="H1394" s="375" t="s">
        <v>1383</v>
      </c>
      <c r="I1394" s="375" t="s">
        <v>751</v>
      </c>
      <c r="J1394" s="375">
        <v>686123.08829999994</v>
      </c>
      <c r="K1394" s="375">
        <v>18948.609499999999</v>
      </c>
      <c r="L1394" s="375">
        <v>1800.4159199999999</v>
      </c>
      <c r="M1394" s="375">
        <v>376063.59863000002</v>
      </c>
      <c r="N1394" s="372">
        <v>0.63200000000000001</v>
      </c>
      <c r="O1394" s="704">
        <v>449.73351391895892</v>
      </c>
      <c r="P1394" s="375" t="s">
        <v>619</v>
      </c>
      <c r="Q1394" s="372" t="s">
        <v>619</v>
      </c>
      <c r="R1394" s="696">
        <v>19880929</v>
      </c>
      <c r="S1394" s="372" t="s">
        <v>9353</v>
      </c>
      <c r="T1394" s="697">
        <v>0.20900000000000002</v>
      </c>
      <c r="U1394" s="372" t="s">
        <v>9354</v>
      </c>
      <c r="V1394" s="722">
        <v>7.45</v>
      </c>
      <c r="W1394" s="722">
        <v>0.22</v>
      </c>
      <c r="X1394" s="722">
        <v>0.13</v>
      </c>
      <c r="Y1394" s="722" t="s">
        <v>770</v>
      </c>
      <c r="Z1394" s="382">
        <v>-7.670629152255215E-2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5977</v>
      </c>
      <c r="AF1394" s="372">
        <v>6005</v>
      </c>
      <c r="AG1394" s="372">
        <v>6599</v>
      </c>
      <c r="AH1394" s="372">
        <v>7720</v>
      </c>
    </row>
    <row r="1395" spans="1:34">
      <c r="A1395" s="372" t="s">
        <v>9355</v>
      </c>
      <c r="B1395" s="373" t="s">
        <v>9356</v>
      </c>
      <c r="C1395" s="372" t="s">
        <v>9357</v>
      </c>
      <c r="D1395" s="374">
        <v>1101114297944</v>
      </c>
      <c r="E1395" s="372" t="s">
        <v>9358</v>
      </c>
      <c r="F1395" s="375" t="s">
        <v>1072</v>
      </c>
      <c r="G1395" s="375" t="s">
        <v>1527</v>
      </c>
      <c r="H1395" s="375" t="s">
        <v>1528</v>
      </c>
      <c r="I1395" s="375" t="s">
        <v>859</v>
      </c>
      <c r="J1395" s="375">
        <v>73698.823980000001</v>
      </c>
      <c r="K1395" s="375">
        <v>-10737.391530000001</v>
      </c>
      <c r="L1395" s="375">
        <v>-9096.5428100000008</v>
      </c>
      <c r="M1395" s="375">
        <v>77382.977329999994</v>
      </c>
      <c r="N1395" s="372">
        <v>0.78</v>
      </c>
      <c r="O1395" s="704">
        <v>19.737004650237601</v>
      </c>
      <c r="P1395" s="375" t="s">
        <v>619</v>
      </c>
      <c r="Q1395" s="375" t="s">
        <v>619</v>
      </c>
      <c r="R1395" s="696">
        <v>20211122</v>
      </c>
      <c r="S1395" s="375" t="s">
        <v>9359</v>
      </c>
      <c r="T1395" s="697" t="s">
        <v>768</v>
      </c>
      <c r="U1395" s="372" t="s">
        <v>9360</v>
      </c>
      <c r="V1395" s="722" t="s">
        <v>770</v>
      </c>
      <c r="W1395" s="722">
        <v>1.06</v>
      </c>
      <c r="X1395" s="722">
        <v>0.99</v>
      </c>
      <c r="Y1395" s="722" t="s">
        <v>770</v>
      </c>
      <c r="Z1395" s="382" t="s">
        <v>924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9361</v>
      </c>
      <c r="B1396" s="373" t="s">
        <v>9362</v>
      </c>
      <c r="C1396" s="372" t="s">
        <v>9363</v>
      </c>
      <c r="D1396" s="374">
        <v>1101112498312</v>
      </c>
      <c r="E1396" s="372" t="s">
        <v>9364</v>
      </c>
      <c r="F1396" s="375" t="s">
        <v>1793</v>
      </c>
      <c r="G1396" s="375" t="s">
        <v>1794</v>
      </c>
      <c r="H1396" s="375" t="s">
        <v>858</v>
      </c>
      <c r="I1396" s="375" t="s">
        <v>859</v>
      </c>
      <c r="J1396" s="375">
        <v>32870.200420000001</v>
      </c>
      <c r="K1396" s="375">
        <v>859.45510000000002</v>
      </c>
      <c r="L1396" s="375">
        <v>1699.8099</v>
      </c>
      <c r="M1396" s="375">
        <v>43930.065860000002</v>
      </c>
      <c r="N1396" s="372" t="s">
        <v>1023</v>
      </c>
      <c r="O1396" s="704">
        <v>10.631703439568275</v>
      </c>
      <c r="P1396" s="375" t="s">
        <v>619</v>
      </c>
      <c r="Q1396" s="372" t="s">
        <v>619</v>
      </c>
      <c r="R1396" s="696">
        <v>20230925</v>
      </c>
      <c r="S1396" s="372" t="s">
        <v>9365</v>
      </c>
      <c r="T1396" s="697">
        <v>0.20900000000000002</v>
      </c>
      <c r="U1396" s="372" t="s">
        <v>9366</v>
      </c>
      <c r="V1396" s="722">
        <v>38.04</v>
      </c>
      <c r="W1396" s="722">
        <v>1.28</v>
      </c>
      <c r="X1396" s="722">
        <v>1.71</v>
      </c>
      <c r="Y1396" s="722">
        <v>24.62</v>
      </c>
      <c r="Z1396" s="382" t="s">
        <v>924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9367</v>
      </c>
      <c r="B1397" s="373" t="s">
        <v>9368</v>
      </c>
      <c r="C1397" s="372" t="s">
        <v>9369</v>
      </c>
      <c r="D1397" s="374">
        <v>1615110001291</v>
      </c>
      <c r="E1397" s="372" t="s">
        <v>9370</v>
      </c>
      <c r="F1397" s="375" t="s">
        <v>1246</v>
      </c>
      <c r="G1397" s="375" t="s">
        <v>1246</v>
      </c>
      <c r="H1397" s="375" t="s">
        <v>858</v>
      </c>
      <c r="I1397" s="375" t="s">
        <v>859</v>
      </c>
      <c r="J1397" s="375">
        <v>101414.32303</v>
      </c>
      <c r="K1397" s="375">
        <v>14080.15574</v>
      </c>
      <c r="L1397" s="375">
        <v>10420.207899999999</v>
      </c>
      <c r="M1397" s="375">
        <v>23747.61867</v>
      </c>
      <c r="N1397" s="372">
        <v>0.83</v>
      </c>
      <c r="O1397" s="704">
        <v>27.76651620924283</v>
      </c>
      <c r="P1397" s="375" t="s">
        <v>619</v>
      </c>
      <c r="Q1397" s="372" t="s">
        <v>619</v>
      </c>
      <c r="R1397" s="696">
        <v>20030207</v>
      </c>
      <c r="S1397" s="372" t="s">
        <v>9371</v>
      </c>
      <c r="T1397" s="697">
        <v>0.20900000000000002</v>
      </c>
      <c r="U1397" s="372" t="s">
        <v>9372</v>
      </c>
      <c r="V1397" s="722">
        <v>5.89</v>
      </c>
      <c r="W1397" s="722">
        <v>3.44</v>
      </c>
      <c r="X1397" s="722">
        <v>0.84</v>
      </c>
      <c r="Y1397" s="722">
        <v>11.66</v>
      </c>
      <c r="Z1397" s="382" t="s">
        <v>924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9373</v>
      </c>
      <c r="B1398" s="373" t="s">
        <v>9374</v>
      </c>
      <c r="C1398" s="372" t="s">
        <v>9375</v>
      </c>
      <c r="D1398" s="374">
        <v>1801110081389</v>
      </c>
      <c r="E1398" s="372" t="s">
        <v>9376</v>
      </c>
      <c r="F1398" s="372" t="s">
        <v>1133</v>
      </c>
      <c r="G1398" s="375" t="s">
        <v>3125</v>
      </c>
      <c r="H1398" s="375" t="s">
        <v>858</v>
      </c>
      <c r="I1398" s="375" t="s">
        <v>859</v>
      </c>
      <c r="J1398" s="375">
        <v>186086.81043000001</v>
      </c>
      <c r="K1398" s="375">
        <v>11033.267089999999</v>
      </c>
      <c r="L1398" s="375">
        <v>15598.20004</v>
      </c>
      <c r="M1398" s="375">
        <v>236222.28682000001</v>
      </c>
      <c r="N1398" s="372">
        <v>0.72799999999999998</v>
      </c>
      <c r="O1398" s="704">
        <v>0.19663473695657954</v>
      </c>
      <c r="P1398" s="375" t="s">
        <v>619</v>
      </c>
      <c r="Q1398" s="372" t="s">
        <v>619</v>
      </c>
      <c r="R1398" s="696">
        <v>20110708</v>
      </c>
      <c r="S1398" s="372" t="s">
        <v>9377</v>
      </c>
      <c r="T1398" s="697">
        <v>0.20900000000000002</v>
      </c>
      <c r="U1398" s="372" t="s">
        <v>9378</v>
      </c>
      <c r="V1398" s="722">
        <v>7.12</v>
      </c>
      <c r="W1398" s="722">
        <v>0.48</v>
      </c>
      <c r="X1398" s="722">
        <v>0.62</v>
      </c>
      <c r="Y1398" s="722">
        <v>8.7899999999999991</v>
      </c>
      <c r="Z1398" s="382">
        <v>0.10329555624294029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1892</v>
      </c>
      <c r="AF1398" s="372">
        <v>2120</v>
      </c>
      <c r="AG1398" s="372">
        <v>2287</v>
      </c>
      <c r="AH1398" s="372">
        <v>0</v>
      </c>
    </row>
    <row r="1399" spans="1:34">
      <c r="A1399" s="372" t="s">
        <v>9379</v>
      </c>
      <c r="B1399" s="373" t="s">
        <v>9380</v>
      </c>
      <c r="C1399" s="372" t="s">
        <v>9381</v>
      </c>
      <c r="D1399" s="374">
        <v>1244110067216</v>
      </c>
      <c r="E1399" s="372" t="s">
        <v>9382</v>
      </c>
      <c r="F1399" s="375" t="s">
        <v>1182</v>
      </c>
      <c r="G1399" s="375" t="s">
        <v>1182</v>
      </c>
      <c r="H1399" s="375" t="s">
        <v>858</v>
      </c>
      <c r="I1399" s="375" t="s">
        <v>859</v>
      </c>
      <c r="J1399" s="375">
        <v>139062.50151999999</v>
      </c>
      <c r="K1399" s="375">
        <v>7670.3405199999997</v>
      </c>
      <c r="L1399" s="375">
        <v>4544.1764300000004</v>
      </c>
      <c r="M1399" s="375">
        <v>83272.041840000005</v>
      </c>
      <c r="N1399" s="372" t="s">
        <v>1023</v>
      </c>
      <c r="O1399" s="704">
        <v>21.838920173528987</v>
      </c>
      <c r="P1399" s="375" t="s">
        <v>16112</v>
      </c>
      <c r="Q1399" s="375" t="s">
        <v>16113</v>
      </c>
      <c r="R1399" s="696">
        <v>20150626</v>
      </c>
      <c r="S1399" s="375" t="s">
        <v>9383</v>
      </c>
      <c r="T1399" s="697">
        <v>0.20900000000000002</v>
      </c>
      <c r="U1399" s="372" t="s">
        <v>9384</v>
      </c>
      <c r="V1399" s="722">
        <v>11.18</v>
      </c>
      <c r="W1399" s="722">
        <v>1.96</v>
      </c>
      <c r="X1399" s="722">
        <v>0.85</v>
      </c>
      <c r="Y1399" s="722">
        <v>34.54</v>
      </c>
      <c r="Z1399" s="382" t="s">
        <v>924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9385</v>
      </c>
      <c r="B1400" s="373" t="s">
        <v>9386</v>
      </c>
      <c r="C1400" s="372" t="s">
        <v>9387</v>
      </c>
      <c r="D1400" s="374">
        <v>1311110367986</v>
      </c>
      <c r="E1400" s="372" t="s">
        <v>9388</v>
      </c>
      <c r="F1400" s="375" t="s">
        <v>1411</v>
      </c>
      <c r="G1400" s="375" t="s">
        <v>1411</v>
      </c>
      <c r="H1400" s="375" t="s">
        <v>858</v>
      </c>
      <c r="I1400" s="375" t="s">
        <v>859</v>
      </c>
      <c r="J1400" s="375">
        <v>31270.699329999999</v>
      </c>
      <c r="K1400" s="375">
        <v>-2582.7730999999999</v>
      </c>
      <c r="L1400" s="375">
        <v>-3068.1571300000001</v>
      </c>
      <c r="M1400" s="375">
        <v>69265.540340000007</v>
      </c>
      <c r="N1400" s="372">
        <v>0.92800000000000005</v>
      </c>
      <c r="O1400" s="704">
        <v>56.155189585974142</v>
      </c>
      <c r="P1400" s="375" t="s">
        <v>619</v>
      </c>
      <c r="Q1400" s="375" t="s">
        <v>619</v>
      </c>
      <c r="R1400" s="696">
        <v>20181015</v>
      </c>
      <c r="S1400" s="375" t="s">
        <v>9389</v>
      </c>
      <c r="T1400" s="697" t="s">
        <v>768</v>
      </c>
      <c r="U1400" s="372" t="s">
        <v>9390</v>
      </c>
      <c r="V1400" s="722" t="s">
        <v>770</v>
      </c>
      <c r="W1400" s="722">
        <v>1.18</v>
      </c>
      <c r="X1400" s="722">
        <v>2.62</v>
      </c>
      <c r="Y1400" s="722" t="s">
        <v>770</v>
      </c>
      <c r="Z1400" s="382">
        <v>0.11237931454241412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383</v>
      </c>
      <c r="AF1400" s="372">
        <v>451</v>
      </c>
      <c r="AG1400" s="372">
        <v>498</v>
      </c>
      <c r="AH1400" s="372">
        <v>0</v>
      </c>
    </row>
    <row r="1401" spans="1:34">
      <c r="A1401" s="372" t="s">
        <v>9391</v>
      </c>
      <c r="B1401" s="373" t="s">
        <v>9392</v>
      </c>
      <c r="C1401" s="372" t="s">
        <v>9393</v>
      </c>
      <c r="D1401" s="374">
        <v>1801110015362</v>
      </c>
      <c r="E1401" s="372" t="s">
        <v>9394</v>
      </c>
      <c r="F1401" s="375" t="s">
        <v>2744</v>
      </c>
      <c r="G1401" s="375" t="s">
        <v>9395</v>
      </c>
      <c r="H1401" s="375" t="s">
        <v>809</v>
      </c>
      <c r="I1401" s="375" t="s">
        <v>751</v>
      </c>
      <c r="J1401" s="375">
        <v>765812.21900000004</v>
      </c>
      <c r="K1401" s="375">
        <v>13778.45666</v>
      </c>
      <c r="L1401" s="375">
        <v>2744.6194300000002</v>
      </c>
      <c r="M1401" s="375">
        <v>222820.77522000001</v>
      </c>
      <c r="N1401" s="372">
        <v>0.41</v>
      </c>
      <c r="O1401" s="704">
        <v>258.45474324635472</v>
      </c>
      <c r="P1401" s="375" t="s">
        <v>619</v>
      </c>
      <c r="Q1401" s="372" t="s">
        <v>619</v>
      </c>
      <c r="R1401" s="696">
        <v>19891113</v>
      </c>
      <c r="S1401" s="372" t="s">
        <v>9396</v>
      </c>
      <c r="T1401" s="697">
        <v>0.20900000000000002</v>
      </c>
      <c r="U1401" s="372" t="s">
        <v>9397</v>
      </c>
      <c r="V1401" s="722">
        <v>0</v>
      </c>
      <c r="W1401" s="722">
        <v>0</v>
      </c>
      <c r="X1401" s="722">
        <v>0</v>
      </c>
      <c r="Y1401" s="722">
        <v>0</v>
      </c>
      <c r="Z1401" s="382" t="s">
        <v>924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9398</v>
      </c>
      <c r="B1402" s="373" t="s">
        <v>9399</v>
      </c>
      <c r="C1402" s="372" t="s">
        <v>9400</v>
      </c>
      <c r="D1402" s="374">
        <v>1101115045045</v>
      </c>
      <c r="E1402" s="372" t="s">
        <v>9401</v>
      </c>
      <c r="F1402" s="372" t="s">
        <v>3363</v>
      </c>
      <c r="G1402" s="375" t="s">
        <v>9402</v>
      </c>
      <c r="H1402" s="375" t="s">
        <v>3096</v>
      </c>
      <c r="I1402" s="375" t="s">
        <v>859</v>
      </c>
      <c r="J1402" s="375">
        <v>164071.74301999999</v>
      </c>
      <c r="K1402" s="375">
        <v>-32398.10671</v>
      </c>
      <c r="L1402" s="375">
        <v>-35807.287539999998</v>
      </c>
      <c r="M1402" s="375">
        <v>-3883.77457</v>
      </c>
      <c r="N1402" s="372">
        <v>0.78</v>
      </c>
      <c r="O1402" s="704">
        <v>224.9342293026173</v>
      </c>
      <c r="P1402" s="375" t="s">
        <v>619</v>
      </c>
      <c r="Q1402" s="372" t="s">
        <v>619</v>
      </c>
      <c r="R1402" s="696">
        <v>20181004</v>
      </c>
      <c r="S1402" s="372">
        <v>0</v>
      </c>
      <c r="T1402" s="697" t="s">
        <v>768</v>
      </c>
      <c r="U1402" s="372" t="s">
        <v>9403</v>
      </c>
      <c r="V1402" s="722" t="s">
        <v>770</v>
      </c>
      <c r="W1402" s="722">
        <v>8</v>
      </c>
      <c r="X1402" s="722">
        <v>0.31</v>
      </c>
      <c r="Y1402" s="722" t="s">
        <v>770</v>
      </c>
      <c r="Z1402" s="382" t="s">
        <v>924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9404</v>
      </c>
      <c r="B1403" s="373" t="s">
        <v>9405</v>
      </c>
      <c r="C1403" s="372" t="s">
        <v>9406</v>
      </c>
      <c r="D1403" s="374">
        <v>1101110624969</v>
      </c>
      <c r="E1403" s="372" t="s">
        <v>9407</v>
      </c>
      <c r="F1403" s="375" t="s">
        <v>1588</v>
      </c>
      <c r="G1403" s="375" t="s">
        <v>1588</v>
      </c>
      <c r="H1403" s="375">
        <v>0</v>
      </c>
      <c r="I1403" s="375" t="s">
        <v>859</v>
      </c>
      <c r="J1403" s="375">
        <v>161227.42086000001</v>
      </c>
      <c r="K1403" s="375">
        <v>4703.4799599999997</v>
      </c>
      <c r="L1403" s="375">
        <v>4052.8202700000002</v>
      </c>
      <c r="M1403" s="375">
        <v>94213.020659999995</v>
      </c>
      <c r="N1403" s="372">
        <v>0.49199999999999999</v>
      </c>
      <c r="O1403" s="704">
        <v>47.950320192288018</v>
      </c>
      <c r="P1403" s="375" t="s">
        <v>619</v>
      </c>
      <c r="Q1403" s="375" t="s">
        <v>619</v>
      </c>
      <c r="R1403" s="696">
        <v>20011009</v>
      </c>
      <c r="S1403" s="375" t="s">
        <v>8978</v>
      </c>
      <c r="T1403" s="697">
        <v>0.20900000000000002</v>
      </c>
      <c r="U1403" s="375" t="s">
        <v>9408</v>
      </c>
      <c r="V1403" s="722">
        <v>0</v>
      </c>
      <c r="W1403" s="722">
        <v>0</v>
      </c>
      <c r="X1403" s="722">
        <v>0</v>
      </c>
      <c r="Y1403" s="722">
        <v>0</v>
      </c>
      <c r="Z1403" s="382" t="s">
        <v>924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9409</v>
      </c>
      <c r="B1404" s="373" t="s">
        <v>9410</v>
      </c>
      <c r="C1404" s="372" t="s">
        <v>9411</v>
      </c>
      <c r="D1404" s="374">
        <v>1201110063785</v>
      </c>
      <c r="E1404" s="372" t="s">
        <v>9412</v>
      </c>
      <c r="F1404" s="375" t="s">
        <v>1272</v>
      </c>
      <c r="G1404" s="375" t="s">
        <v>1272</v>
      </c>
      <c r="H1404" s="375" t="s">
        <v>858</v>
      </c>
      <c r="I1404" s="375" t="s">
        <v>859</v>
      </c>
      <c r="J1404" s="375">
        <v>83395.940159999998</v>
      </c>
      <c r="K1404" s="375">
        <v>5066.5975500000004</v>
      </c>
      <c r="L1404" s="375">
        <v>7404.7421199999999</v>
      </c>
      <c r="M1404" s="375">
        <v>46256.30719</v>
      </c>
      <c r="N1404" s="372" t="s">
        <v>1023</v>
      </c>
      <c r="O1404" s="704">
        <v>38.95759023813747</v>
      </c>
      <c r="P1404" s="375" t="s">
        <v>619</v>
      </c>
      <c r="Q1404" s="372" t="s">
        <v>619</v>
      </c>
      <c r="R1404" s="696">
        <v>20230217</v>
      </c>
      <c r="S1404" s="372" t="s">
        <v>9413</v>
      </c>
      <c r="T1404" s="697">
        <v>0.20900000000000002</v>
      </c>
      <c r="U1404" s="372" t="s">
        <v>9414</v>
      </c>
      <c r="V1404" s="722">
        <v>10.88</v>
      </c>
      <c r="W1404" s="722">
        <v>2.0499999999999998</v>
      </c>
      <c r="X1404" s="722">
        <v>1</v>
      </c>
      <c r="Y1404" s="722">
        <v>18.66</v>
      </c>
      <c r="Z1404" s="382" t="s">
        <v>924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9415</v>
      </c>
      <c r="B1405" s="373" t="s">
        <v>9416</v>
      </c>
      <c r="C1405" s="372" t="s">
        <v>9417</v>
      </c>
      <c r="D1405" s="374">
        <v>1351110045041</v>
      </c>
      <c r="E1405" s="372" t="s">
        <v>9418</v>
      </c>
      <c r="F1405" s="375" t="s">
        <v>2831</v>
      </c>
      <c r="G1405" s="375" t="s">
        <v>2831</v>
      </c>
      <c r="H1405" s="375" t="s">
        <v>858</v>
      </c>
      <c r="I1405" s="375" t="s">
        <v>859</v>
      </c>
      <c r="J1405" s="375">
        <v>239993.04336000001</v>
      </c>
      <c r="K1405" s="375">
        <v>6587.3588099999997</v>
      </c>
      <c r="L1405" s="375">
        <v>12699.396650000001</v>
      </c>
      <c r="M1405" s="375">
        <v>207340.47124000001</v>
      </c>
      <c r="N1405" s="372">
        <v>0.55900000000000005</v>
      </c>
      <c r="O1405" s="704">
        <v>4.4839012154410813</v>
      </c>
      <c r="P1405" s="375" t="s">
        <v>619</v>
      </c>
      <c r="Q1405" s="375" t="s">
        <v>619</v>
      </c>
      <c r="R1405" s="696">
        <v>20071220</v>
      </c>
      <c r="S1405" s="375" t="s">
        <v>9419</v>
      </c>
      <c r="T1405" s="697">
        <v>0.20900000000000002</v>
      </c>
      <c r="U1405" s="372" t="s">
        <v>9420</v>
      </c>
      <c r="V1405" s="722">
        <v>10.17</v>
      </c>
      <c r="W1405" s="722">
        <v>0.51</v>
      </c>
      <c r="X1405" s="722">
        <v>0.44</v>
      </c>
      <c r="Y1405" s="722">
        <v>10.199999999999999</v>
      </c>
      <c r="Z1405" s="382" t="s">
        <v>924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9421</v>
      </c>
      <c r="B1406" s="373" t="s">
        <v>9422</v>
      </c>
      <c r="C1406" s="372" t="s">
        <v>9423</v>
      </c>
      <c r="D1406" s="374">
        <v>1601110096473</v>
      </c>
      <c r="E1406" s="372" t="s">
        <v>9424</v>
      </c>
      <c r="F1406" s="375" t="s">
        <v>1273</v>
      </c>
      <c r="G1406" s="375" t="s">
        <v>1449</v>
      </c>
      <c r="H1406" s="375" t="s">
        <v>858</v>
      </c>
      <c r="I1406" s="375" t="s">
        <v>859</v>
      </c>
      <c r="J1406" s="375">
        <v>52465.099349999997</v>
      </c>
      <c r="K1406" s="375">
        <v>-1815.03846</v>
      </c>
      <c r="L1406" s="375">
        <v>1853.55439</v>
      </c>
      <c r="M1406" s="375">
        <v>85745.823269999993</v>
      </c>
      <c r="N1406" s="372">
        <v>0.90500000000000003</v>
      </c>
      <c r="O1406" s="704">
        <v>32.115481289103471</v>
      </c>
      <c r="P1406" s="375" t="s">
        <v>619</v>
      </c>
      <c r="Q1406" s="375" t="s">
        <v>619</v>
      </c>
      <c r="R1406" s="696">
        <v>20150612</v>
      </c>
      <c r="S1406" s="372" t="s">
        <v>9425</v>
      </c>
      <c r="T1406" s="697">
        <v>0.20900000000000002</v>
      </c>
      <c r="U1406" s="372" t="s">
        <v>9426</v>
      </c>
      <c r="V1406" s="722">
        <v>0</v>
      </c>
      <c r="W1406" s="722">
        <v>0</v>
      </c>
      <c r="X1406" s="722">
        <v>0</v>
      </c>
      <c r="Y1406" s="722">
        <v>0</v>
      </c>
      <c r="Z1406" s="382" t="s">
        <v>924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9427</v>
      </c>
      <c r="B1407" s="373" t="s">
        <v>9428</v>
      </c>
      <c r="C1407" s="372" t="s">
        <v>9429</v>
      </c>
      <c r="D1407" s="374">
        <v>1101110099609</v>
      </c>
      <c r="E1407" s="372" t="s">
        <v>9430</v>
      </c>
      <c r="F1407" s="372" t="s">
        <v>16108</v>
      </c>
      <c r="G1407" s="375" t="s">
        <v>16108</v>
      </c>
      <c r="H1407" s="375" t="s">
        <v>858</v>
      </c>
      <c r="I1407" s="375" t="s">
        <v>859</v>
      </c>
      <c r="J1407" s="375">
        <v>2174074.8108299999</v>
      </c>
      <c r="K1407" s="375">
        <v>78554.44124</v>
      </c>
      <c r="L1407" s="375">
        <v>104366.92647999999</v>
      </c>
      <c r="M1407" s="375">
        <v>783358.58207999996</v>
      </c>
      <c r="N1407" s="372">
        <v>0.67700000000000005</v>
      </c>
      <c r="O1407" s="704">
        <v>249.68395832030734</v>
      </c>
      <c r="P1407" s="375" t="s">
        <v>619</v>
      </c>
      <c r="Q1407" s="372" t="s">
        <v>619</v>
      </c>
      <c r="R1407" s="696">
        <v>19990512</v>
      </c>
      <c r="S1407" s="372" t="s">
        <v>9431</v>
      </c>
      <c r="T1407" s="697">
        <v>0.23100000000000001</v>
      </c>
      <c r="U1407" s="372" t="s">
        <v>9432</v>
      </c>
      <c r="V1407" s="722">
        <v>3.21</v>
      </c>
      <c r="W1407" s="722">
        <v>0.27</v>
      </c>
      <c r="X1407" s="722">
        <v>0.05</v>
      </c>
      <c r="Y1407" s="722">
        <v>2.2599999999999998</v>
      </c>
      <c r="Z1407" s="382" t="s">
        <v>924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9433</v>
      </c>
      <c r="B1408" s="373" t="s">
        <v>9434</v>
      </c>
      <c r="C1408" s="372" t="s">
        <v>9435</v>
      </c>
      <c r="D1408" s="374">
        <v>1358110087297</v>
      </c>
      <c r="E1408" s="372" t="s">
        <v>9436</v>
      </c>
      <c r="F1408" s="375" t="s">
        <v>4181</v>
      </c>
      <c r="G1408" s="375" t="s">
        <v>4181</v>
      </c>
      <c r="H1408" s="375" t="s">
        <v>858</v>
      </c>
      <c r="I1408" s="375" t="s">
        <v>859</v>
      </c>
      <c r="J1408" s="375">
        <v>110306.82702</v>
      </c>
      <c r="K1408" s="375">
        <v>8357.8922700000003</v>
      </c>
      <c r="L1408" s="375">
        <v>10086.253710000001</v>
      </c>
      <c r="M1408" s="375">
        <v>203731.73129</v>
      </c>
      <c r="N1408" s="372">
        <v>0.55300000000000005</v>
      </c>
      <c r="O1408" s="704">
        <v>7.8319076455583305</v>
      </c>
      <c r="P1408" s="375" t="s">
        <v>619</v>
      </c>
      <c r="Q1408" s="372" t="s">
        <v>619</v>
      </c>
      <c r="R1408" s="696">
        <v>20070820</v>
      </c>
      <c r="S1408" s="375" t="s">
        <v>9437</v>
      </c>
      <c r="T1408" s="697">
        <v>0.20900000000000002</v>
      </c>
      <c r="U1408" s="375" t="s">
        <v>9438</v>
      </c>
      <c r="V1408" s="722">
        <v>8.1</v>
      </c>
      <c r="W1408" s="722">
        <v>0.44</v>
      </c>
      <c r="X1408" s="722">
        <v>0.81</v>
      </c>
      <c r="Y1408" s="722">
        <v>9.61</v>
      </c>
      <c r="Z1408" s="382" t="s">
        <v>924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9439</v>
      </c>
      <c r="B1409" s="373" t="s">
        <v>9440</v>
      </c>
      <c r="C1409" s="372" t="s">
        <v>9441</v>
      </c>
      <c r="D1409" s="374">
        <v>1101110037427</v>
      </c>
      <c r="E1409" s="372" t="s">
        <v>9442</v>
      </c>
      <c r="F1409" s="375" t="s">
        <v>1093</v>
      </c>
      <c r="G1409" s="375" t="s">
        <v>1094</v>
      </c>
      <c r="H1409" s="375" t="s">
        <v>823</v>
      </c>
      <c r="I1409" s="375" t="s">
        <v>751</v>
      </c>
      <c r="J1409" s="375">
        <v>157958.18325</v>
      </c>
      <c r="K1409" s="375">
        <v>24251.43116</v>
      </c>
      <c r="L1409" s="375">
        <v>23890.861369999999</v>
      </c>
      <c r="M1409" s="375">
        <v>70728.338740000007</v>
      </c>
      <c r="N1409" s="372">
        <v>0.27800000000000002</v>
      </c>
      <c r="O1409" s="704">
        <v>4.3768407559980922</v>
      </c>
      <c r="P1409" s="375" t="s">
        <v>619</v>
      </c>
      <c r="Q1409" s="372" t="s">
        <v>619</v>
      </c>
      <c r="R1409" s="696">
        <v>19780206</v>
      </c>
      <c r="S1409" s="375" t="s">
        <v>9443</v>
      </c>
      <c r="T1409" s="697">
        <v>0.23100000000000001</v>
      </c>
      <c r="U1409" s="372" t="s">
        <v>9444</v>
      </c>
      <c r="V1409" s="722">
        <v>0</v>
      </c>
      <c r="W1409" s="722">
        <v>0</v>
      </c>
      <c r="X1409" s="722">
        <v>0</v>
      </c>
      <c r="Y1409" s="722">
        <v>0</v>
      </c>
      <c r="Z1409" s="382" t="s">
        <v>924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9445</v>
      </c>
      <c r="B1410" s="373" t="s">
        <v>9446</v>
      </c>
      <c r="C1410" s="372" t="s">
        <v>9447</v>
      </c>
      <c r="D1410" s="374">
        <v>1101110176986</v>
      </c>
      <c r="E1410" s="372" t="s">
        <v>9448</v>
      </c>
      <c r="F1410" s="375" t="s">
        <v>1693</v>
      </c>
      <c r="G1410" s="375" t="s">
        <v>1693</v>
      </c>
      <c r="H1410" s="375" t="s">
        <v>1334</v>
      </c>
      <c r="I1410" s="375" t="s">
        <v>859</v>
      </c>
      <c r="J1410" s="375">
        <v>226599.79045</v>
      </c>
      <c r="K1410" s="375">
        <v>12015.133949999999</v>
      </c>
      <c r="L1410" s="375">
        <v>12880.823259999999</v>
      </c>
      <c r="M1410" s="375">
        <v>120352.74187</v>
      </c>
      <c r="N1410" s="372">
        <v>0.753</v>
      </c>
      <c r="O1410" s="704">
        <v>1.7593011392311926</v>
      </c>
      <c r="P1410" s="375" t="s">
        <v>619</v>
      </c>
      <c r="Q1410" s="375" t="s">
        <v>619</v>
      </c>
      <c r="R1410" s="696">
        <v>20001020</v>
      </c>
      <c r="S1410" s="375" t="s">
        <v>9449</v>
      </c>
      <c r="T1410" s="697">
        <v>0.20900000000000002</v>
      </c>
      <c r="U1410" s="372" t="s">
        <v>9450</v>
      </c>
      <c r="V1410" s="722">
        <v>5.49</v>
      </c>
      <c r="W1410" s="722">
        <v>0.64</v>
      </c>
      <c r="X1410" s="722">
        <v>0.34</v>
      </c>
      <c r="Y1410" s="722">
        <v>8.19</v>
      </c>
      <c r="Z1410" s="382" t="s">
        <v>924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9451</v>
      </c>
      <c r="B1411" s="373" t="s">
        <v>9452</v>
      </c>
      <c r="C1411" s="372" t="s">
        <v>9453</v>
      </c>
      <c r="D1411" s="374">
        <v>1350110029576</v>
      </c>
      <c r="E1411" s="372" t="s">
        <v>9454</v>
      </c>
      <c r="F1411" s="375" t="s">
        <v>1761</v>
      </c>
      <c r="G1411" s="375" t="s">
        <v>2235</v>
      </c>
      <c r="H1411" s="375" t="s">
        <v>858</v>
      </c>
      <c r="I1411" s="375" t="s">
        <v>859</v>
      </c>
      <c r="J1411" s="375">
        <v>78773.947679999997</v>
      </c>
      <c r="K1411" s="375">
        <v>12125.325290000001</v>
      </c>
      <c r="L1411" s="375">
        <v>11200.73804</v>
      </c>
      <c r="M1411" s="375">
        <v>79829.907370000001</v>
      </c>
      <c r="N1411" s="372">
        <v>0.66800000000000004</v>
      </c>
      <c r="O1411" s="704">
        <v>36.208379663442059</v>
      </c>
      <c r="P1411" s="375" t="s">
        <v>619</v>
      </c>
      <c r="Q1411" s="375" t="s">
        <v>619</v>
      </c>
      <c r="R1411" s="696">
        <v>20210127</v>
      </c>
      <c r="S1411" s="375" t="s">
        <v>9455</v>
      </c>
      <c r="T1411" s="697">
        <v>0.20900000000000002</v>
      </c>
      <c r="U1411" s="372" t="s">
        <v>9456</v>
      </c>
      <c r="V1411" s="722">
        <v>10.19</v>
      </c>
      <c r="W1411" s="722">
        <v>1.83</v>
      </c>
      <c r="X1411" s="722">
        <v>1.8</v>
      </c>
      <c r="Y1411" s="722">
        <v>18.45</v>
      </c>
      <c r="Z1411" s="382">
        <v>0.1302174251021464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910</v>
      </c>
      <c r="AF1411" s="372">
        <v>1050</v>
      </c>
      <c r="AG1411" s="372">
        <v>1185</v>
      </c>
      <c r="AH1411" s="372">
        <v>0</v>
      </c>
    </row>
    <row r="1412" spans="1:34">
      <c r="A1412" s="372" t="s">
        <v>9457</v>
      </c>
      <c r="B1412" s="373" t="s">
        <v>9458</v>
      </c>
      <c r="C1412" s="372" t="s">
        <v>9459</v>
      </c>
      <c r="D1412" s="374">
        <v>1101115448520</v>
      </c>
      <c r="E1412" s="372" t="s">
        <v>16303</v>
      </c>
      <c r="F1412" s="375" t="s">
        <v>7209</v>
      </c>
      <c r="G1412" s="375" t="s">
        <v>7209</v>
      </c>
      <c r="H1412" s="375" t="s">
        <v>858</v>
      </c>
      <c r="I1412" s="375" t="s">
        <v>859</v>
      </c>
      <c r="J1412" s="375">
        <v>32655.347419999998</v>
      </c>
      <c r="K1412" s="375">
        <v>-5895.7791100000004</v>
      </c>
      <c r="L1412" s="375">
        <v>-23734.555540000001</v>
      </c>
      <c r="M1412" s="375">
        <v>29235.990969999999</v>
      </c>
      <c r="N1412" s="372">
        <v>0.81499999999999995</v>
      </c>
      <c r="O1412" s="704">
        <v>41.63086226016285</v>
      </c>
      <c r="P1412" s="375" t="s">
        <v>619</v>
      </c>
      <c r="Q1412" s="372" t="s">
        <v>619</v>
      </c>
      <c r="R1412" s="696">
        <v>20140930</v>
      </c>
      <c r="S1412" s="372" t="s">
        <v>2066</v>
      </c>
      <c r="T1412" s="697" t="s">
        <v>768</v>
      </c>
      <c r="U1412" s="372" t="s">
        <v>9460</v>
      </c>
      <c r="V1412" s="722" t="s">
        <v>770</v>
      </c>
      <c r="W1412" s="722">
        <v>2.25</v>
      </c>
      <c r="X1412" s="722">
        <v>2.21</v>
      </c>
      <c r="Y1412" s="722" t="s">
        <v>770</v>
      </c>
      <c r="Z1412" s="382" t="s">
        <v>924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9461</v>
      </c>
      <c r="B1413" s="373" t="s">
        <v>9462</v>
      </c>
      <c r="C1413" s="372" t="s">
        <v>9463</v>
      </c>
      <c r="D1413" s="374">
        <v>1341110000765</v>
      </c>
      <c r="E1413" s="372" t="s">
        <v>9464</v>
      </c>
      <c r="F1413" s="375" t="s">
        <v>1320</v>
      </c>
      <c r="G1413" s="375" t="s">
        <v>16103</v>
      </c>
      <c r="H1413" s="375" t="s">
        <v>858</v>
      </c>
      <c r="I1413" s="375" t="s">
        <v>859</v>
      </c>
      <c r="J1413" s="375">
        <v>101393.01936000001</v>
      </c>
      <c r="K1413" s="375">
        <v>25214.757239999999</v>
      </c>
      <c r="L1413" s="375">
        <v>30154.98387</v>
      </c>
      <c r="M1413" s="375">
        <v>213984.51016000001</v>
      </c>
      <c r="N1413" s="372">
        <v>0.32900000000000001</v>
      </c>
      <c r="O1413" s="704">
        <v>8.1138648540617133</v>
      </c>
      <c r="P1413" s="375" t="s">
        <v>619</v>
      </c>
      <c r="Q1413" s="372" t="s">
        <v>619</v>
      </c>
      <c r="R1413" s="696">
        <v>20000714</v>
      </c>
      <c r="S1413" s="372" t="s">
        <v>9465</v>
      </c>
      <c r="T1413" s="697">
        <v>0.23100000000000001</v>
      </c>
      <c r="U1413" s="372" t="s">
        <v>9466</v>
      </c>
      <c r="V1413" s="722">
        <v>4.58</v>
      </c>
      <c r="W1413" s="722">
        <v>0.63</v>
      </c>
      <c r="X1413" s="722">
        <v>1.33</v>
      </c>
      <c r="Y1413" s="722">
        <v>5.93</v>
      </c>
      <c r="Z1413" s="382" t="s">
        <v>924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9467</v>
      </c>
      <c r="B1414" s="373" t="s">
        <v>9468</v>
      </c>
      <c r="C1414" s="372" t="s">
        <v>9469</v>
      </c>
      <c r="D1414" s="374">
        <v>1101110215578</v>
      </c>
      <c r="E1414" s="372" t="s">
        <v>9470</v>
      </c>
      <c r="F1414" s="375" t="s">
        <v>2219</v>
      </c>
      <c r="G1414" s="375" t="s">
        <v>2219</v>
      </c>
      <c r="H1414" s="375" t="s">
        <v>1313</v>
      </c>
      <c r="I1414" s="375" t="s">
        <v>751</v>
      </c>
      <c r="J1414" s="375">
        <v>195344.46496000001</v>
      </c>
      <c r="K1414" s="375">
        <v>4888.1939899999998</v>
      </c>
      <c r="L1414" s="375">
        <v>7212.1668399999999</v>
      </c>
      <c r="M1414" s="375">
        <v>82998.735069999995</v>
      </c>
      <c r="N1414" s="372">
        <v>0.68700000000000006</v>
      </c>
      <c r="O1414" s="704">
        <v>31.737489901119499</v>
      </c>
      <c r="P1414" s="375" t="s">
        <v>619</v>
      </c>
      <c r="Q1414" s="375" t="s">
        <v>619</v>
      </c>
      <c r="R1414" s="696">
        <v>19881126</v>
      </c>
      <c r="S1414" s="375" t="s">
        <v>9471</v>
      </c>
      <c r="T1414" s="697">
        <v>0.20900000000000002</v>
      </c>
      <c r="U1414" s="372" t="s">
        <v>9472</v>
      </c>
      <c r="V1414" s="722">
        <v>11.07</v>
      </c>
      <c r="W1414" s="722">
        <v>1.51</v>
      </c>
      <c r="X1414" s="722">
        <v>0.64</v>
      </c>
      <c r="Y1414" s="722">
        <v>18.05</v>
      </c>
      <c r="Z1414" s="382" t="s">
        <v>924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9473</v>
      </c>
      <c r="B1415" s="373" t="s">
        <v>9474</v>
      </c>
      <c r="C1415" s="372" t="s">
        <v>9475</v>
      </c>
      <c r="D1415" s="374">
        <v>1101111982720</v>
      </c>
      <c r="E1415" s="372" t="s">
        <v>9476</v>
      </c>
      <c r="F1415" s="375" t="s">
        <v>1320</v>
      </c>
      <c r="G1415" s="375" t="s">
        <v>16103</v>
      </c>
      <c r="H1415" s="375" t="s">
        <v>858</v>
      </c>
      <c r="I1415" s="375" t="s">
        <v>859</v>
      </c>
      <c r="J1415" s="375">
        <v>60609.529719999999</v>
      </c>
      <c r="K1415" s="375">
        <v>-21773.313119999999</v>
      </c>
      <c r="L1415" s="375">
        <v>-565.71335999999997</v>
      </c>
      <c r="M1415" s="375">
        <v>75749.422409999999</v>
      </c>
      <c r="N1415" s="372">
        <v>0.57699999999999996</v>
      </c>
      <c r="O1415" s="704">
        <v>46.948746790229897</v>
      </c>
      <c r="P1415" s="375" t="s">
        <v>619</v>
      </c>
      <c r="Q1415" s="375" t="s">
        <v>619</v>
      </c>
      <c r="R1415" s="696">
        <v>20180712</v>
      </c>
      <c r="S1415" s="375" t="s">
        <v>9477</v>
      </c>
      <c r="T1415" s="697" t="s">
        <v>768</v>
      </c>
      <c r="U1415" s="375" t="s">
        <v>9478</v>
      </c>
      <c r="V1415" s="722" t="s">
        <v>770</v>
      </c>
      <c r="W1415" s="722">
        <v>0.96</v>
      </c>
      <c r="X1415" s="722">
        <v>1.25</v>
      </c>
      <c r="Y1415" s="722">
        <v>145.16999999999999</v>
      </c>
      <c r="Z1415" s="382" t="s">
        <v>924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9479</v>
      </c>
      <c r="B1416" s="373" t="s">
        <v>9480</v>
      </c>
      <c r="C1416" s="372" t="s">
        <v>9481</v>
      </c>
      <c r="D1416" s="374">
        <v>1101111977937</v>
      </c>
      <c r="E1416" s="372" t="s">
        <v>9482</v>
      </c>
      <c r="F1416" s="375" t="s">
        <v>1793</v>
      </c>
      <c r="G1416" s="375" t="s">
        <v>2794</v>
      </c>
      <c r="H1416" s="375" t="s">
        <v>858</v>
      </c>
      <c r="I1416" s="375" t="s">
        <v>859</v>
      </c>
      <c r="J1416" s="375">
        <v>18189.84794</v>
      </c>
      <c r="K1416" s="375">
        <v>-1311.6044400000001</v>
      </c>
      <c r="L1416" s="375">
        <v>-2049.7605600000002</v>
      </c>
      <c r="M1416" s="375">
        <v>24499.62428</v>
      </c>
      <c r="N1416" s="372" t="s">
        <v>1023</v>
      </c>
      <c r="O1416" s="704">
        <v>45.268530939825119</v>
      </c>
      <c r="P1416" s="375" t="s">
        <v>619</v>
      </c>
      <c r="Q1416" s="375" t="s">
        <v>619</v>
      </c>
      <c r="R1416" s="696">
        <v>20230706</v>
      </c>
      <c r="S1416" s="375" t="s">
        <v>9483</v>
      </c>
      <c r="T1416" s="697" t="s">
        <v>768</v>
      </c>
      <c r="U1416" s="372" t="s">
        <v>9484</v>
      </c>
      <c r="V1416" s="722">
        <v>0</v>
      </c>
      <c r="W1416" s="722">
        <v>0</v>
      </c>
      <c r="X1416" s="722">
        <v>0</v>
      </c>
      <c r="Y1416" s="722">
        <v>0</v>
      </c>
      <c r="Z1416" s="382" t="s">
        <v>924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9485</v>
      </c>
      <c r="B1417" s="373" t="s">
        <v>9486</v>
      </c>
      <c r="C1417" s="372" t="s">
        <v>9487</v>
      </c>
      <c r="D1417" s="374">
        <v>1812110003421</v>
      </c>
      <c r="E1417" s="372" t="s">
        <v>9488</v>
      </c>
      <c r="F1417" s="375" t="s">
        <v>2989</v>
      </c>
      <c r="G1417" s="375" t="s">
        <v>2989</v>
      </c>
      <c r="H1417" s="375" t="s">
        <v>858</v>
      </c>
      <c r="I1417" s="375" t="s">
        <v>859</v>
      </c>
      <c r="J1417" s="375">
        <v>1557219.0802500001</v>
      </c>
      <c r="K1417" s="375">
        <v>85913.704329999993</v>
      </c>
      <c r="L1417" s="375">
        <v>65783.503979999994</v>
      </c>
      <c r="M1417" s="375">
        <v>377020.00050000002</v>
      </c>
      <c r="N1417" s="372">
        <v>0.90900000000000003</v>
      </c>
      <c r="O1417" s="704">
        <v>649.60281899102051</v>
      </c>
      <c r="P1417" s="375" t="s">
        <v>619</v>
      </c>
      <c r="Q1417" s="375" t="s">
        <v>619</v>
      </c>
      <c r="R1417" s="696">
        <v>20131203</v>
      </c>
      <c r="S1417" s="375" t="s">
        <v>9489</v>
      </c>
      <c r="T1417" s="697">
        <v>0.23100000000000001</v>
      </c>
      <c r="U1417" s="375" t="s">
        <v>9490</v>
      </c>
      <c r="V1417" s="722">
        <v>6.03</v>
      </c>
      <c r="W1417" s="722">
        <v>0.49</v>
      </c>
      <c r="X1417" s="722">
        <v>7.0000000000000007E-2</v>
      </c>
      <c r="Y1417" s="722">
        <v>3.53</v>
      </c>
      <c r="Z1417" s="382" t="s">
        <v>924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9491</v>
      </c>
      <c r="B1418" s="373" t="s">
        <v>9492</v>
      </c>
      <c r="C1418" s="372" t="s">
        <v>9493</v>
      </c>
      <c r="D1418" s="374">
        <v>1358110211565</v>
      </c>
      <c r="E1418" s="372" t="s">
        <v>9494</v>
      </c>
      <c r="F1418" s="375" t="s">
        <v>2423</v>
      </c>
      <c r="G1418" s="375" t="s">
        <v>2424</v>
      </c>
      <c r="H1418" s="375" t="s">
        <v>858</v>
      </c>
      <c r="I1418" s="375" t="s">
        <v>859</v>
      </c>
      <c r="J1418" s="375">
        <v>56496.32185</v>
      </c>
      <c r="K1418" s="375">
        <v>-15256.248820000001</v>
      </c>
      <c r="L1418" s="375">
        <v>-16141.714019999999</v>
      </c>
      <c r="M1418" s="375">
        <v>56528.329120000002</v>
      </c>
      <c r="N1418" s="372">
        <v>1.1990000000000001</v>
      </c>
      <c r="O1418" s="704">
        <v>65.907677176699494</v>
      </c>
      <c r="P1418" s="375" t="s">
        <v>619</v>
      </c>
      <c r="Q1418" s="375" t="s">
        <v>619</v>
      </c>
      <c r="R1418" s="696">
        <v>20210225</v>
      </c>
      <c r="S1418" s="375" t="s">
        <v>3980</v>
      </c>
      <c r="T1418" s="697" t="s">
        <v>768</v>
      </c>
      <c r="U1418" s="372" t="s">
        <v>9495</v>
      </c>
      <c r="V1418" s="722" t="s">
        <v>770</v>
      </c>
      <c r="W1418" s="722">
        <v>1.57</v>
      </c>
      <c r="X1418" s="722">
        <v>1.62</v>
      </c>
      <c r="Y1418" s="722" t="s">
        <v>770</v>
      </c>
      <c r="Z1418" s="382" t="s">
        <v>924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9496</v>
      </c>
      <c r="B1419" s="373" t="s">
        <v>9497</v>
      </c>
      <c r="C1419" s="372" t="s">
        <v>9498</v>
      </c>
      <c r="D1419" s="374">
        <v>1101115677864</v>
      </c>
      <c r="E1419" s="372" t="s">
        <v>9499</v>
      </c>
      <c r="F1419" s="375" t="s">
        <v>1959</v>
      </c>
      <c r="G1419" s="375" t="s">
        <v>1959</v>
      </c>
      <c r="H1419" s="375" t="s">
        <v>858</v>
      </c>
      <c r="I1419" s="375" t="s">
        <v>859</v>
      </c>
      <c r="J1419" s="375">
        <v>28253.634389999999</v>
      </c>
      <c r="K1419" s="375">
        <v>1219.60634</v>
      </c>
      <c r="L1419" s="375">
        <v>977.84130000000005</v>
      </c>
      <c r="M1419" s="375">
        <v>57017.94889</v>
      </c>
      <c r="N1419" s="372">
        <v>1.208</v>
      </c>
      <c r="O1419" s="704">
        <v>23.692094665634933</v>
      </c>
      <c r="P1419" s="375" t="s">
        <v>619</v>
      </c>
      <c r="Q1419" s="372" t="s">
        <v>619</v>
      </c>
      <c r="R1419" s="696">
        <v>20150616</v>
      </c>
      <c r="S1419" s="372" t="s">
        <v>9500</v>
      </c>
      <c r="T1419" s="697">
        <v>0.20900000000000002</v>
      </c>
      <c r="U1419" s="372" t="s">
        <v>9501</v>
      </c>
      <c r="V1419" s="722">
        <v>29.36</v>
      </c>
      <c r="W1419" s="722">
        <v>1.05</v>
      </c>
      <c r="X1419" s="722">
        <v>2.13</v>
      </c>
      <c r="Y1419" s="722">
        <v>34.950000000000003</v>
      </c>
      <c r="Z1419" s="382" t="s">
        <v>924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9502</v>
      </c>
      <c r="B1420" s="373" t="s">
        <v>9503</v>
      </c>
      <c r="C1420" s="372" t="s">
        <v>16009</v>
      </c>
      <c r="D1420" s="374">
        <v>1801110037887</v>
      </c>
      <c r="E1420" s="372" t="s">
        <v>16010</v>
      </c>
      <c r="F1420" s="375" t="s">
        <v>1753</v>
      </c>
      <c r="G1420" s="375" t="s">
        <v>6496</v>
      </c>
      <c r="H1420" s="375" t="s">
        <v>858</v>
      </c>
      <c r="I1420" s="375" t="s">
        <v>859</v>
      </c>
      <c r="J1420" s="375">
        <v>0</v>
      </c>
      <c r="K1420" s="375">
        <v>0</v>
      </c>
      <c r="L1420" s="375">
        <v>0</v>
      </c>
      <c r="M1420" s="375">
        <v>133972.66255000001</v>
      </c>
      <c r="N1420" s="372">
        <v>0.69399999999999995</v>
      </c>
      <c r="O1420" s="704">
        <v>7.7393026514079981</v>
      </c>
      <c r="P1420" s="375" t="s">
        <v>619</v>
      </c>
      <c r="Q1420" s="375" t="s">
        <v>619</v>
      </c>
      <c r="R1420" s="696">
        <v>20201126</v>
      </c>
      <c r="S1420" s="375" t="s">
        <v>9504</v>
      </c>
      <c r="T1420" s="697" t="s">
        <v>768</v>
      </c>
      <c r="U1420" s="372" t="s">
        <v>9505</v>
      </c>
      <c r="V1420" s="722">
        <v>0</v>
      </c>
      <c r="W1420" s="722">
        <v>1.61</v>
      </c>
      <c r="X1420" s="722">
        <v>0</v>
      </c>
      <c r="Y1420" s="722">
        <v>0</v>
      </c>
      <c r="Z1420" s="382" t="s">
        <v>924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9506</v>
      </c>
      <c r="B1421" s="373" t="s">
        <v>9507</v>
      </c>
      <c r="C1421" s="372" t="s">
        <v>9508</v>
      </c>
      <c r="D1421" s="374">
        <v>1348110105438</v>
      </c>
      <c r="E1421" s="372" t="s">
        <v>9509</v>
      </c>
      <c r="F1421" s="375" t="s">
        <v>1182</v>
      </c>
      <c r="G1421" s="375" t="s">
        <v>1183</v>
      </c>
      <c r="H1421" s="375" t="s">
        <v>858</v>
      </c>
      <c r="I1421" s="375" t="s">
        <v>859</v>
      </c>
      <c r="J1421" s="375">
        <v>15237.22719</v>
      </c>
      <c r="K1421" s="375">
        <v>2645.83763</v>
      </c>
      <c r="L1421" s="375">
        <v>-3164.0732200000002</v>
      </c>
      <c r="M1421" s="375">
        <v>38051.765019999999</v>
      </c>
      <c r="N1421" s="372" t="s">
        <v>1023</v>
      </c>
      <c r="O1421" s="704">
        <v>47.353592843497935</v>
      </c>
      <c r="P1421" s="375" t="s">
        <v>619</v>
      </c>
      <c r="Q1421" s="372" t="s">
        <v>619</v>
      </c>
      <c r="R1421" s="696">
        <v>20231124</v>
      </c>
      <c r="S1421" s="372" t="s">
        <v>9510</v>
      </c>
      <c r="T1421" s="697" t="s">
        <v>768</v>
      </c>
      <c r="U1421" s="372" t="s">
        <v>9511</v>
      </c>
      <c r="V1421" s="722">
        <v>17.5</v>
      </c>
      <c r="W1421" s="722">
        <v>1.73</v>
      </c>
      <c r="X1421" s="722">
        <v>4.33</v>
      </c>
      <c r="Y1421" s="722" t="s">
        <v>770</v>
      </c>
      <c r="Z1421" s="382" t="s">
        <v>924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9512</v>
      </c>
      <c r="B1422" s="373" t="s">
        <v>9513</v>
      </c>
      <c r="C1422" s="372" t="s">
        <v>9514</v>
      </c>
      <c r="D1422" s="374">
        <v>2112110005321</v>
      </c>
      <c r="E1422" s="372" t="s">
        <v>9515</v>
      </c>
      <c r="F1422" s="372" t="s">
        <v>9516</v>
      </c>
      <c r="G1422" s="375" t="s">
        <v>9516</v>
      </c>
      <c r="H1422" s="375" t="s">
        <v>858</v>
      </c>
      <c r="I1422" s="375" t="s">
        <v>859</v>
      </c>
      <c r="J1422" s="375">
        <v>284736.89711999998</v>
      </c>
      <c r="K1422" s="375">
        <v>22661.219349999999</v>
      </c>
      <c r="L1422" s="375">
        <v>16038.7966</v>
      </c>
      <c r="M1422" s="375">
        <v>278177.97954999999</v>
      </c>
      <c r="N1422" s="372">
        <v>0.63500000000000001</v>
      </c>
      <c r="O1422" s="704">
        <v>201.28015546411001</v>
      </c>
      <c r="P1422" s="375" t="s">
        <v>619</v>
      </c>
      <c r="Q1422" s="372" t="s">
        <v>619</v>
      </c>
      <c r="R1422" s="696">
        <v>20160727</v>
      </c>
      <c r="S1422" s="372" t="s">
        <v>9517</v>
      </c>
      <c r="T1422" s="697">
        <v>0.20900000000000002</v>
      </c>
      <c r="U1422" s="372" t="s">
        <v>9518</v>
      </c>
      <c r="V1422" s="722">
        <v>3.74</v>
      </c>
      <c r="W1422" s="722">
        <v>0.35</v>
      </c>
      <c r="X1422" s="722">
        <v>0.33</v>
      </c>
      <c r="Y1422" s="722">
        <v>7.6</v>
      </c>
      <c r="Z1422" s="382" t="s">
        <v>924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9519</v>
      </c>
      <c r="B1423" s="373" t="s">
        <v>9520</v>
      </c>
      <c r="C1423" s="372" t="s">
        <v>9521</v>
      </c>
      <c r="D1423" s="374">
        <v>1101111960437</v>
      </c>
      <c r="E1423" s="372" t="s">
        <v>9522</v>
      </c>
      <c r="F1423" s="375" t="s">
        <v>618</v>
      </c>
      <c r="G1423" s="375" t="s">
        <v>618</v>
      </c>
      <c r="H1423" s="375" t="s">
        <v>858</v>
      </c>
      <c r="I1423" s="375" t="s">
        <v>859</v>
      </c>
      <c r="J1423" s="375">
        <v>19508.178110000001</v>
      </c>
      <c r="K1423" s="375">
        <v>2377.2821199999998</v>
      </c>
      <c r="L1423" s="375">
        <v>15337.48777</v>
      </c>
      <c r="M1423" s="375">
        <v>214628.04852000001</v>
      </c>
      <c r="N1423" s="372">
        <v>0.66200000000000003</v>
      </c>
      <c r="O1423" s="704">
        <v>2.8379412987908775E-2</v>
      </c>
      <c r="P1423" s="375" t="s">
        <v>619</v>
      </c>
      <c r="Q1423" s="372" t="s">
        <v>619</v>
      </c>
      <c r="R1423" s="696">
        <v>20080711</v>
      </c>
      <c r="S1423" s="372" t="s">
        <v>9523</v>
      </c>
      <c r="T1423" s="697">
        <v>0.20900000000000002</v>
      </c>
      <c r="U1423" s="372" t="s">
        <v>6609</v>
      </c>
      <c r="V1423" s="722">
        <v>23.37</v>
      </c>
      <c r="W1423" s="722">
        <v>0.28000000000000003</v>
      </c>
      <c r="X1423" s="722">
        <v>3.25</v>
      </c>
      <c r="Y1423" s="722">
        <v>4.57</v>
      </c>
      <c r="Z1423" s="382" t="s">
        <v>924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9524</v>
      </c>
      <c r="B1424" s="373" t="s">
        <v>9525</v>
      </c>
      <c r="C1424" s="372" t="s">
        <v>9526</v>
      </c>
      <c r="D1424" s="374">
        <v>1101110607618</v>
      </c>
      <c r="E1424" s="372" t="s">
        <v>9527</v>
      </c>
      <c r="F1424" s="372" t="s">
        <v>1846</v>
      </c>
      <c r="G1424" s="375" t="s">
        <v>1847</v>
      </c>
      <c r="H1424" s="375" t="s">
        <v>4844</v>
      </c>
      <c r="I1424" s="375" t="s">
        <v>859</v>
      </c>
      <c r="J1424" s="375">
        <v>1711548.0542299999</v>
      </c>
      <c r="K1424" s="375">
        <v>41436.085379999997</v>
      </c>
      <c r="L1424" s="375">
        <v>14515.93353</v>
      </c>
      <c r="M1424" s="375">
        <v>457385.91738</v>
      </c>
      <c r="N1424" s="372">
        <v>0.72299999999999998</v>
      </c>
      <c r="O1424" s="704">
        <v>419.17437141605103</v>
      </c>
      <c r="P1424" s="375" t="s">
        <v>619</v>
      </c>
      <c r="Q1424" s="372" t="s">
        <v>619</v>
      </c>
      <c r="R1424" s="696">
        <v>20010817</v>
      </c>
      <c r="S1424" s="372" t="s">
        <v>9528</v>
      </c>
      <c r="T1424" s="697">
        <v>0.20900000000000002</v>
      </c>
      <c r="U1424" s="372" t="s">
        <v>9529</v>
      </c>
      <c r="V1424" s="722">
        <v>0</v>
      </c>
      <c r="W1424" s="722">
        <v>0</v>
      </c>
      <c r="X1424" s="722">
        <v>0</v>
      </c>
      <c r="Y1424" s="722">
        <v>0</v>
      </c>
      <c r="Z1424" s="382" t="s">
        <v>924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9530</v>
      </c>
      <c r="B1425" s="373" t="s">
        <v>9531</v>
      </c>
      <c r="C1425" s="372" t="s">
        <v>9532</v>
      </c>
      <c r="D1425" s="374">
        <v>1101113731563</v>
      </c>
      <c r="E1425" s="372" t="s">
        <v>9533</v>
      </c>
      <c r="F1425" s="375" t="s">
        <v>1390</v>
      </c>
      <c r="G1425" s="375" t="s">
        <v>9534</v>
      </c>
      <c r="H1425" s="375" t="s">
        <v>892</v>
      </c>
      <c r="I1425" s="375" t="s">
        <v>859</v>
      </c>
      <c r="J1425" s="375">
        <v>0</v>
      </c>
      <c r="K1425" s="375">
        <v>0</v>
      </c>
      <c r="L1425" s="375">
        <v>0</v>
      </c>
      <c r="M1425" s="375">
        <v>0</v>
      </c>
      <c r="N1425" s="372">
        <v>0.49299999999999999</v>
      </c>
      <c r="O1425" s="704" t="s">
        <v>16298</v>
      </c>
      <c r="P1425" s="375" t="s">
        <v>619</v>
      </c>
      <c r="Q1425" s="375" t="s">
        <v>619</v>
      </c>
      <c r="R1425" s="696">
        <v>20181004</v>
      </c>
      <c r="S1425" s="372" t="s">
        <v>9535</v>
      </c>
      <c r="T1425" s="697" t="s">
        <v>768</v>
      </c>
      <c r="U1425" s="372" t="s">
        <v>9536</v>
      </c>
      <c r="V1425" s="722">
        <v>0</v>
      </c>
      <c r="W1425" s="722">
        <v>0</v>
      </c>
      <c r="X1425" s="722">
        <v>0</v>
      </c>
      <c r="Y1425" s="722">
        <v>0</v>
      </c>
      <c r="Z1425" s="382" t="s">
        <v>924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9537</v>
      </c>
      <c r="B1426" s="373" t="s">
        <v>9538</v>
      </c>
      <c r="C1426" s="372" t="s">
        <v>9539</v>
      </c>
      <c r="D1426" s="374">
        <v>0</v>
      </c>
      <c r="E1426" s="372" t="s">
        <v>9540</v>
      </c>
      <c r="F1426" s="375" t="s">
        <v>1793</v>
      </c>
      <c r="G1426" s="375" t="s">
        <v>1794</v>
      </c>
      <c r="H1426" s="375">
        <v>0</v>
      </c>
      <c r="I1426" s="375" t="s">
        <v>859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0.40899999999999997</v>
      </c>
      <c r="O1426" s="704" t="s">
        <v>16298</v>
      </c>
      <c r="P1426" s="375" t="s">
        <v>619</v>
      </c>
      <c r="Q1426" s="372" t="s">
        <v>619</v>
      </c>
      <c r="R1426" s="696">
        <v>20121217</v>
      </c>
      <c r="S1426" s="372" t="s">
        <v>9541</v>
      </c>
      <c r="T1426" s="697" t="s">
        <v>768</v>
      </c>
      <c r="U1426" s="372" t="s">
        <v>9542</v>
      </c>
      <c r="V1426" s="722">
        <v>0</v>
      </c>
      <c r="W1426" s="722">
        <v>0</v>
      </c>
      <c r="X1426" s="722">
        <v>0</v>
      </c>
      <c r="Y1426" s="722">
        <v>0</v>
      </c>
      <c r="Z1426" s="382" t="s">
        <v>924</v>
      </c>
      <c r="AA1426" s="372">
        <v>514.37680999999998</v>
      </c>
      <c r="AB1426" s="372">
        <v>575.42256999999995</v>
      </c>
      <c r="AC1426" s="372">
        <v>521.80373999999995</v>
      </c>
      <c r="AD1426" s="372">
        <v>520.26095999999995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9543</v>
      </c>
      <c r="B1427" s="373" t="s">
        <v>9544</v>
      </c>
      <c r="C1427" s="372" t="s">
        <v>9545</v>
      </c>
      <c r="D1427" s="374">
        <v>1301110009365</v>
      </c>
      <c r="E1427" s="372" t="s">
        <v>9546</v>
      </c>
      <c r="F1427" s="375" t="s">
        <v>1951</v>
      </c>
      <c r="G1427" s="375" t="s">
        <v>7831</v>
      </c>
      <c r="H1427" s="375" t="s">
        <v>858</v>
      </c>
      <c r="I1427" s="375" t="s">
        <v>859</v>
      </c>
      <c r="J1427" s="375">
        <v>102770.20806999999</v>
      </c>
      <c r="K1427" s="375">
        <v>12179.396640000001</v>
      </c>
      <c r="L1427" s="375">
        <v>12324.52778</v>
      </c>
      <c r="M1427" s="375">
        <v>82500.709749999995</v>
      </c>
      <c r="N1427" s="372">
        <v>0.60199999999999998</v>
      </c>
      <c r="O1427" s="704">
        <v>3.5714994462558478E-2</v>
      </c>
      <c r="P1427" s="375" t="s">
        <v>619</v>
      </c>
      <c r="Q1427" s="375" t="s">
        <v>619</v>
      </c>
      <c r="R1427" s="696">
        <v>19931222</v>
      </c>
      <c r="S1427" s="375" t="s">
        <v>5523</v>
      </c>
      <c r="T1427" s="697">
        <v>0.20900000000000002</v>
      </c>
      <c r="U1427" s="372" t="s">
        <v>9547</v>
      </c>
      <c r="V1427" s="722">
        <v>7.69</v>
      </c>
      <c r="W1427" s="722">
        <v>1.42</v>
      </c>
      <c r="X1427" s="722">
        <v>1.1100000000000001</v>
      </c>
      <c r="Y1427" s="722">
        <v>11.55</v>
      </c>
      <c r="Z1427" s="382" t="s">
        <v>924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9548</v>
      </c>
      <c r="B1428" s="373" t="s">
        <v>9549</v>
      </c>
      <c r="C1428" s="372" t="s">
        <v>9550</v>
      </c>
      <c r="D1428" s="374">
        <v>1101118073613</v>
      </c>
      <c r="E1428" s="372" t="s">
        <v>9551</v>
      </c>
      <c r="F1428" s="375" t="s">
        <v>5896</v>
      </c>
      <c r="G1428" s="375" t="s">
        <v>5896</v>
      </c>
      <c r="H1428" s="375" t="s">
        <v>1334</v>
      </c>
      <c r="I1428" s="375" t="s">
        <v>859</v>
      </c>
      <c r="J1428" s="375">
        <v>55578.305110000001</v>
      </c>
      <c r="K1428" s="375">
        <v>12787.14788</v>
      </c>
      <c r="L1428" s="375">
        <v>12610.51138</v>
      </c>
      <c r="M1428" s="375">
        <v>63386.68636</v>
      </c>
      <c r="N1428" s="372">
        <v>0.29899999999999999</v>
      </c>
      <c r="O1428" s="704">
        <v>7.132045593473765</v>
      </c>
      <c r="P1428" s="375" t="s">
        <v>619</v>
      </c>
      <c r="Q1428" s="375" t="s">
        <v>619</v>
      </c>
      <c r="R1428" s="696">
        <v>20220307</v>
      </c>
      <c r="S1428" s="375" t="s">
        <v>9552</v>
      </c>
      <c r="T1428" s="697">
        <v>0.20900000000000002</v>
      </c>
      <c r="U1428" s="372" t="s">
        <v>9553</v>
      </c>
      <c r="V1428" s="722">
        <v>6.82</v>
      </c>
      <c r="W1428" s="722">
        <v>1.52</v>
      </c>
      <c r="X1428" s="722">
        <v>1.75</v>
      </c>
      <c r="Y1428" s="722">
        <v>10.77</v>
      </c>
      <c r="Z1428" s="382" t="s">
        <v>924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9554</v>
      </c>
      <c r="B1429" s="373" t="s">
        <v>9555</v>
      </c>
      <c r="C1429" s="372" t="s">
        <v>9556</v>
      </c>
      <c r="D1429" s="374">
        <v>1101116332590</v>
      </c>
      <c r="E1429" s="372" t="s">
        <v>9557</v>
      </c>
      <c r="F1429" s="375" t="s">
        <v>1404</v>
      </c>
      <c r="G1429" s="375" t="s">
        <v>1404</v>
      </c>
      <c r="H1429" s="375" t="s">
        <v>1313</v>
      </c>
      <c r="I1429" s="375" t="s">
        <v>751</v>
      </c>
      <c r="J1429" s="375">
        <v>433935.14724000002</v>
      </c>
      <c r="K1429" s="375">
        <v>26886.794829999999</v>
      </c>
      <c r="L1429" s="375">
        <v>26890.35471</v>
      </c>
      <c r="M1429" s="375">
        <v>217367.58511000001</v>
      </c>
      <c r="N1429" s="372">
        <v>0.66700000000000004</v>
      </c>
      <c r="O1429" s="704">
        <v>19.903587319151136</v>
      </c>
      <c r="P1429" s="375" t="s">
        <v>619</v>
      </c>
      <c r="Q1429" s="375" t="s">
        <v>619</v>
      </c>
      <c r="R1429" s="696">
        <v>20170411</v>
      </c>
      <c r="S1429" s="375" t="s">
        <v>9558</v>
      </c>
      <c r="T1429" s="697">
        <v>0.23100000000000001</v>
      </c>
      <c r="U1429" s="372" t="s">
        <v>9559</v>
      </c>
      <c r="V1429" s="722">
        <v>0</v>
      </c>
      <c r="W1429" s="722">
        <v>0</v>
      </c>
      <c r="X1429" s="722">
        <v>0</v>
      </c>
      <c r="Y1429" s="722">
        <v>0</v>
      </c>
      <c r="Z1429" s="382" t="s">
        <v>924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9560</v>
      </c>
      <c r="B1430" s="373" t="s">
        <v>9561</v>
      </c>
      <c r="C1430" s="372" t="s">
        <v>9562</v>
      </c>
      <c r="D1430" s="374">
        <v>1101113544263</v>
      </c>
      <c r="E1430" s="372" t="s">
        <v>9563</v>
      </c>
      <c r="F1430" s="375" t="s">
        <v>850</v>
      </c>
      <c r="G1430" s="375" t="s">
        <v>4416</v>
      </c>
      <c r="H1430" s="375" t="s">
        <v>892</v>
      </c>
      <c r="I1430" s="375" t="s">
        <v>859</v>
      </c>
      <c r="J1430" s="375">
        <v>0</v>
      </c>
      <c r="K1430" s="375">
        <v>0</v>
      </c>
      <c r="L1430" s="375">
        <v>0</v>
      </c>
      <c r="M1430" s="375">
        <v>0</v>
      </c>
      <c r="N1430" s="372">
        <v>0.98299999999999998</v>
      </c>
      <c r="O1430" s="704" t="s">
        <v>16298</v>
      </c>
      <c r="P1430" s="375" t="s">
        <v>619</v>
      </c>
      <c r="Q1430" s="372" t="s">
        <v>619</v>
      </c>
      <c r="R1430" s="696">
        <v>20190523</v>
      </c>
      <c r="S1430" s="372" t="s">
        <v>9564</v>
      </c>
      <c r="T1430" s="697" t="s">
        <v>768</v>
      </c>
      <c r="U1430" s="372" t="s">
        <v>9565</v>
      </c>
      <c r="V1430" s="722">
        <v>0</v>
      </c>
      <c r="W1430" s="722">
        <v>0</v>
      </c>
      <c r="X1430" s="722">
        <v>0</v>
      </c>
      <c r="Y1430" s="722">
        <v>0</v>
      </c>
      <c r="Z1430" s="382" t="s">
        <v>924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9566</v>
      </c>
      <c r="B1431" s="373" t="s">
        <v>9567</v>
      </c>
      <c r="C1431" s="372" t="s">
        <v>9568</v>
      </c>
      <c r="D1431" s="374">
        <v>1101114504901</v>
      </c>
      <c r="E1431" s="372" t="s">
        <v>9569</v>
      </c>
      <c r="F1431" s="372" t="s">
        <v>1833</v>
      </c>
      <c r="G1431" s="375" t="s">
        <v>1833</v>
      </c>
      <c r="H1431" s="375" t="s">
        <v>3096</v>
      </c>
      <c r="I1431" s="375" t="s">
        <v>859</v>
      </c>
      <c r="J1431" s="375">
        <v>103582.22976</v>
      </c>
      <c r="K1431" s="375">
        <v>246.23748000000001</v>
      </c>
      <c r="L1431" s="375">
        <v>971.21741999999995</v>
      </c>
      <c r="M1431" s="375">
        <v>31576.156889999998</v>
      </c>
      <c r="N1431" s="372">
        <v>0.67300000000000004</v>
      </c>
      <c r="O1431" s="704">
        <v>5.089767695413534</v>
      </c>
      <c r="P1431" s="375" t="s">
        <v>619</v>
      </c>
      <c r="Q1431" s="372" t="s">
        <v>619</v>
      </c>
      <c r="R1431" s="696">
        <v>20170803</v>
      </c>
      <c r="S1431" s="372" t="s">
        <v>9570</v>
      </c>
      <c r="T1431" s="697">
        <v>0.20900000000000002</v>
      </c>
      <c r="U1431" s="372" t="s">
        <v>9571</v>
      </c>
      <c r="V1431" s="722">
        <v>0</v>
      </c>
      <c r="W1431" s="722">
        <v>0</v>
      </c>
      <c r="X1431" s="722">
        <v>0</v>
      </c>
      <c r="Y1431" s="722">
        <v>0</v>
      </c>
      <c r="Z1431" s="382" t="s">
        <v>924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9572</v>
      </c>
      <c r="B1432" s="373" t="s">
        <v>9573</v>
      </c>
      <c r="C1432" s="372" t="s">
        <v>9574</v>
      </c>
      <c r="D1432" s="374">
        <v>1101110204498</v>
      </c>
      <c r="E1432" s="372" t="s">
        <v>9575</v>
      </c>
      <c r="F1432" s="375" t="s">
        <v>1653</v>
      </c>
      <c r="G1432" s="375" t="s">
        <v>1653</v>
      </c>
      <c r="H1432" s="375" t="s">
        <v>750</v>
      </c>
      <c r="I1432" s="375" t="s">
        <v>751</v>
      </c>
      <c r="J1432" s="375">
        <v>163044.00601000001</v>
      </c>
      <c r="K1432" s="375">
        <v>4980.8839699999999</v>
      </c>
      <c r="L1432" s="375">
        <v>5586.5599899999997</v>
      </c>
      <c r="M1432" s="375">
        <v>108916.24524</v>
      </c>
      <c r="N1432" s="372">
        <v>0.746</v>
      </c>
      <c r="O1432" s="704">
        <v>3.4369430098926941</v>
      </c>
      <c r="P1432" s="375" t="s">
        <v>619</v>
      </c>
      <c r="Q1432" s="372" t="s">
        <v>619</v>
      </c>
      <c r="R1432" s="696">
        <v>19951221</v>
      </c>
      <c r="S1432" s="372" t="s">
        <v>9576</v>
      </c>
      <c r="T1432" s="697">
        <v>0.20900000000000002</v>
      </c>
      <c r="U1432" s="372" t="s">
        <v>15905</v>
      </c>
      <c r="V1432" s="722">
        <v>13.18</v>
      </c>
      <c r="W1432" s="722">
        <v>1.01</v>
      </c>
      <c r="X1432" s="722">
        <v>0.68</v>
      </c>
      <c r="Y1432" s="722">
        <v>13.67</v>
      </c>
      <c r="Z1432" s="382">
        <v>0.27068025807974494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1930</v>
      </c>
      <c r="AF1432" s="372">
        <v>2470</v>
      </c>
      <c r="AG1432" s="372">
        <v>3570</v>
      </c>
      <c r="AH1432" s="372">
        <v>0</v>
      </c>
    </row>
    <row r="1433" spans="1:34">
      <c r="A1433" s="372" t="s">
        <v>9577</v>
      </c>
      <c r="B1433" s="373" t="s">
        <v>9578</v>
      </c>
      <c r="C1433" s="372" t="s">
        <v>9579</v>
      </c>
      <c r="D1433" s="374">
        <v>1101110032154</v>
      </c>
      <c r="E1433" s="372" t="s">
        <v>9580</v>
      </c>
      <c r="F1433" s="372" t="s">
        <v>1320</v>
      </c>
      <c r="G1433" s="375" t="s">
        <v>16103</v>
      </c>
      <c r="H1433" s="375" t="s">
        <v>781</v>
      </c>
      <c r="I1433" s="375" t="s">
        <v>751</v>
      </c>
      <c r="J1433" s="375">
        <v>150124.13034</v>
      </c>
      <c r="K1433" s="375">
        <v>4342.8733499999998</v>
      </c>
      <c r="L1433" s="375">
        <v>4685.3013700000001</v>
      </c>
      <c r="M1433" s="375">
        <v>89873.746350000001</v>
      </c>
      <c r="N1433" s="372">
        <v>0.41099999999999998</v>
      </c>
      <c r="O1433" s="704">
        <v>26.878920625765929</v>
      </c>
      <c r="P1433" s="375" t="s">
        <v>619</v>
      </c>
      <c r="Q1433" s="375" t="s">
        <v>619</v>
      </c>
      <c r="R1433" s="696">
        <v>19751227</v>
      </c>
      <c r="S1433" s="375" t="s">
        <v>9581</v>
      </c>
      <c r="T1433" s="697">
        <v>0.20900000000000002</v>
      </c>
      <c r="U1433" s="372" t="s">
        <v>9582</v>
      </c>
      <c r="V1433" s="722">
        <v>17.489999999999998</v>
      </c>
      <c r="W1433" s="722">
        <v>1.25</v>
      </c>
      <c r="X1433" s="722">
        <v>0.76</v>
      </c>
      <c r="Y1433" s="722">
        <v>27.92</v>
      </c>
      <c r="Z1433" s="382" t="s">
        <v>924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9583</v>
      </c>
      <c r="B1434" s="373" t="s">
        <v>9584</v>
      </c>
      <c r="C1434" s="372" t="s">
        <v>9585</v>
      </c>
      <c r="D1434" s="374">
        <v>1101112063743</v>
      </c>
      <c r="E1434" s="372" t="s">
        <v>9586</v>
      </c>
      <c r="F1434" s="375" t="s">
        <v>1182</v>
      </c>
      <c r="G1434" s="375" t="s">
        <v>3112</v>
      </c>
      <c r="H1434" s="375" t="s">
        <v>858</v>
      </c>
      <c r="I1434" s="375" t="s">
        <v>859</v>
      </c>
      <c r="J1434" s="375">
        <v>125763.25608000001</v>
      </c>
      <c r="K1434" s="375">
        <v>10225.439619999999</v>
      </c>
      <c r="L1434" s="375">
        <v>11807.57575</v>
      </c>
      <c r="M1434" s="375">
        <v>62115.854509999997</v>
      </c>
      <c r="N1434" s="372">
        <v>1.127</v>
      </c>
      <c r="O1434" s="704">
        <v>36.978528158003513</v>
      </c>
      <c r="P1434" s="375" t="s">
        <v>619</v>
      </c>
      <c r="Q1434" s="375" t="s">
        <v>619</v>
      </c>
      <c r="R1434" s="696">
        <v>20161221</v>
      </c>
      <c r="S1434" s="375" t="s">
        <v>9587</v>
      </c>
      <c r="T1434" s="697">
        <v>0.20900000000000002</v>
      </c>
      <c r="U1434" s="372" t="s">
        <v>9588</v>
      </c>
      <c r="V1434" s="722">
        <v>10.23</v>
      </c>
      <c r="W1434" s="722">
        <v>2.1800000000000002</v>
      </c>
      <c r="X1434" s="722">
        <v>0.86</v>
      </c>
      <c r="Y1434" s="722">
        <v>15.79</v>
      </c>
      <c r="Z1434" s="382" t="s">
        <v>924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9589</v>
      </c>
      <c r="B1435" s="373" t="s">
        <v>9590</v>
      </c>
      <c r="C1435" s="372" t="s">
        <v>9591</v>
      </c>
      <c r="D1435" s="374">
        <v>1101111166803</v>
      </c>
      <c r="E1435" s="372" t="s">
        <v>9592</v>
      </c>
      <c r="F1435" s="375" t="s">
        <v>3545</v>
      </c>
      <c r="G1435" s="375" t="s">
        <v>3545</v>
      </c>
      <c r="H1435" s="375" t="s">
        <v>1334</v>
      </c>
      <c r="I1435" s="375" t="s">
        <v>859</v>
      </c>
      <c r="J1435" s="375">
        <v>136618.85694</v>
      </c>
      <c r="K1435" s="375">
        <v>-5591.7786900000001</v>
      </c>
      <c r="L1435" s="375">
        <v>-5062.3296399999999</v>
      </c>
      <c r="M1435" s="375">
        <v>70581.183090000006</v>
      </c>
      <c r="N1435" s="372">
        <v>0.91900000000000004</v>
      </c>
      <c r="O1435" s="704">
        <v>9.4429583051116206E-2</v>
      </c>
      <c r="P1435" s="375" t="s">
        <v>619</v>
      </c>
      <c r="Q1435" s="375" t="s">
        <v>619</v>
      </c>
      <c r="R1435" s="696">
        <v>20060704</v>
      </c>
      <c r="S1435" s="375" t="s">
        <v>9593</v>
      </c>
      <c r="T1435" s="697" t="s">
        <v>768</v>
      </c>
      <c r="U1435" s="372" t="s">
        <v>9594</v>
      </c>
      <c r="V1435" s="722" t="s">
        <v>770</v>
      </c>
      <c r="W1435" s="722">
        <v>0.82</v>
      </c>
      <c r="X1435" s="722">
        <v>0.42</v>
      </c>
      <c r="Y1435" s="722" t="s">
        <v>770</v>
      </c>
      <c r="Z1435" s="382" t="s">
        <v>924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9595</v>
      </c>
      <c r="B1436" s="373" t="s">
        <v>9596</v>
      </c>
      <c r="C1436" s="372" t="s">
        <v>9597</v>
      </c>
      <c r="D1436" s="374">
        <v>1101112271510</v>
      </c>
      <c r="E1436" s="372" t="s">
        <v>9598</v>
      </c>
      <c r="F1436" s="375" t="s">
        <v>3177</v>
      </c>
      <c r="G1436" s="375" t="s">
        <v>3178</v>
      </c>
      <c r="H1436" s="375" t="s">
        <v>814</v>
      </c>
      <c r="I1436" s="375" t="s">
        <v>751</v>
      </c>
      <c r="J1436" s="375">
        <v>613303.92357999994</v>
      </c>
      <c r="K1436" s="375">
        <v>20290.77144</v>
      </c>
      <c r="L1436" s="375">
        <v>15223.05982</v>
      </c>
      <c r="M1436" s="375">
        <v>208722.99015</v>
      </c>
      <c r="N1436" s="372">
        <v>0.75600000000000001</v>
      </c>
      <c r="O1436" s="704">
        <v>200.12014041143553</v>
      </c>
      <c r="P1436" s="375" t="s">
        <v>619</v>
      </c>
      <c r="Q1436" s="372" t="s">
        <v>619</v>
      </c>
      <c r="R1436" s="696">
        <v>20101217</v>
      </c>
      <c r="S1436" s="372" t="s">
        <v>9599</v>
      </c>
      <c r="T1436" s="697">
        <v>0.20900000000000002</v>
      </c>
      <c r="U1436" s="372" t="s">
        <v>9600</v>
      </c>
      <c r="V1436" s="722">
        <v>0</v>
      </c>
      <c r="W1436" s="722">
        <v>0</v>
      </c>
      <c r="X1436" s="722">
        <v>0</v>
      </c>
      <c r="Y1436" s="722">
        <v>0</v>
      </c>
      <c r="Z1436" s="382" t="s">
        <v>924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9601</v>
      </c>
      <c r="B1437" s="373" t="s">
        <v>9602</v>
      </c>
      <c r="C1437" s="372" t="s">
        <v>9603</v>
      </c>
      <c r="D1437" s="374">
        <v>1101114342228</v>
      </c>
      <c r="E1437" s="372" t="s">
        <v>9604</v>
      </c>
      <c r="F1437" s="375" t="s">
        <v>7139</v>
      </c>
      <c r="G1437" s="375" t="s">
        <v>7140</v>
      </c>
      <c r="H1437" s="375" t="s">
        <v>843</v>
      </c>
      <c r="I1437" s="375" t="s">
        <v>751</v>
      </c>
      <c r="J1437" s="375">
        <v>89682.710250000004</v>
      </c>
      <c r="K1437" s="375">
        <v>2153.94119</v>
      </c>
      <c r="L1437" s="375">
        <v>2423.0222100000001</v>
      </c>
      <c r="M1437" s="375">
        <v>28561.649140000001</v>
      </c>
      <c r="N1437" s="372">
        <v>0.56100000000000005</v>
      </c>
      <c r="O1437" s="704">
        <v>6.3705131023687178</v>
      </c>
      <c r="P1437" s="375" t="s">
        <v>619</v>
      </c>
      <c r="Q1437" s="375" t="s">
        <v>619</v>
      </c>
      <c r="R1437" s="696">
        <v>20100601</v>
      </c>
      <c r="S1437" s="375" t="s">
        <v>2066</v>
      </c>
      <c r="T1437" s="697">
        <v>0.20900000000000002</v>
      </c>
      <c r="U1437" s="372" t="s">
        <v>9605</v>
      </c>
      <c r="V1437" s="722">
        <v>30.38</v>
      </c>
      <c r="W1437" s="722">
        <v>4.34</v>
      </c>
      <c r="X1437" s="722">
        <v>1.38</v>
      </c>
      <c r="Y1437" s="722">
        <v>51.4</v>
      </c>
      <c r="Z1437" s="382" t="s">
        <v>924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9606</v>
      </c>
      <c r="B1438" s="373" t="s">
        <v>9607</v>
      </c>
      <c r="C1438" s="372" t="s">
        <v>9608</v>
      </c>
      <c r="D1438" s="374">
        <v>1311110405091</v>
      </c>
      <c r="E1438" s="372" t="s">
        <v>9609</v>
      </c>
      <c r="F1438" s="375" t="s">
        <v>1182</v>
      </c>
      <c r="G1438" s="375" t="s">
        <v>1183</v>
      </c>
      <c r="H1438" s="375" t="s">
        <v>858</v>
      </c>
      <c r="I1438" s="375" t="s">
        <v>859</v>
      </c>
      <c r="J1438" s="375">
        <v>4529.2570299999998</v>
      </c>
      <c r="K1438" s="375">
        <v>-8160.0536499999998</v>
      </c>
      <c r="L1438" s="375">
        <v>-3499.4166599999999</v>
      </c>
      <c r="M1438" s="375">
        <v>30895.90552</v>
      </c>
      <c r="N1438" s="372">
        <v>0.97</v>
      </c>
      <c r="O1438" s="704">
        <v>20.008027574179717</v>
      </c>
      <c r="P1438" s="375" t="s">
        <v>619</v>
      </c>
      <c r="Q1438" s="372" t="s">
        <v>619</v>
      </c>
      <c r="R1438" s="696">
        <v>20220624</v>
      </c>
      <c r="S1438" s="372" t="s">
        <v>9610</v>
      </c>
      <c r="T1438" s="697" t="s">
        <v>768</v>
      </c>
      <c r="U1438" s="372" t="s">
        <v>9611</v>
      </c>
      <c r="V1438" s="722" t="s">
        <v>770</v>
      </c>
      <c r="W1438" s="722">
        <v>1.74</v>
      </c>
      <c r="X1438" s="722">
        <v>11.8</v>
      </c>
      <c r="Y1438" s="722" t="s">
        <v>770</v>
      </c>
      <c r="Z1438" s="382" t="s">
        <v>924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9612</v>
      </c>
      <c r="B1439" s="373" t="s">
        <v>9613</v>
      </c>
      <c r="C1439" s="372" t="s">
        <v>9614</v>
      </c>
      <c r="D1439" s="374">
        <v>1101112233560</v>
      </c>
      <c r="E1439" s="372" t="s">
        <v>9615</v>
      </c>
      <c r="F1439" s="375" t="s">
        <v>1093</v>
      </c>
      <c r="G1439" s="375" t="s">
        <v>1094</v>
      </c>
      <c r="H1439" s="375" t="s">
        <v>858</v>
      </c>
      <c r="I1439" s="375" t="s">
        <v>859</v>
      </c>
      <c r="J1439" s="375">
        <v>84025.361250000002</v>
      </c>
      <c r="K1439" s="375">
        <v>-425.55597</v>
      </c>
      <c r="L1439" s="375">
        <v>-351.42151000000001</v>
      </c>
      <c r="M1439" s="375">
        <v>157874.20410999999</v>
      </c>
      <c r="N1439" s="372">
        <v>0.55100000000000005</v>
      </c>
      <c r="O1439" s="704">
        <v>2.2543972138639496</v>
      </c>
      <c r="P1439" s="375" t="s">
        <v>619</v>
      </c>
      <c r="Q1439" s="372" t="s">
        <v>619</v>
      </c>
      <c r="R1439" s="696">
        <v>20171207</v>
      </c>
      <c r="S1439" s="372" t="s">
        <v>9616</v>
      </c>
      <c r="T1439" s="697" t="s">
        <v>768</v>
      </c>
      <c r="U1439" s="372" t="s">
        <v>9617</v>
      </c>
      <c r="V1439" s="722">
        <v>26.09</v>
      </c>
      <c r="W1439" s="722">
        <v>0.65</v>
      </c>
      <c r="X1439" s="722">
        <v>1.29</v>
      </c>
      <c r="Y1439" s="722">
        <v>78.349999999999994</v>
      </c>
      <c r="Z1439" s="382">
        <v>9.4504843689808604E-2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1017.5</v>
      </c>
      <c r="AF1439" s="372">
        <v>1222</v>
      </c>
      <c r="AG1439" s="372">
        <v>1276</v>
      </c>
      <c r="AH1439" s="372">
        <v>0</v>
      </c>
    </row>
    <row r="1440" spans="1:34">
      <c r="A1440" s="372" t="s">
        <v>9618</v>
      </c>
      <c r="B1440" s="373" t="s">
        <v>9619</v>
      </c>
      <c r="C1440" s="372" t="s">
        <v>9620</v>
      </c>
      <c r="D1440" s="374">
        <v>1101111143950</v>
      </c>
      <c r="E1440" s="372" t="s">
        <v>9621</v>
      </c>
      <c r="F1440" s="375" t="s">
        <v>1793</v>
      </c>
      <c r="G1440" s="375" t="s">
        <v>2794</v>
      </c>
      <c r="H1440" s="375" t="s">
        <v>858</v>
      </c>
      <c r="I1440" s="375" t="s">
        <v>859</v>
      </c>
      <c r="J1440" s="375">
        <v>50206.72623</v>
      </c>
      <c r="K1440" s="375">
        <v>-238.50621000000001</v>
      </c>
      <c r="L1440" s="375">
        <v>134.71229</v>
      </c>
      <c r="M1440" s="375">
        <v>47012.121890000002</v>
      </c>
      <c r="N1440" s="372">
        <v>0.69599999999999995</v>
      </c>
      <c r="O1440" s="704">
        <v>4.6369753769306596</v>
      </c>
      <c r="P1440" s="375" t="s">
        <v>619</v>
      </c>
      <c r="Q1440" s="372" t="s">
        <v>619</v>
      </c>
      <c r="R1440" s="696">
        <v>20080604</v>
      </c>
      <c r="S1440" s="372" t="s">
        <v>9622</v>
      </c>
      <c r="T1440" s="697">
        <v>9.9000000000000005E-2</v>
      </c>
      <c r="U1440" s="372" t="s">
        <v>9623</v>
      </c>
      <c r="V1440" s="722">
        <v>0</v>
      </c>
      <c r="W1440" s="722">
        <v>0</v>
      </c>
      <c r="X1440" s="722">
        <v>0</v>
      </c>
      <c r="Y1440" s="722">
        <v>0</v>
      </c>
      <c r="Z1440" s="382" t="s">
        <v>924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9624</v>
      </c>
      <c r="B1441" s="373" t="s">
        <v>9625</v>
      </c>
      <c r="C1441" s="372" t="s">
        <v>9626</v>
      </c>
      <c r="D1441" s="374">
        <v>1615110096292</v>
      </c>
      <c r="E1441" s="372" t="s">
        <v>9627</v>
      </c>
      <c r="F1441" s="375" t="s">
        <v>1272</v>
      </c>
      <c r="G1441" s="375" t="s">
        <v>1272</v>
      </c>
      <c r="H1441" s="375" t="s">
        <v>858</v>
      </c>
      <c r="I1441" s="375" t="s">
        <v>859</v>
      </c>
      <c r="J1441" s="375">
        <v>161672.89006000001</v>
      </c>
      <c r="K1441" s="375">
        <v>6894.4786000000004</v>
      </c>
      <c r="L1441" s="375">
        <v>5167.3654200000001</v>
      </c>
      <c r="M1441" s="375">
        <v>123171.03547</v>
      </c>
      <c r="N1441" s="372">
        <v>0.80800000000000005</v>
      </c>
      <c r="O1441" s="704">
        <v>25.102769134143642</v>
      </c>
      <c r="P1441" s="375" t="s">
        <v>619</v>
      </c>
      <c r="Q1441" s="375" t="s">
        <v>619</v>
      </c>
      <c r="R1441" s="696">
        <v>20121115</v>
      </c>
      <c r="S1441" s="375" t="s">
        <v>9628</v>
      </c>
      <c r="T1441" s="697">
        <v>0.20900000000000002</v>
      </c>
      <c r="U1441" s="372" t="s">
        <v>9629</v>
      </c>
      <c r="V1441" s="722">
        <v>7.28</v>
      </c>
      <c r="W1441" s="722">
        <v>0.66</v>
      </c>
      <c r="X1441" s="722">
        <v>0.5</v>
      </c>
      <c r="Y1441" s="722">
        <v>14.28</v>
      </c>
      <c r="Z1441" s="382" t="s">
        <v>924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9630</v>
      </c>
      <c r="B1442" s="373" t="s">
        <v>9631</v>
      </c>
      <c r="C1442" s="372" t="s">
        <v>9632</v>
      </c>
      <c r="D1442" s="374">
        <v>1615110052450</v>
      </c>
      <c r="E1442" s="372" t="s">
        <v>9633</v>
      </c>
      <c r="F1442" s="372" t="s">
        <v>1182</v>
      </c>
      <c r="G1442" s="375" t="s">
        <v>1183</v>
      </c>
      <c r="H1442" s="375" t="s">
        <v>858</v>
      </c>
      <c r="I1442" s="375" t="s">
        <v>859</v>
      </c>
      <c r="J1442" s="375">
        <v>42501.912389999998</v>
      </c>
      <c r="K1442" s="375">
        <v>-424.47787</v>
      </c>
      <c r="L1442" s="375">
        <v>3179.7391699999998</v>
      </c>
      <c r="M1442" s="375">
        <v>135239.80403</v>
      </c>
      <c r="N1442" s="372">
        <v>0.80200000000000005</v>
      </c>
      <c r="O1442" s="704">
        <v>25.653516731639492</v>
      </c>
      <c r="P1442" s="375" t="s">
        <v>619</v>
      </c>
      <c r="Q1442" s="372" t="s">
        <v>619</v>
      </c>
      <c r="R1442" s="696">
        <v>20171220</v>
      </c>
      <c r="S1442" s="372" t="s">
        <v>9634</v>
      </c>
      <c r="T1442" s="697">
        <v>0.20900000000000002</v>
      </c>
      <c r="U1442" s="372" t="s">
        <v>9635</v>
      </c>
      <c r="V1442" s="722">
        <v>189.13</v>
      </c>
      <c r="W1442" s="722">
        <v>0.78</v>
      </c>
      <c r="X1442" s="722">
        <v>2.56</v>
      </c>
      <c r="Y1442" s="722">
        <v>42.21</v>
      </c>
      <c r="Z1442" s="382" t="s">
        <v>924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9636</v>
      </c>
      <c r="B1443" s="373" t="s">
        <v>9637</v>
      </c>
      <c r="C1443" s="372" t="s">
        <v>9638</v>
      </c>
      <c r="D1443" s="374">
        <v>1101112405721</v>
      </c>
      <c r="E1443" s="372" t="s">
        <v>9639</v>
      </c>
      <c r="F1443" s="375" t="s">
        <v>1182</v>
      </c>
      <c r="G1443" s="375" t="s">
        <v>3112</v>
      </c>
      <c r="H1443" s="375" t="s">
        <v>858</v>
      </c>
      <c r="I1443" s="375" t="s">
        <v>859</v>
      </c>
      <c r="J1443" s="375">
        <v>45447.428070000002</v>
      </c>
      <c r="K1443" s="375">
        <v>5901.0068899999997</v>
      </c>
      <c r="L1443" s="375">
        <v>5855.3255900000004</v>
      </c>
      <c r="M1443" s="375">
        <v>172723.85926999999</v>
      </c>
      <c r="N1443" s="372">
        <v>0.84299999999999997</v>
      </c>
      <c r="O1443" s="704">
        <v>1.5112486086265104</v>
      </c>
      <c r="P1443" s="375" t="s">
        <v>619</v>
      </c>
      <c r="Q1443" s="372" t="s">
        <v>619</v>
      </c>
      <c r="R1443" s="696">
        <v>20120504</v>
      </c>
      <c r="S1443" s="372" t="s">
        <v>9640</v>
      </c>
      <c r="T1443" s="697">
        <v>0.20900000000000002</v>
      </c>
      <c r="U1443" s="372" t="s">
        <v>9641</v>
      </c>
      <c r="V1443" s="722">
        <v>11.62</v>
      </c>
      <c r="W1443" s="722">
        <v>0.45</v>
      </c>
      <c r="X1443" s="722">
        <v>1.8</v>
      </c>
      <c r="Y1443" s="722">
        <v>12.44</v>
      </c>
      <c r="Z1443" s="382" t="s">
        <v>924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9642</v>
      </c>
      <c r="B1444" s="373" t="s">
        <v>9643</v>
      </c>
      <c r="C1444" s="372" t="s">
        <v>9644</v>
      </c>
      <c r="D1444" s="374">
        <v>1101110128680</v>
      </c>
      <c r="E1444" s="372" t="s">
        <v>9645</v>
      </c>
      <c r="F1444" s="375" t="s">
        <v>1900</v>
      </c>
      <c r="G1444" s="375" t="s">
        <v>9646</v>
      </c>
      <c r="H1444" s="375" t="s">
        <v>858</v>
      </c>
      <c r="I1444" s="375" t="s">
        <v>859</v>
      </c>
      <c r="J1444" s="375">
        <v>144719.14734</v>
      </c>
      <c r="K1444" s="375">
        <v>-4608.6682499999997</v>
      </c>
      <c r="L1444" s="375">
        <v>-5071.5347700000002</v>
      </c>
      <c r="M1444" s="375">
        <v>54624.837039999999</v>
      </c>
      <c r="N1444" s="372">
        <v>0.97599999999999998</v>
      </c>
      <c r="O1444" s="704">
        <v>14.621416836395223</v>
      </c>
      <c r="P1444" s="375" t="s">
        <v>619</v>
      </c>
      <c r="Q1444" s="375" t="s">
        <v>619</v>
      </c>
      <c r="R1444" s="696">
        <v>20111108</v>
      </c>
      <c r="S1444" s="375" t="s">
        <v>9647</v>
      </c>
      <c r="T1444" s="697" t="s">
        <v>768</v>
      </c>
      <c r="U1444" s="372" t="s">
        <v>9648</v>
      </c>
      <c r="V1444" s="722" t="s">
        <v>770</v>
      </c>
      <c r="W1444" s="722">
        <v>1.8</v>
      </c>
      <c r="X1444" s="722">
        <v>0.72</v>
      </c>
      <c r="Y1444" s="722" t="s">
        <v>770</v>
      </c>
      <c r="Z1444" s="382" t="s">
        <v>924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9649</v>
      </c>
      <c r="B1445" s="373" t="s">
        <v>9650</v>
      </c>
      <c r="C1445" s="372" t="s">
        <v>9651</v>
      </c>
      <c r="D1445" s="374">
        <v>1345110001377</v>
      </c>
      <c r="E1445" s="372" t="s">
        <v>9652</v>
      </c>
      <c r="F1445" s="372" t="s">
        <v>9347</v>
      </c>
      <c r="G1445" s="375" t="s">
        <v>9347</v>
      </c>
      <c r="H1445" s="375" t="s">
        <v>858</v>
      </c>
      <c r="I1445" s="375" t="s">
        <v>859</v>
      </c>
      <c r="J1445" s="375">
        <v>76290.903760000001</v>
      </c>
      <c r="K1445" s="375">
        <v>-8781.9306899999992</v>
      </c>
      <c r="L1445" s="375">
        <v>-11025.538490000001</v>
      </c>
      <c r="M1445" s="375">
        <v>132588.53274</v>
      </c>
      <c r="N1445" s="372">
        <v>0.54400000000000004</v>
      </c>
      <c r="O1445" s="704">
        <v>2.0922844298368923E-2</v>
      </c>
      <c r="P1445" s="375" t="s">
        <v>16112</v>
      </c>
      <c r="Q1445" s="372" t="s">
        <v>16113</v>
      </c>
      <c r="R1445" s="696">
        <v>20041020</v>
      </c>
      <c r="S1445" s="372" t="s">
        <v>9653</v>
      </c>
      <c r="T1445" s="697" t="s">
        <v>768</v>
      </c>
      <c r="U1445" s="372" t="s">
        <v>9654</v>
      </c>
      <c r="V1445" s="722" t="s">
        <v>770</v>
      </c>
      <c r="W1445" s="722">
        <v>6.8</v>
      </c>
      <c r="X1445" s="722">
        <v>8.92</v>
      </c>
      <c r="Y1445" s="722" t="s">
        <v>770</v>
      </c>
      <c r="Z1445" s="382" t="s">
        <v>924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9655</v>
      </c>
      <c r="B1446" s="373" t="s">
        <v>9656</v>
      </c>
      <c r="C1446" s="372" t="s">
        <v>9657</v>
      </c>
      <c r="D1446" s="374">
        <v>1601110042533</v>
      </c>
      <c r="E1446" s="372" t="s">
        <v>9658</v>
      </c>
      <c r="F1446" s="375" t="s">
        <v>16098</v>
      </c>
      <c r="G1446" s="375" t="s">
        <v>16098</v>
      </c>
      <c r="H1446" s="375" t="s">
        <v>858</v>
      </c>
      <c r="I1446" s="375" t="s">
        <v>859</v>
      </c>
      <c r="J1446" s="375">
        <v>46680.26784</v>
      </c>
      <c r="K1446" s="375">
        <v>8172.41201</v>
      </c>
      <c r="L1446" s="375">
        <v>8736.5670800000007</v>
      </c>
      <c r="M1446" s="375">
        <v>101827.00447</v>
      </c>
      <c r="N1446" s="372">
        <v>0.47899999999999998</v>
      </c>
      <c r="O1446" s="704">
        <v>9.1435997839779564</v>
      </c>
      <c r="P1446" s="375" t="s">
        <v>619</v>
      </c>
      <c r="Q1446" s="372" t="s">
        <v>619</v>
      </c>
      <c r="R1446" s="696">
        <v>20031029</v>
      </c>
      <c r="S1446" s="372" t="s">
        <v>9659</v>
      </c>
      <c r="T1446" s="697">
        <v>0.20900000000000002</v>
      </c>
      <c r="U1446" s="372" t="s">
        <v>9660</v>
      </c>
      <c r="V1446" s="722">
        <v>0</v>
      </c>
      <c r="W1446" s="722">
        <v>0</v>
      </c>
      <c r="X1446" s="722">
        <v>0</v>
      </c>
      <c r="Y1446" s="722">
        <v>0</v>
      </c>
      <c r="Z1446" s="382" t="s">
        <v>924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9661</v>
      </c>
      <c r="B1447" s="373" t="s">
        <v>9662</v>
      </c>
      <c r="C1447" s="372" t="s">
        <v>9663</v>
      </c>
      <c r="D1447" s="374">
        <v>1101111848394</v>
      </c>
      <c r="E1447" s="372" t="s">
        <v>9664</v>
      </c>
      <c r="F1447" s="375" t="s">
        <v>2515</v>
      </c>
      <c r="G1447" s="375" t="s">
        <v>2515</v>
      </c>
      <c r="H1447" s="375" t="s">
        <v>814</v>
      </c>
      <c r="I1447" s="375" t="s">
        <v>751</v>
      </c>
      <c r="J1447" s="375">
        <v>38303.306579999997</v>
      </c>
      <c r="K1447" s="375">
        <v>-1599.2822699999999</v>
      </c>
      <c r="L1447" s="375">
        <v>1249.8851099999999</v>
      </c>
      <c r="M1447" s="375">
        <v>103264.97429</v>
      </c>
      <c r="N1447" s="372">
        <v>0.496</v>
      </c>
      <c r="O1447" s="704">
        <v>0</v>
      </c>
      <c r="P1447" s="375" t="s">
        <v>619</v>
      </c>
      <c r="Q1447" s="375" t="s">
        <v>619</v>
      </c>
      <c r="R1447" s="696">
        <v>20040720</v>
      </c>
      <c r="S1447" s="375" t="s">
        <v>9665</v>
      </c>
      <c r="T1447" s="697">
        <v>0.20900000000000002</v>
      </c>
      <c r="U1447" s="372" t="s">
        <v>9666</v>
      </c>
      <c r="V1447" s="722">
        <v>6146.17</v>
      </c>
      <c r="W1447" s="722">
        <v>0.65</v>
      </c>
      <c r="X1447" s="722">
        <v>2.42</v>
      </c>
      <c r="Y1447" s="722">
        <v>86.96</v>
      </c>
      <c r="Z1447" s="382" t="s">
        <v>924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9667</v>
      </c>
      <c r="B1448" s="373" t="s">
        <v>9668</v>
      </c>
      <c r="C1448" s="372" t="s">
        <v>9669</v>
      </c>
      <c r="D1448" s="374">
        <v>1101111991680</v>
      </c>
      <c r="E1448" s="372" t="s">
        <v>9670</v>
      </c>
      <c r="F1448" s="375" t="s">
        <v>1793</v>
      </c>
      <c r="G1448" s="375" t="s">
        <v>2794</v>
      </c>
      <c r="H1448" s="375" t="s">
        <v>858</v>
      </c>
      <c r="I1448" s="375" t="s">
        <v>859</v>
      </c>
      <c r="J1448" s="375">
        <v>44884.762210000001</v>
      </c>
      <c r="K1448" s="375">
        <v>3221.3176699999999</v>
      </c>
      <c r="L1448" s="375">
        <v>3696.5978300000002</v>
      </c>
      <c r="M1448" s="375">
        <v>31158.050190000002</v>
      </c>
      <c r="N1448" s="372">
        <v>0.67800000000000005</v>
      </c>
      <c r="O1448" s="704">
        <v>2.0376509522670023</v>
      </c>
      <c r="P1448" s="375" t="s">
        <v>619</v>
      </c>
      <c r="Q1448" s="372" t="s">
        <v>619</v>
      </c>
      <c r="R1448" s="696">
        <v>20131018</v>
      </c>
      <c r="S1448" s="372" t="s">
        <v>9671</v>
      </c>
      <c r="T1448" s="697">
        <v>0.20900000000000002</v>
      </c>
      <c r="U1448" s="372" t="s">
        <v>9672</v>
      </c>
      <c r="V1448" s="722">
        <v>8.8000000000000007</v>
      </c>
      <c r="W1448" s="722">
        <v>1.84</v>
      </c>
      <c r="X1448" s="722">
        <v>1.36</v>
      </c>
      <c r="Y1448" s="722">
        <v>17.64</v>
      </c>
      <c r="Z1448" s="382" t="s">
        <v>924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9673</v>
      </c>
      <c r="B1449" s="373" t="s">
        <v>9674</v>
      </c>
      <c r="C1449" s="372" t="s">
        <v>9675</v>
      </c>
      <c r="D1449" s="374">
        <v>1201110083303</v>
      </c>
      <c r="E1449" s="372" t="s">
        <v>9676</v>
      </c>
      <c r="F1449" s="375" t="s">
        <v>1367</v>
      </c>
      <c r="G1449" s="375" t="s">
        <v>1367</v>
      </c>
      <c r="H1449" s="375" t="s">
        <v>858</v>
      </c>
      <c r="I1449" s="375" t="s">
        <v>859</v>
      </c>
      <c r="J1449" s="375">
        <v>118523.33998</v>
      </c>
      <c r="K1449" s="375">
        <v>8018.5965200000001</v>
      </c>
      <c r="L1449" s="375">
        <v>7936.7776999999996</v>
      </c>
      <c r="M1449" s="375">
        <v>101388.87805</v>
      </c>
      <c r="N1449" s="372">
        <v>0.78200000000000003</v>
      </c>
      <c r="O1449" s="704">
        <v>3.4774693415544206E-2</v>
      </c>
      <c r="P1449" s="375" t="s">
        <v>619</v>
      </c>
      <c r="Q1449" s="372" t="s">
        <v>619</v>
      </c>
      <c r="R1449" s="696">
        <v>20020404</v>
      </c>
      <c r="S1449" s="372" t="s">
        <v>9677</v>
      </c>
      <c r="T1449" s="697">
        <v>0.20900000000000002</v>
      </c>
      <c r="U1449" s="372" t="s">
        <v>9678</v>
      </c>
      <c r="V1449" s="722">
        <v>8.5</v>
      </c>
      <c r="W1449" s="722">
        <v>0.73</v>
      </c>
      <c r="X1449" s="722">
        <v>0.63</v>
      </c>
      <c r="Y1449" s="722">
        <v>10.72</v>
      </c>
      <c r="Z1449" s="382" t="s">
        <v>924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9679</v>
      </c>
      <c r="B1450" s="373" t="s">
        <v>9680</v>
      </c>
      <c r="C1450" s="372" t="s">
        <v>9681</v>
      </c>
      <c r="D1450" s="374">
        <v>1101110522494</v>
      </c>
      <c r="E1450" s="372" t="s">
        <v>9682</v>
      </c>
      <c r="F1450" s="375" t="s">
        <v>3588</v>
      </c>
      <c r="G1450" s="375" t="s">
        <v>3589</v>
      </c>
      <c r="H1450" s="375" t="s">
        <v>858</v>
      </c>
      <c r="I1450" s="375" t="s">
        <v>859</v>
      </c>
      <c r="J1450" s="375">
        <v>308500.24388000002</v>
      </c>
      <c r="K1450" s="375">
        <v>15007.442870000001</v>
      </c>
      <c r="L1450" s="375">
        <v>14083.894</v>
      </c>
      <c r="M1450" s="375">
        <v>340773.51736</v>
      </c>
      <c r="N1450" s="372">
        <v>0.49</v>
      </c>
      <c r="O1450" s="704">
        <v>54.999029489412486</v>
      </c>
      <c r="P1450" s="375" t="s">
        <v>619</v>
      </c>
      <c r="Q1450" s="375" t="s">
        <v>619</v>
      </c>
      <c r="R1450" s="696">
        <v>20010706</v>
      </c>
      <c r="S1450" s="375" t="s">
        <v>9683</v>
      </c>
      <c r="T1450" s="697">
        <v>0.20900000000000002</v>
      </c>
      <c r="U1450" s="372" t="s">
        <v>9684</v>
      </c>
      <c r="V1450" s="722">
        <v>7.08</v>
      </c>
      <c r="W1450" s="722">
        <v>0.35</v>
      </c>
      <c r="X1450" s="722">
        <v>0.39</v>
      </c>
      <c r="Y1450" s="722">
        <v>9.84</v>
      </c>
      <c r="Z1450" s="382" t="s">
        <v>924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9685</v>
      </c>
      <c r="B1451" s="373" t="s">
        <v>9686</v>
      </c>
      <c r="C1451" s="372" t="s">
        <v>9687</v>
      </c>
      <c r="D1451" s="374">
        <v>1243110000573</v>
      </c>
      <c r="E1451" s="372" t="s">
        <v>9688</v>
      </c>
      <c r="F1451" s="372" t="s">
        <v>1959</v>
      </c>
      <c r="G1451" s="375" t="s">
        <v>1959</v>
      </c>
      <c r="H1451" s="375" t="s">
        <v>858</v>
      </c>
      <c r="I1451" s="375" t="s">
        <v>859</v>
      </c>
      <c r="J1451" s="375">
        <v>269049.61147</v>
      </c>
      <c r="K1451" s="375">
        <v>-7930.7403299999996</v>
      </c>
      <c r="L1451" s="375">
        <v>-11101.27579</v>
      </c>
      <c r="M1451" s="375">
        <v>102713.1778</v>
      </c>
      <c r="N1451" s="372">
        <v>0.58899999999999997</v>
      </c>
      <c r="O1451" s="704">
        <v>98.193002592080376</v>
      </c>
      <c r="P1451" s="375" t="s">
        <v>619</v>
      </c>
      <c r="Q1451" s="375" t="s">
        <v>619</v>
      </c>
      <c r="R1451" s="696">
        <v>19971226</v>
      </c>
      <c r="S1451" s="372" t="s">
        <v>9689</v>
      </c>
      <c r="T1451" s="697" t="s">
        <v>768</v>
      </c>
      <c r="U1451" s="372" t="s">
        <v>9690</v>
      </c>
      <c r="V1451" s="722" t="s">
        <v>770</v>
      </c>
      <c r="W1451" s="722">
        <v>0.62</v>
      </c>
      <c r="X1451" s="722">
        <v>0.24</v>
      </c>
      <c r="Y1451" s="722" t="s">
        <v>770</v>
      </c>
      <c r="Z1451" s="382" t="s">
        <v>924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9691</v>
      </c>
      <c r="B1452" s="373" t="s">
        <v>9692</v>
      </c>
      <c r="C1452" s="372" t="s">
        <v>9693</v>
      </c>
      <c r="D1452" s="374">
        <v>1348110015885</v>
      </c>
      <c r="E1452" s="372" t="s">
        <v>9694</v>
      </c>
      <c r="F1452" s="375" t="s">
        <v>1860</v>
      </c>
      <c r="G1452" s="375" t="s">
        <v>1861</v>
      </c>
      <c r="H1452" s="375" t="s">
        <v>858</v>
      </c>
      <c r="I1452" s="375" t="s">
        <v>859</v>
      </c>
      <c r="J1452" s="375">
        <v>188544.68199000001</v>
      </c>
      <c r="K1452" s="375">
        <v>5125.2521500000003</v>
      </c>
      <c r="L1452" s="375">
        <v>11374.90934</v>
      </c>
      <c r="M1452" s="375">
        <v>326386.41810000001</v>
      </c>
      <c r="N1452" s="372">
        <v>1.0009999999999999</v>
      </c>
      <c r="O1452" s="704">
        <v>37.963350617309317</v>
      </c>
      <c r="P1452" s="375" t="s">
        <v>619</v>
      </c>
      <c r="Q1452" s="372" t="s">
        <v>619</v>
      </c>
      <c r="R1452" s="696">
        <v>20151229</v>
      </c>
      <c r="S1452" s="372" t="s">
        <v>9695</v>
      </c>
      <c r="T1452" s="697">
        <v>0.20900000000000002</v>
      </c>
      <c r="U1452" s="372" t="s">
        <v>15906</v>
      </c>
      <c r="V1452" s="722">
        <v>21.25</v>
      </c>
      <c r="W1452" s="722">
        <v>0.43</v>
      </c>
      <c r="X1452" s="722">
        <v>0.39</v>
      </c>
      <c r="Y1452" s="722">
        <v>32.340000000000003</v>
      </c>
      <c r="Z1452" s="382" t="s">
        <v>924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9696</v>
      </c>
      <c r="B1453" s="373" t="s">
        <v>9697</v>
      </c>
      <c r="C1453" s="372" t="s">
        <v>9698</v>
      </c>
      <c r="D1453" s="374">
        <v>1101115617076</v>
      </c>
      <c r="E1453" s="372" t="s">
        <v>9699</v>
      </c>
      <c r="F1453" s="375" t="s">
        <v>1367</v>
      </c>
      <c r="G1453" s="375" t="s">
        <v>1367</v>
      </c>
      <c r="H1453" s="375" t="s">
        <v>858</v>
      </c>
      <c r="I1453" s="375" t="s">
        <v>859</v>
      </c>
      <c r="J1453" s="375">
        <v>223203.09821</v>
      </c>
      <c r="K1453" s="375">
        <v>-1260.50101</v>
      </c>
      <c r="L1453" s="375">
        <v>-12510.092640000001</v>
      </c>
      <c r="M1453" s="375">
        <v>146285.62228000001</v>
      </c>
      <c r="N1453" s="372">
        <v>1.1739999999999999</v>
      </c>
      <c r="O1453" s="704">
        <v>121.33083416670749</v>
      </c>
      <c r="P1453" s="375" t="s">
        <v>619</v>
      </c>
      <c r="Q1453" s="372" t="s">
        <v>619</v>
      </c>
      <c r="R1453" s="696">
        <v>20150325</v>
      </c>
      <c r="S1453" s="372" t="s">
        <v>9700</v>
      </c>
      <c r="T1453" s="697" t="s">
        <v>768</v>
      </c>
      <c r="U1453" s="372" t="s">
        <v>9701</v>
      </c>
      <c r="V1453" s="722">
        <v>17.84</v>
      </c>
      <c r="W1453" s="722">
        <v>0.84</v>
      </c>
      <c r="X1453" s="722">
        <v>0.28000000000000003</v>
      </c>
      <c r="Y1453" s="722" t="s">
        <v>770</v>
      </c>
      <c r="Z1453" s="382" t="s">
        <v>924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9702</v>
      </c>
      <c r="B1454" s="373" t="s">
        <v>9703</v>
      </c>
      <c r="C1454" s="372" t="s">
        <v>9704</v>
      </c>
      <c r="D1454" s="374">
        <v>1101115638741</v>
      </c>
      <c r="E1454" s="372" t="s">
        <v>9705</v>
      </c>
      <c r="F1454" s="375" t="s">
        <v>5684</v>
      </c>
      <c r="G1454" s="375" t="s">
        <v>5684</v>
      </c>
      <c r="H1454" s="375" t="s">
        <v>858</v>
      </c>
      <c r="I1454" s="375" t="s">
        <v>859</v>
      </c>
      <c r="J1454" s="375">
        <v>13030.5317</v>
      </c>
      <c r="K1454" s="375">
        <v>-1384.01836</v>
      </c>
      <c r="L1454" s="375">
        <v>-8.8161299999999994</v>
      </c>
      <c r="M1454" s="375">
        <v>31068.386569999999</v>
      </c>
      <c r="N1454" s="372">
        <v>0.72899999999999998</v>
      </c>
      <c r="O1454" s="704">
        <v>0.29771154848539094</v>
      </c>
      <c r="P1454" s="375" t="s">
        <v>619</v>
      </c>
      <c r="Q1454" s="372" t="s">
        <v>619</v>
      </c>
      <c r="R1454" s="696">
        <v>20150422</v>
      </c>
      <c r="S1454" s="372" t="s">
        <v>9706</v>
      </c>
      <c r="T1454" s="697" t="s">
        <v>768</v>
      </c>
      <c r="U1454" s="372" t="s">
        <v>9707</v>
      </c>
      <c r="V1454" s="722" t="s">
        <v>770</v>
      </c>
      <c r="W1454" s="722">
        <v>2.34</v>
      </c>
      <c r="X1454" s="722">
        <v>5.62</v>
      </c>
      <c r="Y1454" s="722" t="s">
        <v>770</v>
      </c>
      <c r="Z1454" s="382" t="s">
        <v>924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9708</v>
      </c>
      <c r="B1455" s="373" t="s">
        <v>9709</v>
      </c>
      <c r="C1455" s="372" t="s">
        <v>9710</v>
      </c>
      <c r="D1455" s="374">
        <v>1101111577604</v>
      </c>
      <c r="E1455" s="372" t="s">
        <v>9711</v>
      </c>
      <c r="F1455" s="372" t="s">
        <v>1793</v>
      </c>
      <c r="G1455" s="375" t="s">
        <v>1794</v>
      </c>
      <c r="H1455" s="375" t="s">
        <v>858</v>
      </c>
      <c r="I1455" s="375" t="s">
        <v>859</v>
      </c>
      <c r="J1455" s="375">
        <v>37574.239379999999</v>
      </c>
      <c r="K1455" s="375">
        <v>-3042.89399</v>
      </c>
      <c r="L1455" s="375">
        <v>-41470.83973</v>
      </c>
      <c r="M1455" s="375">
        <v>132204.73720999999</v>
      </c>
      <c r="N1455" s="372">
        <v>0.499</v>
      </c>
      <c r="O1455" s="704">
        <v>8.9311081778869887</v>
      </c>
      <c r="P1455" s="375" t="s">
        <v>619</v>
      </c>
      <c r="Q1455" s="375" t="s">
        <v>619</v>
      </c>
      <c r="R1455" s="696">
        <v>20020614</v>
      </c>
      <c r="S1455" s="375" t="s">
        <v>9712</v>
      </c>
      <c r="T1455" s="697" t="s">
        <v>768</v>
      </c>
      <c r="U1455" s="372" t="s">
        <v>9713</v>
      </c>
      <c r="V1455" s="722" t="s">
        <v>770</v>
      </c>
      <c r="W1455" s="722">
        <v>0.47</v>
      </c>
      <c r="X1455" s="722">
        <v>1.62</v>
      </c>
      <c r="Y1455" s="722" t="s">
        <v>770</v>
      </c>
      <c r="Z1455" s="382" t="s">
        <v>924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9714</v>
      </c>
      <c r="B1456" s="373" t="s">
        <v>9715</v>
      </c>
      <c r="C1456" s="372" t="s">
        <v>9716</v>
      </c>
      <c r="D1456" s="374">
        <v>1101112520644</v>
      </c>
      <c r="E1456" s="372" t="s">
        <v>9717</v>
      </c>
      <c r="F1456" s="375" t="s">
        <v>1645</v>
      </c>
      <c r="G1456" s="375" t="s">
        <v>1646</v>
      </c>
      <c r="H1456" s="375" t="s">
        <v>843</v>
      </c>
      <c r="I1456" s="375" t="s">
        <v>751</v>
      </c>
      <c r="J1456" s="375">
        <v>119910.54235</v>
      </c>
      <c r="K1456" s="375">
        <v>9082.8495700000003</v>
      </c>
      <c r="L1456" s="375">
        <v>16269.66599</v>
      </c>
      <c r="M1456" s="375">
        <v>482047.57961000002</v>
      </c>
      <c r="N1456" s="372">
        <v>0.86199999999999999</v>
      </c>
      <c r="O1456" s="704">
        <v>23.196771941162954</v>
      </c>
      <c r="P1456" s="375" t="s">
        <v>619</v>
      </c>
      <c r="Q1456" s="372" t="s">
        <v>619</v>
      </c>
      <c r="R1456" s="696">
        <v>20020725</v>
      </c>
      <c r="S1456" s="372" t="s">
        <v>9718</v>
      </c>
      <c r="T1456" s="697">
        <v>0.20900000000000002</v>
      </c>
      <c r="U1456" s="372" t="s">
        <v>9719</v>
      </c>
      <c r="V1456" s="722">
        <v>0</v>
      </c>
      <c r="W1456" s="722">
        <v>0</v>
      </c>
      <c r="X1456" s="722">
        <v>0</v>
      </c>
      <c r="Y1456" s="722">
        <v>0</v>
      </c>
      <c r="Z1456" s="382" t="s">
        <v>924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9720</v>
      </c>
      <c r="B1457" s="373" t="s">
        <v>9721</v>
      </c>
      <c r="C1457" s="372" t="s">
        <v>9722</v>
      </c>
      <c r="D1457" s="374">
        <v>1801110186907</v>
      </c>
      <c r="E1457" s="372" t="s">
        <v>9723</v>
      </c>
      <c r="F1457" s="375" t="s">
        <v>1133</v>
      </c>
      <c r="G1457" s="375" t="s">
        <v>3125</v>
      </c>
      <c r="H1457" s="375" t="s">
        <v>858</v>
      </c>
      <c r="I1457" s="375" t="s">
        <v>859</v>
      </c>
      <c r="J1457" s="375">
        <v>91129.713269999993</v>
      </c>
      <c r="K1457" s="375">
        <v>12638.312739999999</v>
      </c>
      <c r="L1457" s="375">
        <v>15454.62779</v>
      </c>
      <c r="M1457" s="375">
        <v>168042.34820000001</v>
      </c>
      <c r="N1457" s="372">
        <v>0.47499999999999998</v>
      </c>
      <c r="O1457" s="704">
        <v>9.4792311785373542</v>
      </c>
      <c r="P1457" s="375" t="s">
        <v>619</v>
      </c>
      <c r="Q1457" s="372" t="s">
        <v>619</v>
      </c>
      <c r="R1457" s="696">
        <v>20070522</v>
      </c>
      <c r="S1457" s="372" t="s">
        <v>9724</v>
      </c>
      <c r="T1457" s="697">
        <v>0.20900000000000002</v>
      </c>
      <c r="U1457" s="372" t="s">
        <v>9725</v>
      </c>
      <c r="V1457" s="722">
        <v>7.57</v>
      </c>
      <c r="W1457" s="722">
        <v>0.65</v>
      </c>
      <c r="X1457" s="722">
        <v>1.23</v>
      </c>
      <c r="Y1457" s="722">
        <v>8.5399999999999991</v>
      </c>
      <c r="Z1457" s="382" t="s">
        <v>924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960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9726</v>
      </c>
      <c r="B1458" s="373" t="s">
        <v>9727</v>
      </c>
      <c r="C1458" s="372" t="s">
        <v>9728</v>
      </c>
      <c r="D1458" s="374">
        <v>1101110155451</v>
      </c>
      <c r="E1458" s="372" t="s">
        <v>9729</v>
      </c>
      <c r="F1458" s="375" t="s">
        <v>1381</v>
      </c>
      <c r="G1458" s="375" t="s">
        <v>1382</v>
      </c>
      <c r="H1458" s="375" t="s">
        <v>1383</v>
      </c>
      <c r="I1458" s="375" t="s">
        <v>751</v>
      </c>
      <c r="J1458" s="375">
        <v>3033542.3813800002</v>
      </c>
      <c r="K1458" s="375">
        <v>-434245.73525999999</v>
      </c>
      <c r="L1458" s="375">
        <v>-1517402.32703</v>
      </c>
      <c r="M1458" s="375">
        <v>539867.64512999996</v>
      </c>
      <c r="N1458" s="372">
        <v>0.503</v>
      </c>
      <c r="O1458" s="704">
        <v>143.16135844641667</v>
      </c>
      <c r="P1458" s="375" t="s">
        <v>619</v>
      </c>
      <c r="Q1458" s="375" t="s">
        <v>16113</v>
      </c>
      <c r="R1458" s="696">
        <v>19891113</v>
      </c>
      <c r="S1458" s="375" t="s">
        <v>9730</v>
      </c>
      <c r="T1458" s="697" t="s">
        <v>768</v>
      </c>
      <c r="U1458" s="372" t="s">
        <v>9731</v>
      </c>
      <c r="V1458" s="722" t="s">
        <v>770</v>
      </c>
      <c r="W1458" s="722">
        <v>2.33</v>
      </c>
      <c r="X1458" s="722">
        <v>0.13</v>
      </c>
      <c r="Y1458" s="722" t="s">
        <v>770</v>
      </c>
      <c r="Z1458" s="382">
        <v>-8.910863232672761E-3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33529.217758300001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9732</v>
      </c>
      <c r="B1459" s="373" t="s">
        <v>9733</v>
      </c>
      <c r="C1459" s="372" t="s">
        <v>9734</v>
      </c>
      <c r="D1459" s="374">
        <v>1760110019792</v>
      </c>
      <c r="E1459" s="372" t="s">
        <v>9735</v>
      </c>
      <c r="F1459" s="372" t="s">
        <v>5616</v>
      </c>
      <c r="G1459" s="375" t="s">
        <v>5616</v>
      </c>
      <c r="H1459" s="375" t="s">
        <v>858</v>
      </c>
      <c r="I1459" s="375" t="s">
        <v>859</v>
      </c>
      <c r="J1459" s="375">
        <v>92536.968210000006</v>
      </c>
      <c r="K1459" s="375">
        <v>37.813510000000001</v>
      </c>
      <c r="L1459" s="375">
        <v>462.93202000000002</v>
      </c>
      <c r="M1459" s="375">
        <v>69988.525529999999</v>
      </c>
      <c r="N1459" s="372">
        <v>1.405</v>
      </c>
      <c r="O1459" s="704">
        <v>61.295961595559156</v>
      </c>
      <c r="P1459" s="375" t="s">
        <v>619</v>
      </c>
      <c r="Q1459" s="372" t="s">
        <v>619</v>
      </c>
      <c r="R1459" s="696">
        <v>20220324</v>
      </c>
      <c r="S1459" s="372" t="s">
        <v>9736</v>
      </c>
      <c r="T1459" s="697">
        <v>0.20900000000000002</v>
      </c>
      <c r="U1459" s="372" t="s">
        <v>9737</v>
      </c>
      <c r="V1459" s="722">
        <v>0</v>
      </c>
      <c r="W1459" s="722">
        <v>0</v>
      </c>
      <c r="X1459" s="722">
        <v>0</v>
      </c>
      <c r="Y1459" s="722">
        <v>0</v>
      </c>
      <c r="Z1459" s="382" t="s">
        <v>924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9738</v>
      </c>
      <c r="B1460" s="373" t="s">
        <v>9739</v>
      </c>
      <c r="C1460" s="372" t="s">
        <v>9740</v>
      </c>
      <c r="D1460" s="374">
        <v>2850110287959</v>
      </c>
      <c r="E1460" s="372" t="s">
        <v>9741</v>
      </c>
      <c r="F1460" s="375" t="s">
        <v>16098</v>
      </c>
      <c r="G1460" s="375" t="s">
        <v>16098</v>
      </c>
      <c r="H1460" s="375" t="s">
        <v>858</v>
      </c>
      <c r="I1460" s="375" t="s">
        <v>859</v>
      </c>
      <c r="J1460" s="375">
        <v>6893.5217899999998</v>
      </c>
      <c r="K1460" s="375">
        <v>-26207.448509999998</v>
      </c>
      <c r="L1460" s="375">
        <v>-25681.666120000002</v>
      </c>
      <c r="M1460" s="375">
        <v>53798.486210000003</v>
      </c>
      <c r="N1460" s="372">
        <v>0.98199999999999998</v>
      </c>
      <c r="O1460" s="704">
        <v>9.7240563871600578</v>
      </c>
      <c r="P1460" s="375" t="s">
        <v>619</v>
      </c>
      <c r="Q1460" s="372" t="s">
        <v>619</v>
      </c>
      <c r="R1460" s="696">
        <v>20181224</v>
      </c>
      <c r="S1460" s="372" t="s">
        <v>9742</v>
      </c>
      <c r="T1460" s="697" t="s">
        <v>768</v>
      </c>
      <c r="U1460" s="372" t="s">
        <v>9743</v>
      </c>
      <c r="V1460" s="722" t="s">
        <v>770</v>
      </c>
      <c r="W1460" s="722">
        <v>1.78</v>
      </c>
      <c r="X1460" s="722">
        <v>13.26</v>
      </c>
      <c r="Y1460" s="722" t="s">
        <v>770</v>
      </c>
      <c r="Z1460" s="382" t="s">
        <v>924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9744</v>
      </c>
      <c r="B1461" s="373" t="s">
        <v>9745</v>
      </c>
      <c r="C1461" s="372" t="s">
        <v>9746</v>
      </c>
      <c r="D1461" s="374">
        <v>1101112215261</v>
      </c>
      <c r="E1461" s="372" t="s">
        <v>9747</v>
      </c>
      <c r="F1461" s="375" t="s">
        <v>2051</v>
      </c>
      <c r="G1461" s="375" t="s">
        <v>4694</v>
      </c>
      <c r="H1461" s="375" t="s">
        <v>858</v>
      </c>
      <c r="I1461" s="375" t="s">
        <v>859</v>
      </c>
      <c r="J1461" s="375">
        <v>108967.34961999999</v>
      </c>
      <c r="K1461" s="375">
        <v>10776.12759</v>
      </c>
      <c r="L1461" s="375">
        <v>7379.2334799999999</v>
      </c>
      <c r="M1461" s="375">
        <v>93006.898459999997</v>
      </c>
      <c r="N1461" s="372">
        <v>0.53400000000000003</v>
      </c>
      <c r="O1461" s="704">
        <v>38.272369038214258</v>
      </c>
      <c r="P1461" s="375" t="s">
        <v>619</v>
      </c>
      <c r="Q1461" s="375" t="s">
        <v>619</v>
      </c>
      <c r="R1461" s="696">
        <v>20180528</v>
      </c>
      <c r="S1461" s="375" t="s">
        <v>9748</v>
      </c>
      <c r="T1461" s="697">
        <v>0.20900000000000002</v>
      </c>
      <c r="U1461" s="372" t="s">
        <v>9749</v>
      </c>
      <c r="V1461" s="722">
        <v>6.03</v>
      </c>
      <c r="W1461" s="722">
        <v>0.86</v>
      </c>
      <c r="X1461" s="722">
        <v>0.84</v>
      </c>
      <c r="Y1461" s="722">
        <v>11.95</v>
      </c>
      <c r="Z1461" s="382" t="s">
        <v>924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9750</v>
      </c>
      <c r="B1462" s="373" t="s">
        <v>9751</v>
      </c>
      <c r="C1462" s="372" t="s">
        <v>9752</v>
      </c>
      <c r="D1462" s="374">
        <v>1601110166341</v>
      </c>
      <c r="E1462" s="372" t="s">
        <v>9753</v>
      </c>
      <c r="F1462" s="375" t="s">
        <v>2181</v>
      </c>
      <c r="G1462" s="375" t="s">
        <v>6177</v>
      </c>
      <c r="H1462" s="375" t="s">
        <v>858</v>
      </c>
      <c r="I1462" s="375" t="s">
        <v>859</v>
      </c>
      <c r="J1462" s="375">
        <v>44144.140959999997</v>
      </c>
      <c r="K1462" s="375">
        <v>2177.3673600000002</v>
      </c>
      <c r="L1462" s="375">
        <v>4712.2690700000003</v>
      </c>
      <c r="M1462" s="375">
        <v>115827.84573</v>
      </c>
      <c r="N1462" s="372">
        <v>1.0660000000000001</v>
      </c>
      <c r="O1462" s="704">
        <v>15.180807483766189</v>
      </c>
      <c r="P1462" s="375" t="s">
        <v>619</v>
      </c>
      <c r="Q1462" s="372" t="s">
        <v>619</v>
      </c>
      <c r="R1462" s="696">
        <v>20201030</v>
      </c>
      <c r="S1462" s="372" t="s">
        <v>9754</v>
      </c>
      <c r="T1462" s="697">
        <v>0.20900000000000002</v>
      </c>
      <c r="U1462" s="375" t="s">
        <v>9755</v>
      </c>
      <c r="V1462" s="722">
        <v>28.65</v>
      </c>
      <c r="W1462" s="722">
        <v>0.78</v>
      </c>
      <c r="X1462" s="722">
        <v>2.12</v>
      </c>
      <c r="Y1462" s="722">
        <v>18.170000000000002</v>
      </c>
      <c r="Z1462" s="382" t="s">
        <v>924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9756</v>
      </c>
      <c r="B1463" s="373" t="s">
        <v>9757</v>
      </c>
      <c r="C1463" s="372" t="s">
        <v>9758</v>
      </c>
      <c r="D1463" s="374">
        <v>1101115796789</v>
      </c>
      <c r="E1463" s="372" t="s">
        <v>9759</v>
      </c>
      <c r="F1463" s="375" t="s">
        <v>2423</v>
      </c>
      <c r="G1463" s="375" t="s">
        <v>2423</v>
      </c>
      <c r="H1463" s="375" t="s">
        <v>858</v>
      </c>
      <c r="I1463" s="375" t="s">
        <v>859</v>
      </c>
      <c r="J1463" s="375">
        <v>13735.49792</v>
      </c>
      <c r="K1463" s="375">
        <v>-15642.57546</v>
      </c>
      <c r="L1463" s="375">
        <v>-23207.192660000001</v>
      </c>
      <c r="M1463" s="375">
        <v>6925.9820900000004</v>
      </c>
      <c r="N1463" s="372" t="s">
        <v>1023</v>
      </c>
      <c r="O1463" s="704">
        <v>17.378440663035512</v>
      </c>
      <c r="P1463" s="375" t="s">
        <v>16112</v>
      </c>
      <c r="Q1463" s="375" t="s">
        <v>16113</v>
      </c>
      <c r="R1463" s="696">
        <v>20151006</v>
      </c>
      <c r="S1463" s="375" t="s">
        <v>9760</v>
      </c>
      <c r="T1463" s="697" t="s">
        <v>768</v>
      </c>
      <c r="U1463" s="372" t="s">
        <v>9761</v>
      </c>
      <c r="V1463" s="722" t="s">
        <v>770</v>
      </c>
      <c r="W1463" s="722">
        <v>14.52</v>
      </c>
      <c r="X1463" s="722">
        <v>7.32</v>
      </c>
      <c r="Y1463" s="722" t="s">
        <v>770</v>
      </c>
      <c r="Z1463" s="382" t="s">
        <v>924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9762</v>
      </c>
      <c r="B1464" s="373" t="s">
        <v>9763</v>
      </c>
      <c r="C1464" s="372" t="s">
        <v>9764</v>
      </c>
      <c r="D1464" s="374">
        <v>1760110007937</v>
      </c>
      <c r="E1464" s="372" t="s">
        <v>9765</v>
      </c>
      <c r="F1464" s="375" t="s">
        <v>1182</v>
      </c>
      <c r="G1464" s="375" t="s">
        <v>3112</v>
      </c>
      <c r="H1464" s="375" t="s">
        <v>858</v>
      </c>
      <c r="I1464" s="375" t="s">
        <v>859</v>
      </c>
      <c r="J1464" s="375">
        <v>852163.83068000001</v>
      </c>
      <c r="K1464" s="375">
        <v>2187.7657599999998</v>
      </c>
      <c r="L1464" s="375">
        <v>4380.7887099999998</v>
      </c>
      <c r="M1464" s="375">
        <v>323923.15224000002</v>
      </c>
      <c r="N1464" s="372">
        <v>0.66500000000000004</v>
      </c>
      <c r="O1464" s="704">
        <v>121.15038979462886</v>
      </c>
      <c r="P1464" s="375" t="s">
        <v>619</v>
      </c>
      <c r="Q1464" s="375" t="s">
        <v>619</v>
      </c>
      <c r="R1464" s="696">
        <v>20030127</v>
      </c>
      <c r="S1464" s="375" t="s">
        <v>9766</v>
      </c>
      <c r="T1464" s="697">
        <v>0.20900000000000002</v>
      </c>
      <c r="U1464" s="372" t="s">
        <v>9767</v>
      </c>
      <c r="V1464" s="722">
        <v>7.56</v>
      </c>
      <c r="W1464" s="722">
        <v>0.33</v>
      </c>
      <c r="X1464" s="722">
        <v>0.08</v>
      </c>
      <c r="Y1464" s="722">
        <v>13.51</v>
      </c>
      <c r="Z1464" s="382" t="s">
        <v>924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9768</v>
      </c>
      <c r="B1465" s="373" t="s">
        <v>9769</v>
      </c>
      <c r="C1465" s="372" t="s">
        <v>9770</v>
      </c>
      <c r="D1465" s="374">
        <v>1101110252405</v>
      </c>
      <c r="E1465" s="372" t="s">
        <v>9771</v>
      </c>
      <c r="F1465" s="375" t="s">
        <v>1645</v>
      </c>
      <c r="G1465" s="375" t="s">
        <v>1646</v>
      </c>
      <c r="H1465" s="375" t="s">
        <v>3096</v>
      </c>
      <c r="I1465" s="375" t="s">
        <v>859</v>
      </c>
      <c r="J1465" s="375">
        <v>68089.385259999995</v>
      </c>
      <c r="K1465" s="375">
        <v>18312.57791</v>
      </c>
      <c r="L1465" s="375">
        <v>7712.1473299999998</v>
      </c>
      <c r="M1465" s="375">
        <v>353186.30735999998</v>
      </c>
      <c r="N1465" s="372">
        <v>0.47299999999999998</v>
      </c>
      <c r="O1465" s="704">
        <v>236.62669919196725</v>
      </c>
      <c r="P1465" s="375" t="s">
        <v>619</v>
      </c>
      <c r="Q1465" s="372" t="s">
        <v>619</v>
      </c>
      <c r="R1465" s="696">
        <v>19931029</v>
      </c>
      <c r="S1465" s="375" t="s">
        <v>9772</v>
      </c>
      <c r="T1465" s="697">
        <v>0.20900000000000002</v>
      </c>
      <c r="U1465" s="375" t="s">
        <v>9773</v>
      </c>
      <c r="V1465" s="722">
        <v>9.25</v>
      </c>
      <c r="W1465" s="722">
        <v>0.33</v>
      </c>
      <c r="X1465" s="722">
        <v>1.51</v>
      </c>
      <c r="Y1465" s="722">
        <v>31.16</v>
      </c>
      <c r="Z1465" s="382" t="s">
        <v>924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9774</v>
      </c>
      <c r="B1466" s="373" t="s">
        <v>9775</v>
      </c>
      <c r="C1466" s="372" t="s">
        <v>9776</v>
      </c>
      <c r="D1466" s="374">
        <v>1301110062876</v>
      </c>
      <c r="E1466" s="372" t="s">
        <v>9777</v>
      </c>
      <c r="F1466" s="375" t="s">
        <v>1052</v>
      </c>
      <c r="G1466" s="375" t="s">
        <v>16101</v>
      </c>
      <c r="H1466" s="375" t="s">
        <v>858</v>
      </c>
      <c r="I1466" s="375" t="s">
        <v>859</v>
      </c>
      <c r="J1466" s="375">
        <v>19085.288779999999</v>
      </c>
      <c r="K1466" s="375">
        <v>-2375.7006099999999</v>
      </c>
      <c r="L1466" s="375">
        <v>-2268.7690499999999</v>
      </c>
      <c r="M1466" s="375">
        <v>23428.121090000001</v>
      </c>
      <c r="N1466" s="372">
        <v>0.73399999999999999</v>
      </c>
      <c r="O1466" s="704">
        <v>14.982851026266781</v>
      </c>
      <c r="P1466" s="375" t="s">
        <v>619</v>
      </c>
      <c r="Q1466" s="375" t="s">
        <v>619</v>
      </c>
      <c r="R1466" s="696">
        <v>20181026</v>
      </c>
      <c r="S1466" s="375" t="s">
        <v>9778</v>
      </c>
      <c r="T1466" s="697" t="s">
        <v>768</v>
      </c>
      <c r="U1466" s="372" t="s">
        <v>9779</v>
      </c>
      <c r="V1466" s="722">
        <v>0</v>
      </c>
      <c r="W1466" s="722">
        <v>0</v>
      </c>
      <c r="X1466" s="722">
        <v>0</v>
      </c>
      <c r="Y1466" s="722">
        <v>0</v>
      </c>
      <c r="Z1466" s="382" t="s">
        <v>924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9780</v>
      </c>
      <c r="B1467" s="373" t="s">
        <v>9781</v>
      </c>
      <c r="C1467" s="372" t="s">
        <v>9782</v>
      </c>
      <c r="D1467" s="374">
        <v>1101110512049</v>
      </c>
      <c r="E1467" s="372" t="s">
        <v>9783</v>
      </c>
      <c r="F1467" s="375" t="s">
        <v>3882</v>
      </c>
      <c r="G1467" s="375" t="s">
        <v>7791</v>
      </c>
      <c r="H1467" s="375" t="s">
        <v>892</v>
      </c>
      <c r="I1467" s="375" t="s">
        <v>859</v>
      </c>
      <c r="J1467" s="375">
        <v>0</v>
      </c>
      <c r="K1467" s="375">
        <v>0</v>
      </c>
      <c r="L1467" s="375">
        <v>0</v>
      </c>
      <c r="M1467" s="375">
        <v>0</v>
      </c>
      <c r="N1467" s="372">
        <v>0.186</v>
      </c>
      <c r="O1467" s="704" t="s">
        <v>16298</v>
      </c>
      <c r="P1467" s="375" t="s">
        <v>16112</v>
      </c>
      <c r="Q1467" s="372" t="s">
        <v>619</v>
      </c>
      <c r="R1467" s="696">
        <v>19890307</v>
      </c>
      <c r="S1467" s="372" t="s">
        <v>7792</v>
      </c>
      <c r="T1467" s="697" t="s">
        <v>768</v>
      </c>
      <c r="U1467" s="372" t="s">
        <v>9784</v>
      </c>
      <c r="V1467" s="722">
        <v>0</v>
      </c>
      <c r="W1467" s="722">
        <v>0</v>
      </c>
      <c r="X1467" s="722">
        <v>0</v>
      </c>
      <c r="Y1467" s="722">
        <v>0</v>
      </c>
      <c r="Z1467" s="382" t="s">
        <v>924</v>
      </c>
      <c r="AA1467" s="372">
        <v>37.851720999999998</v>
      </c>
      <c r="AB1467" s="372">
        <v>86.768680599999996</v>
      </c>
      <c r="AC1467" s="372">
        <v>82.231760800000004</v>
      </c>
      <c r="AD1467" s="372">
        <v>35.429256000000002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9785</v>
      </c>
      <c r="B1468" s="373" t="s">
        <v>9786</v>
      </c>
      <c r="C1468" s="372" t="s">
        <v>9787</v>
      </c>
      <c r="D1468" s="374">
        <v>1101110019334</v>
      </c>
      <c r="E1468" s="372" t="s">
        <v>9788</v>
      </c>
      <c r="F1468" s="372" t="s">
        <v>2219</v>
      </c>
      <c r="G1468" s="375" t="s">
        <v>2219</v>
      </c>
      <c r="H1468" s="375" t="s">
        <v>1313</v>
      </c>
      <c r="I1468" s="375" t="s">
        <v>751</v>
      </c>
      <c r="J1468" s="375">
        <v>407136.96421000001</v>
      </c>
      <c r="K1468" s="375">
        <v>27092.31249</v>
      </c>
      <c r="L1468" s="375">
        <v>20181.280640000001</v>
      </c>
      <c r="M1468" s="375">
        <v>158325.13454999999</v>
      </c>
      <c r="N1468" s="372">
        <v>0.52400000000000002</v>
      </c>
      <c r="O1468" s="704">
        <v>220.55715331776611</v>
      </c>
      <c r="P1468" s="375" t="s">
        <v>619</v>
      </c>
      <c r="Q1468" s="375" t="s">
        <v>619</v>
      </c>
      <c r="R1468" s="696">
        <v>19761223</v>
      </c>
      <c r="S1468" s="372" t="s">
        <v>9789</v>
      </c>
      <c r="T1468" s="697">
        <v>0.23100000000000001</v>
      </c>
      <c r="U1468" s="372" t="s">
        <v>9790</v>
      </c>
      <c r="V1468" s="722">
        <v>6.85</v>
      </c>
      <c r="W1468" s="722">
        <v>0.67</v>
      </c>
      <c r="X1468" s="722">
        <v>0.26</v>
      </c>
      <c r="Y1468" s="722">
        <v>6.28</v>
      </c>
      <c r="Z1468" s="382" t="s">
        <v>924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9791</v>
      </c>
      <c r="B1469" s="373" t="s">
        <v>9792</v>
      </c>
      <c r="C1469" s="372" t="s">
        <v>9793</v>
      </c>
      <c r="D1469" s="374">
        <v>1101111954513</v>
      </c>
      <c r="E1469" s="372" t="s">
        <v>9794</v>
      </c>
      <c r="F1469" s="375" t="s">
        <v>842</v>
      </c>
      <c r="G1469" s="375" t="s">
        <v>842</v>
      </c>
      <c r="H1469" s="375" t="s">
        <v>3096</v>
      </c>
      <c r="I1469" s="375" t="s">
        <v>859</v>
      </c>
      <c r="J1469" s="375">
        <v>74277.516440000007</v>
      </c>
      <c r="K1469" s="375">
        <v>-8014.3713399999997</v>
      </c>
      <c r="L1469" s="375">
        <v>-9813.7895399999998</v>
      </c>
      <c r="M1469" s="375">
        <v>92762.325769999996</v>
      </c>
      <c r="N1469" s="372">
        <v>0.98099999999999998</v>
      </c>
      <c r="O1469" s="704">
        <v>24.253259087641087</v>
      </c>
      <c r="P1469" s="375" t="s">
        <v>619</v>
      </c>
      <c r="Q1469" s="375" t="s">
        <v>619</v>
      </c>
      <c r="R1469" s="696">
        <v>20030609</v>
      </c>
      <c r="S1469" s="375" t="s">
        <v>9795</v>
      </c>
      <c r="T1469" s="697" t="s">
        <v>768</v>
      </c>
      <c r="U1469" s="372" t="s">
        <v>9796</v>
      </c>
      <c r="V1469" s="722" t="s">
        <v>770</v>
      </c>
      <c r="W1469" s="722">
        <v>1.28</v>
      </c>
      <c r="X1469" s="722">
        <v>1.41</v>
      </c>
      <c r="Y1469" s="722" t="s">
        <v>770</v>
      </c>
      <c r="Z1469" s="382" t="s">
        <v>924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9797</v>
      </c>
      <c r="B1470" s="373" t="s">
        <v>9798</v>
      </c>
      <c r="C1470" s="372" t="s">
        <v>16011</v>
      </c>
      <c r="D1470" s="374">
        <v>1101117655868</v>
      </c>
      <c r="E1470" s="372" t="s">
        <v>16012</v>
      </c>
      <c r="F1470" s="372" t="s">
        <v>9799</v>
      </c>
      <c r="G1470" s="375" t="s">
        <v>9799</v>
      </c>
      <c r="H1470" s="375" t="s">
        <v>858</v>
      </c>
      <c r="I1470" s="375" t="s">
        <v>859</v>
      </c>
      <c r="J1470" s="375">
        <v>30698.805319999999</v>
      </c>
      <c r="K1470" s="375">
        <v>-7316.5048900000002</v>
      </c>
      <c r="L1470" s="375">
        <v>-10240.69578</v>
      </c>
      <c r="M1470" s="375">
        <v>33997.244729999999</v>
      </c>
      <c r="N1470" s="372">
        <v>0.48499999999999999</v>
      </c>
      <c r="O1470" s="704">
        <v>15.912075968254404</v>
      </c>
      <c r="P1470" s="375" t="s">
        <v>619</v>
      </c>
      <c r="Q1470" s="372" t="s">
        <v>619</v>
      </c>
      <c r="R1470" s="696">
        <v>20201223</v>
      </c>
      <c r="S1470" s="372" t="s">
        <v>9800</v>
      </c>
      <c r="T1470" s="697" t="s">
        <v>768</v>
      </c>
      <c r="U1470" s="372" t="s">
        <v>9801</v>
      </c>
      <c r="V1470" s="722" t="s">
        <v>770</v>
      </c>
      <c r="W1470" s="722">
        <v>2.2599999999999998</v>
      </c>
      <c r="X1470" s="722">
        <v>2.6</v>
      </c>
      <c r="Y1470" s="722" t="s">
        <v>770</v>
      </c>
      <c r="Z1470" s="382" t="s">
        <v>924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9802</v>
      </c>
      <c r="B1471" s="373" t="s">
        <v>9803</v>
      </c>
      <c r="C1471" s="372" t="s">
        <v>9804</v>
      </c>
      <c r="D1471" s="374">
        <v>1101112838477</v>
      </c>
      <c r="E1471" s="372" t="s">
        <v>9805</v>
      </c>
      <c r="F1471" s="375" t="s">
        <v>1246</v>
      </c>
      <c r="G1471" s="375" t="s">
        <v>1246</v>
      </c>
      <c r="H1471" s="375" t="s">
        <v>858</v>
      </c>
      <c r="I1471" s="375" t="s">
        <v>859</v>
      </c>
      <c r="J1471" s="375">
        <v>13022.633669999999</v>
      </c>
      <c r="K1471" s="375">
        <v>-5823.4893599999996</v>
      </c>
      <c r="L1471" s="375">
        <v>-8546.1347700000006</v>
      </c>
      <c r="M1471" s="375">
        <v>16478.232400000001</v>
      </c>
      <c r="N1471" s="372" t="s">
        <v>1023</v>
      </c>
      <c r="O1471" s="704">
        <v>3.3257624761866791</v>
      </c>
      <c r="P1471" s="375" t="s">
        <v>619</v>
      </c>
      <c r="Q1471" s="375" t="s">
        <v>619</v>
      </c>
      <c r="R1471" s="696">
        <v>20230504</v>
      </c>
      <c r="S1471" s="375" t="s">
        <v>9806</v>
      </c>
      <c r="T1471" s="697" t="s">
        <v>768</v>
      </c>
      <c r="U1471" s="375" t="s">
        <v>9807</v>
      </c>
      <c r="V1471" s="722" t="s">
        <v>770</v>
      </c>
      <c r="W1471" s="722">
        <v>38.6</v>
      </c>
      <c r="X1471" s="722">
        <v>30.07</v>
      </c>
      <c r="Y1471" s="722" t="s">
        <v>770</v>
      </c>
      <c r="Z1471" s="382" t="s">
        <v>924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9808</v>
      </c>
      <c r="B1472" s="373" t="s">
        <v>9809</v>
      </c>
      <c r="C1472" s="372" t="s">
        <v>9810</v>
      </c>
      <c r="D1472" s="374">
        <v>2001110097272</v>
      </c>
      <c r="E1472" s="372" t="s">
        <v>9811</v>
      </c>
      <c r="F1472" s="375" t="s">
        <v>2423</v>
      </c>
      <c r="G1472" s="375" t="s">
        <v>6071</v>
      </c>
      <c r="H1472" s="375" t="s">
        <v>1040</v>
      </c>
      <c r="I1472" s="375" t="s">
        <v>751</v>
      </c>
      <c r="J1472" s="375">
        <v>70028.059829999998</v>
      </c>
      <c r="K1472" s="375">
        <v>-5717.5335800000003</v>
      </c>
      <c r="L1472" s="375">
        <v>-5487.2881900000002</v>
      </c>
      <c r="M1472" s="375">
        <v>59260.890359999998</v>
      </c>
      <c r="N1472" s="372">
        <v>1.196</v>
      </c>
      <c r="O1472" s="704">
        <v>33.335492237295611</v>
      </c>
      <c r="P1472" s="375" t="s">
        <v>619</v>
      </c>
      <c r="Q1472" s="372" t="s">
        <v>619</v>
      </c>
      <c r="R1472" s="696">
        <v>20150319</v>
      </c>
      <c r="S1472" s="372" t="s">
        <v>9812</v>
      </c>
      <c r="T1472" s="697" t="s">
        <v>768</v>
      </c>
      <c r="U1472" s="372" t="s">
        <v>9813</v>
      </c>
      <c r="V1472" s="722" t="s">
        <v>770</v>
      </c>
      <c r="W1472" s="722">
        <v>1.48</v>
      </c>
      <c r="X1472" s="722">
        <v>1.3</v>
      </c>
      <c r="Y1472" s="722" t="s">
        <v>770</v>
      </c>
      <c r="Z1472" s="382" t="s">
        <v>924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9814</v>
      </c>
      <c r="B1473" s="373" t="s">
        <v>9815</v>
      </c>
      <c r="C1473" s="372" t="s">
        <v>9816</v>
      </c>
      <c r="D1473" s="374">
        <v>1101110375398</v>
      </c>
      <c r="E1473" s="372" t="s">
        <v>9817</v>
      </c>
      <c r="F1473" s="375" t="s">
        <v>7027</v>
      </c>
      <c r="G1473" s="375" t="s">
        <v>7027</v>
      </c>
      <c r="H1473" s="375" t="s">
        <v>814</v>
      </c>
      <c r="I1473" s="375" t="s">
        <v>751</v>
      </c>
      <c r="J1473" s="375">
        <v>517609.20912000001</v>
      </c>
      <c r="K1473" s="375">
        <v>23677.724559999999</v>
      </c>
      <c r="L1473" s="375">
        <v>23799.796719999998</v>
      </c>
      <c r="M1473" s="375">
        <v>181017.94098000001</v>
      </c>
      <c r="N1473" s="372">
        <v>0.42499999999999999</v>
      </c>
      <c r="O1473" s="704">
        <v>10.271250807108652</v>
      </c>
      <c r="P1473" s="375" t="s">
        <v>619</v>
      </c>
      <c r="Q1473" s="372" t="s">
        <v>619</v>
      </c>
      <c r="R1473" s="696">
        <v>19990811</v>
      </c>
      <c r="S1473" s="372" t="s">
        <v>16292</v>
      </c>
      <c r="T1473" s="697">
        <v>0.23100000000000001</v>
      </c>
      <c r="U1473" s="372" t="s">
        <v>15907</v>
      </c>
      <c r="V1473" s="722">
        <v>3.13</v>
      </c>
      <c r="W1473" s="722">
        <v>0.56000000000000005</v>
      </c>
      <c r="X1473" s="722">
        <v>0.2</v>
      </c>
      <c r="Y1473" s="722">
        <v>6.55</v>
      </c>
      <c r="Z1473" s="382" t="s">
        <v>924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9818</v>
      </c>
      <c r="B1474" s="373" t="s">
        <v>9819</v>
      </c>
      <c r="C1474" s="372" t="s">
        <v>9820</v>
      </c>
      <c r="D1474" s="374">
        <v>1101114358382</v>
      </c>
      <c r="E1474" s="372" t="s">
        <v>9821</v>
      </c>
      <c r="F1474" s="375" t="s">
        <v>1003</v>
      </c>
      <c r="G1474" s="375" t="s">
        <v>1212</v>
      </c>
      <c r="H1474" s="375" t="s">
        <v>858</v>
      </c>
      <c r="I1474" s="375" t="s">
        <v>859</v>
      </c>
      <c r="J1474" s="375">
        <v>99813.864079999999</v>
      </c>
      <c r="K1474" s="375">
        <v>14741.10887</v>
      </c>
      <c r="L1474" s="375">
        <v>16453.440180000001</v>
      </c>
      <c r="M1474" s="375">
        <v>230748.59896999999</v>
      </c>
      <c r="N1474" s="372">
        <v>0.84199999999999997</v>
      </c>
      <c r="O1474" s="704">
        <v>40.339825276009996</v>
      </c>
      <c r="P1474" s="375" t="s">
        <v>619</v>
      </c>
      <c r="Q1474" s="372" t="s">
        <v>619</v>
      </c>
      <c r="R1474" s="696">
        <v>20161010</v>
      </c>
      <c r="S1474" s="372" t="s">
        <v>9822</v>
      </c>
      <c r="T1474" s="697">
        <v>0.20900000000000002</v>
      </c>
      <c r="U1474" s="372" t="s">
        <v>9823</v>
      </c>
      <c r="V1474" s="722">
        <v>7.61</v>
      </c>
      <c r="W1474" s="722">
        <v>0.51</v>
      </c>
      <c r="X1474" s="722">
        <v>0.72</v>
      </c>
      <c r="Y1474" s="722">
        <v>16.11</v>
      </c>
      <c r="Z1474" s="382" t="s">
        <v>924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9824</v>
      </c>
      <c r="B1475" s="373" t="s">
        <v>9825</v>
      </c>
      <c r="C1475" s="372" t="s">
        <v>16013</v>
      </c>
      <c r="D1475" s="374">
        <v>1201110148800</v>
      </c>
      <c r="E1475" s="372" t="s">
        <v>16014</v>
      </c>
      <c r="F1475" s="375" t="s">
        <v>5616</v>
      </c>
      <c r="G1475" s="375" t="s">
        <v>5616</v>
      </c>
      <c r="H1475" s="375" t="s">
        <v>858</v>
      </c>
      <c r="I1475" s="375" t="s">
        <v>859</v>
      </c>
      <c r="J1475" s="375">
        <v>14606.93153</v>
      </c>
      <c r="K1475" s="375">
        <v>-958.13234999999997</v>
      </c>
      <c r="L1475" s="375">
        <v>-548.54750000000001</v>
      </c>
      <c r="M1475" s="375">
        <v>39650.352200000001</v>
      </c>
      <c r="N1475" s="372">
        <v>1.23</v>
      </c>
      <c r="O1475" s="704">
        <v>3.5662827318306015E-2</v>
      </c>
      <c r="P1475" s="375" t="s">
        <v>619</v>
      </c>
      <c r="Q1475" s="375" t="s">
        <v>619</v>
      </c>
      <c r="R1475" s="696">
        <v>20210421</v>
      </c>
      <c r="S1475" s="372" t="s">
        <v>9826</v>
      </c>
      <c r="T1475" s="697" t="s">
        <v>768</v>
      </c>
      <c r="U1475" s="372" t="s">
        <v>9827</v>
      </c>
      <c r="V1475" s="722">
        <v>0</v>
      </c>
      <c r="W1475" s="722">
        <v>0</v>
      </c>
      <c r="X1475" s="722">
        <v>0</v>
      </c>
      <c r="Y1475" s="722">
        <v>0</v>
      </c>
      <c r="Z1475" s="382" t="s">
        <v>924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9828</v>
      </c>
      <c r="B1476" s="373" t="s">
        <v>9829</v>
      </c>
      <c r="C1476" s="372" t="s">
        <v>9830</v>
      </c>
      <c r="D1476" s="374">
        <v>1101111788566</v>
      </c>
      <c r="E1476" s="372" t="s">
        <v>9831</v>
      </c>
      <c r="F1476" s="375" t="s">
        <v>1793</v>
      </c>
      <c r="G1476" s="375" t="s">
        <v>2794</v>
      </c>
      <c r="H1476" s="375" t="s">
        <v>858</v>
      </c>
      <c r="I1476" s="375" t="s">
        <v>859</v>
      </c>
      <c r="J1476" s="375">
        <v>59105.612979999998</v>
      </c>
      <c r="K1476" s="375">
        <v>15438.38861</v>
      </c>
      <c r="L1476" s="375">
        <v>19366.46272</v>
      </c>
      <c r="M1476" s="375">
        <v>86933.215320000003</v>
      </c>
      <c r="N1476" s="372">
        <v>0.90800000000000003</v>
      </c>
      <c r="O1476" s="704">
        <v>41.036758428530369</v>
      </c>
      <c r="P1476" s="375" t="s">
        <v>619</v>
      </c>
      <c r="Q1476" s="372" t="s">
        <v>619</v>
      </c>
      <c r="R1476" s="696">
        <v>20191017</v>
      </c>
      <c r="S1476" s="372" t="s">
        <v>9832</v>
      </c>
      <c r="T1476" s="697">
        <v>0.20900000000000002</v>
      </c>
      <c r="U1476" s="372" t="s">
        <v>9833</v>
      </c>
      <c r="V1476" s="722">
        <v>5.09</v>
      </c>
      <c r="W1476" s="722">
        <v>1.03</v>
      </c>
      <c r="X1476" s="722">
        <v>1.56</v>
      </c>
      <c r="Y1476" s="722">
        <v>6.28</v>
      </c>
      <c r="Z1476" s="382">
        <v>7.6488719258215321E-2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660</v>
      </c>
      <c r="AF1476" s="372">
        <v>699</v>
      </c>
      <c r="AG1476" s="372">
        <v>739</v>
      </c>
      <c r="AH1476" s="372">
        <v>0</v>
      </c>
    </row>
    <row r="1477" spans="1:34">
      <c r="A1477" s="372" t="s">
        <v>9834</v>
      </c>
      <c r="B1477" s="373" t="s">
        <v>9835</v>
      </c>
      <c r="C1477" s="372" t="s">
        <v>9836</v>
      </c>
      <c r="D1477" s="374">
        <v>1101110207799</v>
      </c>
      <c r="E1477" s="372" t="s">
        <v>9837</v>
      </c>
      <c r="F1477" s="372" t="s">
        <v>2086</v>
      </c>
      <c r="G1477" s="375" t="s">
        <v>2086</v>
      </c>
      <c r="H1477" s="375" t="s">
        <v>858</v>
      </c>
      <c r="I1477" s="375" t="s">
        <v>859</v>
      </c>
      <c r="J1477" s="375">
        <v>196084.76047000001</v>
      </c>
      <c r="K1477" s="375">
        <v>3406.95865</v>
      </c>
      <c r="L1477" s="375">
        <v>2521.6294699999999</v>
      </c>
      <c r="M1477" s="375">
        <v>127370.35718000001</v>
      </c>
      <c r="N1477" s="372">
        <v>0.86699999999999999</v>
      </c>
      <c r="O1477" s="704">
        <v>10.983319002058108</v>
      </c>
      <c r="P1477" s="375" t="s">
        <v>619</v>
      </c>
      <c r="Q1477" s="372" t="s">
        <v>619</v>
      </c>
      <c r="R1477" s="696">
        <v>20020102</v>
      </c>
      <c r="S1477" s="372" t="s">
        <v>9838</v>
      </c>
      <c r="T1477" s="697">
        <v>0.20900000000000002</v>
      </c>
      <c r="U1477" s="372" t="s">
        <v>9839</v>
      </c>
      <c r="V1477" s="722">
        <v>20.69</v>
      </c>
      <c r="W1477" s="722">
        <v>0.64</v>
      </c>
      <c r="X1477" s="722">
        <v>0.45</v>
      </c>
      <c r="Y1477" s="722">
        <v>44.71</v>
      </c>
      <c r="Z1477" s="382" t="s">
        <v>924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9840</v>
      </c>
      <c r="B1478" s="373" t="s">
        <v>9841</v>
      </c>
      <c r="C1478" s="372" t="s">
        <v>9842</v>
      </c>
      <c r="D1478" s="374">
        <v>1345110127040</v>
      </c>
      <c r="E1478" s="372" t="s">
        <v>9843</v>
      </c>
      <c r="F1478" s="375" t="s">
        <v>2423</v>
      </c>
      <c r="G1478" s="375" t="s">
        <v>2424</v>
      </c>
      <c r="H1478" s="375" t="s">
        <v>858</v>
      </c>
      <c r="I1478" s="375" t="s">
        <v>859</v>
      </c>
      <c r="J1478" s="375">
        <v>73103.165150000001</v>
      </c>
      <c r="K1478" s="375">
        <v>7259.42911</v>
      </c>
      <c r="L1478" s="375">
        <v>8744.4232900000006</v>
      </c>
      <c r="M1478" s="375">
        <v>70357.906130000003</v>
      </c>
      <c r="N1478" s="372">
        <v>0.91400000000000003</v>
      </c>
      <c r="O1478" s="704">
        <v>0.20451046084000463</v>
      </c>
      <c r="P1478" s="375" t="s">
        <v>619</v>
      </c>
      <c r="Q1478" s="372" t="s">
        <v>619</v>
      </c>
      <c r="R1478" s="696">
        <v>20181212</v>
      </c>
      <c r="S1478" s="372" t="s">
        <v>9844</v>
      </c>
      <c r="T1478" s="697">
        <v>0.20900000000000002</v>
      </c>
      <c r="U1478" s="375" t="s">
        <v>9845</v>
      </c>
      <c r="V1478" s="722">
        <v>10.7</v>
      </c>
      <c r="W1478" s="722">
        <v>1.42</v>
      </c>
      <c r="X1478" s="722">
        <v>1.37</v>
      </c>
      <c r="Y1478" s="722">
        <v>12.74</v>
      </c>
      <c r="Z1478" s="382" t="s">
        <v>924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9846</v>
      </c>
      <c r="B1479" s="373" t="s">
        <v>9847</v>
      </c>
      <c r="C1479" s="372" t="s">
        <v>9848</v>
      </c>
      <c r="D1479" s="374">
        <v>1101114816570</v>
      </c>
      <c r="E1479" s="372" t="s">
        <v>9849</v>
      </c>
      <c r="F1479" s="372" t="s">
        <v>2121</v>
      </c>
      <c r="G1479" s="375" t="s">
        <v>4463</v>
      </c>
      <c r="H1479" s="375" t="s">
        <v>858</v>
      </c>
      <c r="I1479" s="375" t="s">
        <v>859</v>
      </c>
      <c r="J1479" s="375">
        <v>32543.402460000001</v>
      </c>
      <c r="K1479" s="375">
        <v>6941.5218699999996</v>
      </c>
      <c r="L1479" s="375">
        <v>4366.9061000000002</v>
      </c>
      <c r="M1479" s="375">
        <v>56905.198060000002</v>
      </c>
      <c r="N1479" s="372">
        <v>0.51100000000000001</v>
      </c>
      <c r="O1479" s="704">
        <v>17.188080979746907</v>
      </c>
      <c r="P1479" s="375" t="s">
        <v>619</v>
      </c>
      <c r="Q1479" s="372" t="s">
        <v>619</v>
      </c>
      <c r="R1479" s="696">
        <v>20160504</v>
      </c>
      <c r="S1479" s="372" t="s">
        <v>9850</v>
      </c>
      <c r="T1479" s="697">
        <v>0.20900000000000002</v>
      </c>
      <c r="U1479" s="372" t="s">
        <v>9851</v>
      </c>
      <c r="V1479" s="722">
        <v>11.96</v>
      </c>
      <c r="W1479" s="722">
        <v>2.0499999999999998</v>
      </c>
      <c r="X1479" s="722">
        <v>3.75</v>
      </c>
      <c r="Y1479" s="722">
        <v>19.39</v>
      </c>
      <c r="Z1479" s="382" t="s">
        <v>924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533</v>
      </c>
      <c r="AG1479" s="372">
        <v>0</v>
      </c>
      <c r="AH1479" s="372">
        <v>0</v>
      </c>
    </row>
    <row r="1480" spans="1:34">
      <c r="A1480" s="372" t="s">
        <v>9852</v>
      </c>
      <c r="B1480" s="373" t="s">
        <v>9853</v>
      </c>
      <c r="C1480" s="372" t="s">
        <v>9854</v>
      </c>
      <c r="D1480" s="374">
        <v>1615110121601</v>
      </c>
      <c r="E1480" s="372" t="s">
        <v>9855</v>
      </c>
      <c r="F1480" s="375" t="s">
        <v>16097</v>
      </c>
      <c r="G1480" s="375" t="s">
        <v>3851</v>
      </c>
      <c r="H1480" s="375" t="s">
        <v>858</v>
      </c>
      <c r="I1480" s="375" t="s">
        <v>859</v>
      </c>
      <c r="J1480" s="375">
        <v>54981.996079999997</v>
      </c>
      <c r="K1480" s="375">
        <v>2626.6176399999999</v>
      </c>
      <c r="L1480" s="375">
        <v>3010.2822500000002</v>
      </c>
      <c r="M1480" s="375">
        <v>53852.241609999997</v>
      </c>
      <c r="N1480" s="372" t="s">
        <v>1023</v>
      </c>
      <c r="O1480" s="704">
        <v>4.1215441044048235</v>
      </c>
      <c r="P1480" s="375" t="s">
        <v>619</v>
      </c>
      <c r="Q1480" s="372" t="s">
        <v>619</v>
      </c>
      <c r="R1480" s="696">
        <v>20231109</v>
      </c>
      <c r="S1480" s="372" t="s">
        <v>9856</v>
      </c>
      <c r="T1480" s="697">
        <v>0.20900000000000002</v>
      </c>
      <c r="U1480" s="372" t="s">
        <v>9857</v>
      </c>
      <c r="V1480" s="722">
        <v>0</v>
      </c>
      <c r="W1480" s="722">
        <v>0</v>
      </c>
      <c r="X1480" s="722">
        <v>0</v>
      </c>
      <c r="Y1480" s="722">
        <v>0</v>
      </c>
      <c r="Z1480" s="382" t="s">
        <v>924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9858</v>
      </c>
      <c r="B1481" s="373" t="s">
        <v>9859</v>
      </c>
      <c r="C1481" s="372" t="s">
        <v>9860</v>
      </c>
      <c r="D1481" s="374">
        <v>1942110032988</v>
      </c>
      <c r="E1481" s="372" t="s">
        <v>9861</v>
      </c>
      <c r="F1481" s="375" t="s">
        <v>1133</v>
      </c>
      <c r="G1481" s="375" t="s">
        <v>3125</v>
      </c>
      <c r="H1481" s="375" t="s">
        <v>858</v>
      </c>
      <c r="I1481" s="375" t="s">
        <v>859</v>
      </c>
      <c r="J1481" s="375">
        <v>105685.91654999999</v>
      </c>
      <c r="K1481" s="375">
        <v>7690.3246200000003</v>
      </c>
      <c r="L1481" s="375">
        <v>57448.34388</v>
      </c>
      <c r="M1481" s="375">
        <v>236969.85230999999</v>
      </c>
      <c r="N1481" s="372">
        <v>0.71399999999999997</v>
      </c>
      <c r="O1481" s="704">
        <v>57.780854660846572</v>
      </c>
      <c r="P1481" s="375" t="s">
        <v>619</v>
      </c>
      <c r="Q1481" s="372" t="s">
        <v>619</v>
      </c>
      <c r="R1481" s="696">
        <v>20101022</v>
      </c>
      <c r="S1481" s="372" t="s">
        <v>9862</v>
      </c>
      <c r="T1481" s="697">
        <v>0.23100000000000001</v>
      </c>
      <c r="U1481" s="372" t="s">
        <v>9863</v>
      </c>
      <c r="V1481" s="722">
        <v>19.940000000000001</v>
      </c>
      <c r="W1481" s="722">
        <v>0.83</v>
      </c>
      <c r="X1481" s="722">
        <v>1.9</v>
      </c>
      <c r="Y1481" s="722">
        <v>3.95</v>
      </c>
      <c r="Z1481" s="382" t="s">
        <v>924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9864</v>
      </c>
      <c r="B1482" s="373" t="s">
        <v>9865</v>
      </c>
      <c r="C1482" s="372" t="s">
        <v>9866</v>
      </c>
      <c r="D1482" s="374">
        <v>1101112021501</v>
      </c>
      <c r="E1482" s="372" t="s">
        <v>9867</v>
      </c>
      <c r="F1482" s="372" t="s">
        <v>1793</v>
      </c>
      <c r="G1482" s="375" t="s">
        <v>1794</v>
      </c>
      <c r="H1482" s="375" t="s">
        <v>858</v>
      </c>
      <c r="I1482" s="375" t="s">
        <v>859</v>
      </c>
      <c r="J1482" s="375">
        <v>28540.274170000001</v>
      </c>
      <c r="K1482" s="375">
        <v>-7417.4479199999996</v>
      </c>
      <c r="L1482" s="375">
        <v>-11093.706899999999</v>
      </c>
      <c r="M1482" s="375">
        <v>56755.310510000003</v>
      </c>
      <c r="N1482" s="372">
        <v>0.98299999999999998</v>
      </c>
      <c r="O1482" s="704">
        <v>64.962557453595736</v>
      </c>
      <c r="P1482" s="375" t="s">
        <v>619</v>
      </c>
      <c r="Q1482" s="372" t="s">
        <v>619</v>
      </c>
      <c r="R1482" s="696">
        <v>20201028</v>
      </c>
      <c r="S1482" s="375" t="s">
        <v>9868</v>
      </c>
      <c r="T1482" s="697" t="s">
        <v>768</v>
      </c>
      <c r="U1482" s="372" t="s">
        <v>9869</v>
      </c>
      <c r="V1482" s="722" t="s">
        <v>770</v>
      </c>
      <c r="W1482" s="722">
        <v>1.03</v>
      </c>
      <c r="X1482" s="722">
        <v>2.0299999999999998</v>
      </c>
      <c r="Y1482" s="722" t="s">
        <v>770</v>
      </c>
      <c r="Z1482" s="382" t="s">
        <v>924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9870</v>
      </c>
      <c r="B1483" s="373" t="s">
        <v>9871</v>
      </c>
      <c r="C1483" s="372" t="s">
        <v>9872</v>
      </c>
      <c r="D1483" s="374">
        <v>0</v>
      </c>
      <c r="E1483" s="372" t="s">
        <v>9873</v>
      </c>
      <c r="F1483" s="375" t="s">
        <v>2715</v>
      </c>
      <c r="G1483" s="375" t="s">
        <v>3021</v>
      </c>
      <c r="H1483" s="375">
        <v>0</v>
      </c>
      <c r="I1483" s="375" t="s">
        <v>859</v>
      </c>
      <c r="J1483" s="375">
        <v>38143.938999999998</v>
      </c>
      <c r="K1483" s="375">
        <v>-6014.4970000000003</v>
      </c>
      <c r="L1483" s="375">
        <v>-6468.0039999999999</v>
      </c>
      <c r="M1483" s="375">
        <v>28524.080000000002</v>
      </c>
      <c r="N1483" s="372">
        <v>0.73499999999999999</v>
      </c>
      <c r="O1483" s="704">
        <v>11.747153937434303</v>
      </c>
      <c r="P1483" s="375" t="s">
        <v>619</v>
      </c>
      <c r="Q1483" s="375" t="s">
        <v>619</v>
      </c>
      <c r="R1483" s="696">
        <v>20200713</v>
      </c>
      <c r="S1483" s="375" t="s">
        <v>9874</v>
      </c>
      <c r="T1483" s="697" t="s">
        <v>768</v>
      </c>
      <c r="U1483" s="372" t="s">
        <v>9875</v>
      </c>
      <c r="V1483" s="722" t="s">
        <v>770</v>
      </c>
      <c r="W1483" s="722">
        <v>2.99</v>
      </c>
      <c r="X1483" s="722">
        <v>2.25</v>
      </c>
      <c r="Y1483" s="722" t="s">
        <v>770</v>
      </c>
      <c r="Z1483" s="382" t="s">
        <v>924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9876</v>
      </c>
      <c r="B1484" s="373" t="s">
        <v>9877</v>
      </c>
      <c r="C1484" s="372" t="s">
        <v>9878</v>
      </c>
      <c r="D1484" s="374">
        <v>1341110003545</v>
      </c>
      <c r="E1484" s="372" t="s">
        <v>9879</v>
      </c>
      <c r="F1484" s="372" t="s">
        <v>1817</v>
      </c>
      <c r="G1484" s="375" t="s">
        <v>1817</v>
      </c>
      <c r="H1484" s="375" t="s">
        <v>858</v>
      </c>
      <c r="I1484" s="375" t="s">
        <v>859</v>
      </c>
      <c r="J1484" s="375">
        <v>151820.50889</v>
      </c>
      <c r="K1484" s="375">
        <v>-30979.12096</v>
      </c>
      <c r="L1484" s="375">
        <v>-42305.949090000002</v>
      </c>
      <c r="M1484" s="375">
        <v>51004.979039999998</v>
      </c>
      <c r="N1484" s="372">
        <v>0.67200000000000004</v>
      </c>
      <c r="O1484" s="704">
        <v>154.18143884310359</v>
      </c>
      <c r="P1484" s="375" t="s">
        <v>619</v>
      </c>
      <c r="Q1484" s="372" t="s">
        <v>619</v>
      </c>
      <c r="R1484" s="696">
        <v>19941031</v>
      </c>
      <c r="S1484" s="372" t="s">
        <v>9880</v>
      </c>
      <c r="T1484" s="697" t="s">
        <v>768</v>
      </c>
      <c r="U1484" s="372" t="s">
        <v>15908</v>
      </c>
      <c r="V1484" s="722" t="s">
        <v>770</v>
      </c>
      <c r="W1484" s="722">
        <v>1.47</v>
      </c>
      <c r="X1484" s="722">
        <v>0.49</v>
      </c>
      <c r="Y1484" s="722" t="s">
        <v>770</v>
      </c>
      <c r="Z1484" s="382" t="s">
        <v>924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9881</v>
      </c>
      <c r="B1485" s="373" t="s">
        <v>9882</v>
      </c>
      <c r="C1485" s="372" t="s">
        <v>9883</v>
      </c>
      <c r="D1485" s="374">
        <v>1101115687615</v>
      </c>
      <c r="E1485" s="372" t="s">
        <v>9884</v>
      </c>
      <c r="F1485" s="372" t="s">
        <v>5298</v>
      </c>
      <c r="G1485" s="375" t="s">
        <v>5298</v>
      </c>
      <c r="H1485" s="375" t="s">
        <v>858</v>
      </c>
      <c r="I1485" s="375" t="s">
        <v>859</v>
      </c>
      <c r="J1485" s="375">
        <v>63447.076869999997</v>
      </c>
      <c r="K1485" s="375">
        <v>-8.9038400000000006</v>
      </c>
      <c r="L1485" s="375">
        <v>65.191180000000003</v>
      </c>
      <c r="M1485" s="375">
        <v>44718.044739999998</v>
      </c>
      <c r="N1485" s="372">
        <v>0.85199999999999998</v>
      </c>
      <c r="O1485" s="704">
        <v>6.1537915162731132</v>
      </c>
      <c r="P1485" s="375" t="s">
        <v>619</v>
      </c>
      <c r="Q1485" s="372" t="s">
        <v>619</v>
      </c>
      <c r="R1485" s="696">
        <v>20150618</v>
      </c>
      <c r="S1485" s="372" t="s">
        <v>5298</v>
      </c>
      <c r="T1485" s="697">
        <v>9.9000000000000005E-2</v>
      </c>
      <c r="U1485" s="372" t="s">
        <v>9885</v>
      </c>
      <c r="V1485" s="722">
        <v>107.32</v>
      </c>
      <c r="W1485" s="722">
        <v>2.29</v>
      </c>
      <c r="X1485" s="722">
        <v>1.65</v>
      </c>
      <c r="Y1485" s="722">
        <v>303.39</v>
      </c>
      <c r="Z1485" s="382" t="s">
        <v>924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9886</v>
      </c>
      <c r="B1486" s="373" t="s">
        <v>9887</v>
      </c>
      <c r="C1486" s="372" t="s">
        <v>9888</v>
      </c>
      <c r="D1486" s="374">
        <v>1101114846056</v>
      </c>
      <c r="E1486" s="372" t="s">
        <v>9889</v>
      </c>
      <c r="F1486" s="375" t="s">
        <v>1793</v>
      </c>
      <c r="G1486" s="375" t="s">
        <v>1794</v>
      </c>
      <c r="H1486" s="375" t="s">
        <v>858</v>
      </c>
      <c r="I1486" s="375" t="s">
        <v>859</v>
      </c>
      <c r="J1486" s="375">
        <v>35112.472249999999</v>
      </c>
      <c r="K1486" s="375">
        <v>1357.4497699999999</v>
      </c>
      <c r="L1486" s="375">
        <v>1563.0064199999999</v>
      </c>
      <c r="M1486" s="375">
        <v>38357.037600000003</v>
      </c>
      <c r="N1486" s="372" t="s">
        <v>1023</v>
      </c>
      <c r="O1486" s="704">
        <v>11.195849730909767</v>
      </c>
      <c r="P1486" s="375" t="s">
        <v>619</v>
      </c>
      <c r="Q1486" s="372" t="s">
        <v>619</v>
      </c>
      <c r="R1486" s="696">
        <v>20230630</v>
      </c>
      <c r="S1486" s="372" t="s">
        <v>9890</v>
      </c>
      <c r="T1486" s="697">
        <v>0.20900000000000002</v>
      </c>
      <c r="U1486" s="372" t="s">
        <v>9891</v>
      </c>
      <c r="V1486" s="722">
        <v>17.329999999999998</v>
      </c>
      <c r="W1486" s="722">
        <v>1.18</v>
      </c>
      <c r="X1486" s="722">
        <v>1.29</v>
      </c>
      <c r="Y1486" s="722">
        <v>26.51</v>
      </c>
      <c r="Z1486" s="382" t="s">
        <v>924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9892</v>
      </c>
      <c r="B1487" s="373" t="s">
        <v>9893</v>
      </c>
      <c r="C1487" s="372" t="s">
        <v>9894</v>
      </c>
      <c r="D1487" s="374">
        <v>1101110053465</v>
      </c>
      <c r="E1487" s="372" t="s">
        <v>9895</v>
      </c>
      <c r="F1487" s="375" t="s">
        <v>2051</v>
      </c>
      <c r="G1487" s="375" t="s">
        <v>2052</v>
      </c>
      <c r="H1487" s="375" t="s">
        <v>858</v>
      </c>
      <c r="I1487" s="375" t="s">
        <v>859</v>
      </c>
      <c r="J1487" s="375">
        <v>163196.95767</v>
      </c>
      <c r="K1487" s="375">
        <v>9086.4329300000009</v>
      </c>
      <c r="L1487" s="375">
        <v>8843.2815399999999</v>
      </c>
      <c r="M1487" s="375">
        <v>128968.39586</v>
      </c>
      <c r="N1487" s="372">
        <v>0.84199999999999997</v>
      </c>
      <c r="O1487" s="704">
        <v>46.222384922058843</v>
      </c>
      <c r="P1487" s="375" t="s">
        <v>619</v>
      </c>
      <c r="Q1487" s="372" t="s">
        <v>619</v>
      </c>
      <c r="R1487" s="696">
        <v>19931130</v>
      </c>
      <c r="S1487" s="372" t="s">
        <v>9896</v>
      </c>
      <c r="T1487" s="697">
        <v>0.20900000000000002</v>
      </c>
      <c r="U1487" s="372" t="s">
        <v>9897</v>
      </c>
      <c r="V1487" s="722">
        <v>0</v>
      </c>
      <c r="W1487" s="722">
        <v>0</v>
      </c>
      <c r="X1487" s="722">
        <v>0</v>
      </c>
      <c r="Y1487" s="722">
        <v>0</v>
      </c>
      <c r="Z1487" s="382" t="s">
        <v>924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9898</v>
      </c>
      <c r="B1488" s="373" t="s">
        <v>9899</v>
      </c>
      <c r="C1488" s="372" t="s">
        <v>9900</v>
      </c>
      <c r="D1488" s="374">
        <v>1243110016976</v>
      </c>
      <c r="E1488" s="372" t="s">
        <v>9901</v>
      </c>
      <c r="F1488" s="375" t="s">
        <v>1246</v>
      </c>
      <c r="G1488" s="375" t="s">
        <v>1246</v>
      </c>
      <c r="H1488" s="375" t="s">
        <v>858</v>
      </c>
      <c r="I1488" s="375" t="s">
        <v>859</v>
      </c>
      <c r="J1488" s="375">
        <v>93138.599960000007</v>
      </c>
      <c r="K1488" s="375">
        <v>8568.8766599999999</v>
      </c>
      <c r="L1488" s="375">
        <v>15096.34217</v>
      </c>
      <c r="M1488" s="375">
        <v>168742.79676</v>
      </c>
      <c r="N1488" s="372">
        <v>0.51900000000000002</v>
      </c>
      <c r="O1488" s="704">
        <v>24.880909128110968</v>
      </c>
      <c r="P1488" s="375" t="s">
        <v>619</v>
      </c>
      <c r="Q1488" s="375" t="s">
        <v>619</v>
      </c>
      <c r="R1488" s="696">
        <v>20051223</v>
      </c>
      <c r="S1488" s="372" t="s">
        <v>9902</v>
      </c>
      <c r="T1488" s="697">
        <v>0.20900000000000002</v>
      </c>
      <c r="U1488" s="372" t="s">
        <v>9903</v>
      </c>
      <c r="V1488" s="722">
        <v>22.39</v>
      </c>
      <c r="W1488" s="722">
        <v>1.7</v>
      </c>
      <c r="X1488" s="722">
        <v>2.5299999999999998</v>
      </c>
      <c r="Y1488" s="722">
        <v>23.38</v>
      </c>
      <c r="Z1488" s="382" t="s">
        <v>924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9904</v>
      </c>
      <c r="B1489" s="373" t="s">
        <v>9905</v>
      </c>
      <c r="C1489" s="372" t="s">
        <v>9906</v>
      </c>
      <c r="D1489" s="374">
        <v>1101115501302</v>
      </c>
      <c r="E1489" s="372" t="s">
        <v>9907</v>
      </c>
      <c r="F1489" s="372" t="s">
        <v>1367</v>
      </c>
      <c r="G1489" s="375" t="s">
        <v>1367</v>
      </c>
      <c r="H1489" s="375" t="s">
        <v>858</v>
      </c>
      <c r="I1489" s="375" t="s">
        <v>859</v>
      </c>
      <c r="J1489" s="375">
        <v>7855.6075700000001</v>
      </c>
      <c r="K1489" s="375">
        <v>-10492.76563</v>
      </c>
      <c r="L1489" s="375">
        <v>-10254.22242</v>
      </c>
      <c r="M1489" s="375">
        <v>21542.655009999999</v>
      </c>
      <c r="N1489" s="372">
        <v>0.67900000000000005</v>
      </c>
      <c r="O1489" s="704">
        <v>7.1661776752991164</v>
      </c>
      <c r="P1489" s="375" t="s">
        <v>619</v>
      </c>
      <c r="Q1489" s="372" t="s">
        <v>619</v>
      </c>
      <c r="R1489" s="696">
        <v>20141112</v>
      </c>
      <c r="S1489" s="372" t="s">
        <v>2502</v>
      </c>
      <c r="T1489" s="697" t="s">
        <v>768</v>
      </c>
      <c r="U1489" s="372" t="s">
        <v>9908</v>
      </c>
      <c r="V1489" s="722" t="s">
        <v>770</v>
      </c>
      <c r="W1489" s="722">
        <v>2.99</v>
      </c>
      <c r="X1489" s="722">
        <v>8</v>
      </c>
      <c r="Y1489" s="722" t="s">
        <v>770</v>
      </c>
      <c r="Z1489" s="382" t="s">
        <v>924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9909</v>
      </c>
      <c r="B1490" s="373" t="s">
        <v>9910</v>
      </c>
      <c r="C1490" s="372" t="s">
        <v>9911</v>
      </c>
      <c r="D1490" s="374">
        <v>1615110077268</v>
      </c>
      <c r="E1490" s="372" t="s">
        <v>9912</v>
      </c>
      <c r="F1490" s="375" t="s">
        <v>5684</v>
      </c>
      <c r="G1490" s="375" t="s">
        <v>6040</v>
      </c>
      <c r="H1490" s="375" t="s">
        <v>858</v>
      </c>
      <c r="I1490" s="375" t="s">
        <v>859</v>
      </c>
      <c r="J1490" s="375">
        <v>61415.135130000002</v>
      </c>
      <c r="K1490" s="375">
        <v>10103.24883</v>
      </c>
      <c r="L1490" s="375">
        <v>9161.2936300000001</v>
      </c>
      <c r="M1490" s="375">
        <v>64426.13897</v>
      </c>
      <c r="N1490" s="372">
        <v>1.133</v>
      </c>
      <c r="O1490" s="704">
        <v>8.549168323121922</v>
      </c>
      <c r="P1490" s="375" t="s">
        <v>619</v>
      </c>
      <c r="Q1490" s="375" t="s">
        <v>619</v>
      </c>
      <c r="R1490" s="696">
        <v>20210401</v>
      </c>
      <c r="S1490" s="372" t="s">
        <v>9913</v>
      </c>
      <c r="T1490" s="697">
        <v>0.20900000000000002</v>
      </c>
      <c r="U1490" s="372" t="s">
        <v>9914</v>
      </c>
      <c r="V1490" s="722">
        <v>10.87</v>
      </c>
      <c r="W1490" s="722">
        <v>1.76</v>
      </c>
      <c r="X1490" s="722">
        <v>1.93</v>
      </c>
      <c r="Y1490" s="722">
        <v>15.65</v>
      </c>
      <c r="Z1490" s="382" t="s">
        <v>924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776</v>
      </c>
      <c r="AF1490" s="372">
        <v>1434</v>
      </c>
      <c r="AG1490" s="372">
        <v>0</v>
      </c>
      <c r="AH1490" s="372">
        <v>0</v>
      </c>
    </row>
    <row r="1491" spans="1:34">
      <c r="A1491" s="372" t="s">
        <v>9915</v>
      </c>
      <c r="B1491" s="373" t="s">
        <v>9916</v>
      </c>
      <c r="C1491" s="372" t="s">
        <v>9917</v>
      </c>
      <c r="D1491" s="374">
        <v>1615110038129</v>
      </c>
      <c r="E1491" s="372" t="s">
        <v>9918</v>
      </c>
      <c r="F1491" s="375" t="s">
        <v>9195</v>
      </c>
      <c r="G1491" s="375" t="s">
        <v>9195</v>
      </c>
      <c r="H1491" s="375" t="s">
        <v>858</v>
      </c>
      <c r="I1491" s="375" t="s">
        <v>859</v>
      </c>
      <c r="J1491" s="375">
        <v>82494.688259999995</v>
      </c>
      <c r="K1491" s="375">
        <v>10507.226290000001</v>
      </c>
      <c r="L1491" s="375">
        <v>10828.06256</v>
      </c>
      <c r="M1491" s="375">
        <v>70433.128930000006</v>
      </c>
      <c r="N1491" s="372">
        <v>0.82699999999999996</v>
      </c>
      <c r="O1491" s="704">
        <v>17.077839677134531</v>
      </c>
      <c r="P1491" s="375" t="s">
        <v>619</v>
      </c>
      <c r="Q1491" s="372" t="s">
        <v>619</v>
      </c>
      <c r="R1491" s="696">
        <v>20171026</v>
      </c>
      <c r="S1491" s="372" t="s">
        <v>9919</v>
      </c>
      <c r="T1491" s="697">
        <v>0.20900000000000002</v>
      </c>
      <c r="U1491" s="372" t="s">
        <v>9920</v>
      </c>
      <c r="V1491" s="722">
        <v>6.29</v>
      </c>
      <c r="W1491" s="722">
        <v>1.33</v>
      </c>
      <c r="X1491" s="722">
        <v>1.1399999999999999</v>
      </c>
      <c r="Y1491" s="722">
        <v>8.31</v>
      </c>
      <c r="Z1491" s="382" t="s">
        <v>924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9921</v>
      </c>
      <c r="B1492" s="373" t="s">
        <v>9922</v>
      </c>
      <c r="C1492" s="372" t="s">
        <v>9923</v>
      </c>
      <c r="D1492" s="374">
        <v>1101115851559</v>
      </c>
      <c r="E1492" s="372" t="s">
        <v>9924</v>
      </c>
      <c r="F1492" s="372" t="s">
        <v>9925</v>
      </c>
      <c r="G1492" s="375" t="s">
        <v>9925</v>
      </c>
      <c r="H1492" s="375" t="s">
        <v>843</v>
      </c>
      <c r="I1492" s="375" t="s">
        <v>751</v>
      </c>
      <c r="J1492" s="375">
        <v>202856.53774</v>
      </c>
      <c r="K1492" s="375">
        <v>18947.568650000001</v>
      </c>
      <c r="L1492" s="375">
        <v>42593.759460000001</v>
      </c>
      <c r="M1492" s="375">
        <v>305848.41850999999</v>
      </c>
      <c r="N1492" s="372">
        <v>0.63</v>
      </c>
      <c r="O1492" s="704">
        <v>30.374640726524767</v>
      </c>
      <c r="P1492" s="375" t="s">
        <v>619</v>
      </c>
      <c r="Q1492" s="375" t="s">
        <v>619</v>
      </c>
      <c r="R1492" s="696">
        <v>20151023</v>
      </c>
      <c r="S1492" s="375" t="s">
        <v>9926</v>
      </c>
      <c r="T1492" s="697">
        <v>0.23100000000000001</v>
      </c>
      <c r="U1492" s="372" t="s">
        <v>9927</v>
      </c>
      <c r="V1492" s="722">
        <v>4.58</v>
      </c>
      <c r="W1492" s="722">
        <v>0.31</v>
      </c>
      <c r="X1492" s="722">
        <v>0.47</v>
      </c>
      <c r="Y1492" s="722">
        <v>2.54</v>
      </c>
      <c r="Z1492" s="382" t="s">
        <v>924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9928</v>
      </c>
      <c r="B1493" s="373" t="s">
        <v>9929</v>
      </c>
      <c r="C1493" s="372" t="s">
        <v>9930</v>
      </c>
      <c r="D1493" s="374">
        <v>1101111646889</v>
      </c>
      <c r="E1493" s="372" t="s">
        <v>9931</v>
      </c>
      <c r="F1493" s="375" t="s">
        <v>1059</v>
      </c>
      <c r="G1493" s="375" t="s">
        <v>1059</v>
      </c>
      <c r="H1493" s="375" t="s">
        <v>1334</v>
      </c>
      <c r="I1493" s="375" t="s">
        <v>859</v>
      </c>
      <c r="J1493" s="375">
        <v>18779.98215</v>
      </c>
      <c r="K1493" s="375">
        <v>-7499.80674</v>
      </c>
      <c r="L1493" s="375">
        <v>-21693.27622</v>
      </c>
      <c r="M1493" s="375">
        <v>115362.07679000001</v>
      </c>
      <c r="N1493" s="372">
        <v>0.45300000000000001</v>
      </c>
      <c r="O1493" s="704">
        <v>66.462260643554671</v>
      </c>
      <c r="P1493" s="375" t="s">
        <v>16112</v>
      </c>
      <c r="Q1493" s="372" t="s">
        <v>16113</v>
      </c>
      <c r="R1493" s="696">
        <v>20031217</v>
      </c>
      <c r="S1493" s="372" t="s">
        <v>9932</v>
      </c>
      <c r="T1493" s="697" t="s">
        <v>768</v>
      </c>
      <c r="U1493" s="372" t="s">
        <v>9933</v>
      </c>
      <c r="V1493" s="722" t="s">
        <v>770</v>
      </c>
      <c r="W1493" s="722">
        <v>0.69</v>
      </c>
      <c r="X1493" s="722">
        <v>6.18</v>
      </c>
      <c r="Y1493" s="722" t="s">
        <v>770</v>
      </c>
      <c r="Z1493" s="382" t="s">
        <v>924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9934</v>
      </c>
      <c r="B1494" s="373" t="s">
        <v>9935</v>
      </c>
      <c r="C1494" s="372" t="s">
        <v>9936</v>
      </c>
      <c r="D1494" s="374">
        <v>1101110591928</v>
      </c>
      <c r="E1494" s="372" t="s">
        <v>9937</v>
      </c>
      <c r="F1494" s="375" t="s">
        <v>1753</v>
      </c>
      <c r="G1494" s="375" t="s">
        <v>6496</v>
      </c>
      <c r="H1494" s="375" t="s">
        <v>858</v>
      </c>
      <c r="I1494" s="375" t="s">
        <v>859</v>
      </c>
      <c r="J1494" s="375">
        <v>47982.188329999997</v>
      </c>
      <c r="K1494" s="375">
        <v>5766.0531899999996</v>
      </c>
      <c r="L1494" s="375">
        <v>12623.81691</v>
      </c>
      <c r="M1494" s="375">
        <v>94617.636729999998</v>
      </c>
      <c r="N1494" s="372">
        <v>0.47299999999999998</v>
      </c>
      <c r="O1494" s="704">
        <v>8.4458552810050228E-2</v>
      </c>
      <c r="P1494" s="375" t="s">
        <v>619</v>
      </c>
      <c r="Q1494" s="372" t="s">
        <v>619</v>
      </c>
      <c r="R1494" s="696">
        <v>20020712</v>
      </c>
      <c r="S1494" s="372" t="s">
        <v>9938</v>
      </c>
      <c r="T1494" s="697">
        <v>0.20900000000000002</v>
      </c>
      <c r="U1494" s="372" t="s">
        <v>9939</v>
      </c>
      <c r="V1494" s="722">
        <v>17.86</v>
      </c>
      <c r="W1494" s="722">
        <v>1.1100000000000001</v>
      </c>
      <c r="X1494" s="722">
        <v>2.25</v>
      </c>
      <c r="Y1494" s="722">
        <v>10.35</v>
      </c>
      <c r="Z1494" s="382" t="s">
        <v>924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9940</v>
      </c>
      <c r="B1495" s="373" t="s">
        <v>9941</v>
      </c>
      <c r="C1495" s="372" t="s">
        <v>9942</v>
      </c>
      <c r="D1495" s="374">
        <v>1101111958888</v>
      </c>
      <c r="E1495" s="372" t="s">
        <v>9943</v>
      </c>
      <c r="F1495" s="375" t="s">
        <v>1182</v>
      </c>
      <c r="G1495" s="375" t="s">
        <v>1183</v>
      </c>
      <c r="H1495" s="375" t="s">
        <v>858</v>
      </c>
      <c r="I1495" s="375" t="s">
        <v>859</v>
      </c>
      <c r="J1495" s="375">
        <v>33174.869769999998</v>
      </c>
      <c r="K1495" s="375">
        <v>-27738.948049999999</v>
      </c>
      <c r="L1495" s="375">
        <v>-77024.468150000001</v>
      </c>
      <c r="M1495" s="375">
        <v>5820.9858199999999</v>
      </c>
      <c r="N1495" s="372">
        <v>0.39100000000000001</v>
      </c>
      <c r="O1495" s="704">
        <v>23.918185814627922</v>
      </c>
      <c r="P1495" s="375" t="s">
        <v>16112</v>
      </c>
      <c r="Q1495" s="372" t="s">
        <v>16113</v>
      </c>
      <c r="R1495" s="696">
        <v>20141119</v>
      </c>
      <c r="S1495" s="372" t="s">
        <v>9944</v>
      </c>
      <c r="T1495" s="697" t="s">
        <v>768</v>
      </c>
      <c r="U1495" s="372" t="s">
        <v>9945</v>
      </c>
      <c r="V1495" s="722" t="s">
        <v>770</v>
      </c>
      <c r="W1495" s="722">
        <v>6.04</v>
      </c>
      <c r="X1495" s="722">
        <v>1.0900000000000001</v>
      </c>
      <c r="Y1495" s="722" t="s">
        <v>770</v>
      </c>
      <c r="Z1495" s="382" t="s">
        <v>924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9946</v>
      </c>
      <c r="B1496" s="373" t="s">
        <v>9947</v>
      </c>
      <c r="C1496" s="372" t="s">
        <v>9948</v>
      </c>
      <c r="D1496" s="374">
        <v>1101110660806</v>
      </c>
      <c r="E1496" s="372" t="s">
        <v>9949</v>
      </c>
      <c r="F1496" s="375" t="s">
        <v>6270</v>
      </c>
      <c r="G1496" s="375" t="s">
        <v>6271</v>
      </c>
      <c r="H1496" s="375" t="s">
        <v>1334</v>
      </c>
      <c r="I1496" s="375" t="s">
        <v>859</v>
      </c>
      <c r="J1496" s="375">
        <v>241314.18786000001</v>
      </c>
      <c r="K1496" s="375">
        <v>13254.952880000001</v>
      </c>
      <c r="L1496" s="375">
        <v>13540.16756</v>
      </c>
      <c r="M1496" s="375">
        <v>75890.890889999995</v>
      </c>
      <c r="N1496" s="372">
        <v>0.82099999999999995</v>
      </c>
      <c r="O1496" s="704">
        <v>58.460666273217313</v>
      </c>
      <c r="P1496" s="375" t="s">
        <v>619</v>
      </c>
      <c r="Q1496" s="375" t="s">
        <v>619</v>
      </c>
      <c r="R1496" s="696">
        <v>20000201</v>
      </c>
      <c r="S1496" s="375" t="s">
        <v>9950</v>
      </c>
      <c r="T1496" s="697">
        <v>0.20900000000000002</v>
      </c>
      <c r="U1496" s="375" t="s">
        <v>9951</v>
      </c>
      <c r="V1496" s="722">
        <v>4.29</v>
      </c>
      <c r="W1496" s="722">
        <v>0.85</v>
      </c>
      <c r="X1496" s="722">
        <v>0.3</v>
      </c>
      <c r="Y1496" s="722">
        <v>6.96</v>
      </c>
      <c r="Z1496" s="382">
        <v>5.9386026118251056E-2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2430</v>
      </c>
      <c r="AF1496" s="372">
        <v>3560</v>
      </c>
      <c r="AG1496" s="372">
        <v>2880</v>
      </c>
      <c r="AH1496" s="372">
        <v>0</v>
      </c>
    </row>
    <row r="1497" spans="1:34">
      <c r="A1497" s="372" t="s">
        <v>9952</v>
      </c>
      <c r="B1497" s="373" t="s">
        <v>9953</v>
      </c>
      <c r="C1497" s="372" t="s">
        <v>9954</v>
      </c>
      <c r="D1497" s="374">
        <v>1311110060978</v>
      </c>
      <c r="E1497" s="372" t="s">
        <v>9955</v>
      </c>
      <c r="F1497" s="375" t="s">
        <v>618</v>
      </c>
      <c r="G1497" s="375" t="s">
        <v>618</v>
      </c>
      <c r="H1497" s="375" t="s">
        <v>858</v>
      </c>
      <c r="I1497" s="375" t="s">
        <v>859</v>
      </c>
      <c r="J1497" s="375">
        <v>484551.15678999998</v>
      </c>
      <c r="K1497" s="375">
        <v>-39889.565490000001</v>
      </c>
      <c r="L1497" s="375">
        <v>-45963.879229999999</v>
      </c>
      <c r="M1497" s="375">
        <v>135845.06041999999</v>
      </c>
      <c r="N1497" s="372">
        <v>0.67100000000000004</v>
      </c>
      <c r="O1497" s="704">
        <v>360.67852742689058</v>
      </c>
      <c r="P1497" s="375" t="s">
        <v>619</v>
      </c>
      <c r="Q1497" s="375" t="s">
        <v>619</v>
      </c>
      <c r="R1497" s="696">
        <v>20050712</v>
      </c>
      <c r="S1497" s="375" t="s">
        <v>9956</v>
      </c>
      <c r="T1497" s="697" t="s">
        <v>768</v>
      </c>
      <c r="U1497" s="372" t="s">
        <v>9957</v>
      </c>
      <c r="V1497" s="722" t="s">
        <v>770</v>
      </c>
      <c r="W1497" s="722">
        <v>0.47</v>
      </c>
      <c r="X1497" s="722">
        <v>0.15</v>
      </c>
      <c r="Y1497" s="722" t="s">
        <v>770</v>
      </c>
      <c r="Z1497" s="382" t="s">
        <v>924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9958</v>
      </c>
      <c r="B1498" s="373" t="s">
        <v>9959</v>
      </c>
      <c r="C1498" s="372" t="s">
        <v>9960</v>
      </c>
      <c r="D1498" s="374">
        <v>1943110012186</v>
      </c>
      <c r="E1498" s="372" t="s">
        <v>9961</v>
      </c>
      <c r="F1498" s="375" t="s">
        <v>5616</v>
      </c>
      <c r="G1498" s="375" t="s">
        <v>5616</v>
      </c>
      <c r="H1498" s="375" t="s">
        <v>858</v>
      </c>
      <c r="I1498" s="375" t="s">
        <v>859</v>
      </c>
      <c r="J1498" s="375">
        <v>101131.22334</v>
      </c>
      <c r="K1498" s="375">
        <v>1716.2456199999999</v>
      </c>
      <c r="L1498" s="375">
        <v>-11143.82048</v>
      </c>
      <c r="M1498" s="375">
        <v>80044.854550000004</v>
      </c>
      <c r="N1498" s="372">
        <v>0.54700000000000004</v>
      </c>
      <c r="O1498" s="704">
        <v>79.490499937496011</v>
      </c>
      <c r="P1498" s="375" t="s">
        <v>619</v>
      </c>
      <c r="Q1498" s="372" t="s">
        <v>619</v>
      </c>
      <c r="R1498" s="696">
        <v>20071029</v>
      </c>
      <c r="S1498" s="372" t="s">
        <v>9962</v>
      </c>
      <c r="T1498" s="697" t="s">
        <v>768</v>
      </c>
      <c r="U1498" s="372" t="s">
        <v>9963</v>
      </c>
      <c r="V1498" s="722">
        <v>0</v>
      </c>
      <c r="W1498" s="722">
        <v>0</v>
      </c>
      <c r="X1498" s="722">
        <v>0</v>
      </c>
      <c r="Y1498" s="722">
        <v>0</v>
      </c>
      <c r="Z1498" s="382" t="s">
        <v>924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9964</v>
      </c>
      <c r="B1499" s="373" t="s">
        <v>9965</v>
      </c>
      <c r="C1499" s="372" t="s">
        <v>9966</v>
      </c>
      <c r="D1499" s="374">
        <v>1501110048707</v>
      </c>
      <c r="E1499" s="372" t="s">
        <v>9967</v>
      </c>
      <c r="F1499" s="375" t="s">
        <v>1113</v>
      </c>
      <c r="G1499" s="375" t="s">
        <v>1333</v>
      </c>
      <c r="H1499" s="375" t="s">
        <v>1334</v>
      </c>
      <c r="I1499" s="375" t="s">
        <v>859</v>
      </c>
      <c r="J1499" s="375">
        <v>38444.584779999997</v>
      </c>
      <c r="K1499" s="375">
        <v>-9840.8008599999994</v>
      </c>
      <c r="L1499" s="375">
        <v>-11526.93353</v>
      </c>
      <c r="M1499" s="375">
        <v>38626.895349999999</v>
      </c>
      <c r="N1499" s="372">
        <v>0.82099999999999995</v>
      </c>
      <c r="O1499" s="704">
        <v>96.445246373980865</v>
      </c>
      <c r="P1499" s="375" t="s">
        <v>619</v>
      </c>
      <c r="Q1499" s="372" t="s">
        <v>619</v>
      </c>
      <c r="R1499" s="696">
        <v>20070921</v>
      </c>
      <c r="S1499" s="372" t="s">
        <v>9968</v>
      </c>
      <c r="T1499" s="697" t="s">
        <v>768</v>
      </c>
      <c r="U1499" s="372" t="s">
        <v>9969</v>
      </c>
      <c r="V1499" s="722" t="s">
        <v>770</v>
      </c>
      <c r="W1499" s="722">
        <v>1.39</v>
      </c>
      <c r="X1499" s="722">
        <v>1.72</v>
      </c>
      <c r="Y1499" s="722" t="s">
        <v>770</v>
      </c>
      <c r="Z1499" s="382" t="s">
        <v>924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9970</v>
      </c>
      <c r="B1500" s="373" t="s">
        <v>9971</v>
      </c>
      <c r="C1500" s="372" t="s">
        <v>9972</v>
      </c>
      <c r="D1500" s="374">
        <v>1101111531460</v>
      </c>
      <c r="E1500" s="372" t="s">
        <v>9973</v>
      </c>
      <c r="F1500" s="375" t="s">
        <v>2029</v>
      </c>
      <c r="G1500" s="375" t="s">
        <v>2030</v>
      </c>
      <c r="H1500" s="375" t="s">
        <v>1528</v>
      </c>
      <c r="I1500" s="375" t="s">
        <v>859</v>
      </c>
      <c r="J1500" s="375">
        <v>59418.088909999999</v>
      </c>
      <c r="K1500" s="375">
        <v>630.87444000000005</v>
      </c>
      <c r="L1500" s="375">
        <v>3756.4761800000001</v>
      </c>
      <c r="M1500" s="375">
        <v>82602.217699999994</v>
      </c>
      <c r="N1500" s="372">
        <v>0.65300000000000002</v>
      </c>
      <c r="O1500" s="704">
        <v>26.775231939323252</v>
      </c>
      <c r="P1500" s="375" t="s">
        <v>619</v>
      </c>
      <c r="Q1500" s="375" t="s">
        <v>619</v>
      </c>
      <c r="R1500" s="696">
        <v>20060707</v>
      </c>
      <c r="S1500" s="375" t="s">
        <v>9974</v>
      </c>
      <c r="T1500" s="697">
        <v>0.20900000000000002</v>
      </c>
      <c r="U1500" s="372" t="s">
        <v>9975</v>
      </c>
      <c r="V1500" s="722">
        <v>34.549999999999997</v>
      </c>
      <c r="W1500" s="722">
        <v>0.71</v>
      </c>
      <c r="X1500" s="722">
        <v>1.02</v>
      </c>
      <c r="Y1500" s="722">
        <v>11.53</v>
      </c>
      <c r="Z1500" s="382" t="s">
        <v>924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9976</v>
      </c>
      <c r="B1501" s="373" t="s">
        <v>9977</v>
      </c>
      <c r="C1501" s="372" t="s">
        <v>9978</v>
      </c>
      <c r="D1501" s="374">
        <v>1345110076627</v>
      </c>
      <c r="E1501" s="372" t="s">
        <v>9979</v>
      </c>
      <c r="F1501" s="372" t="s">
        <v>1052</v>
      </c>
      <c r="G1501" s="375" t="s">
        <v>16101</v>
      </c>
      <c r="H1501" s="375" t="s">
        <v>858</v>
      </c>
      <c r="I1501" s="375" t="s">
        <v>859</v>
      </c>
      <c r="J1501" s="375">
        <v>99716.290510000006</v>
      </c>
      <c r="K1501" s="375">
        <v>1316.0783699999999</v>
      </c>
      <c r="L1501" s="375">
        <v>111.20437</v>
      </c>
      <c r="M1501" s="375">
        <v>41355.672409999999</v>
      </c>
      <c r="N1501" s="372">
        <v>0.79700000000000004</v>
      </c>
      <c r="O1501" s="704">
        <v>29.137602417466457</v>
      </c>
      <c r="P1501" s="375" t="s">
        <v>619</v>
      </c>
      <c r="Q1501" s="375" t="s">
        <v>619</v>
      </c>
      <c r="R1501" s="696">
        <v>20141217</v>
      </c>
      <c r="S1501" s="372" t="s">
        <v>9980</v>
      </c>
      <c r="T1501" s="697">
        <v>9.9000000000000005E-2</v>
      </c>
      <c r="U1501" s="372" t="s">
        <v>9981</v>
      </c>
      <c r="V1501" s="722">
        <v>22.81</v>
      </c>
      <c r="W1501" s="722">
        <v>2.2599999999999998</v>
      </c>
      <c r="X1501" s="722">
        <v>0.89</v>
      </c>
      <c r="Y1501" s="722">
        <v>590.84</v>
      </c>
      <c r="Z1501" s="382" t="s">
        <v>924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9982</v>
      </c>
      <c r="B1502" s="373" t="s">
        <v>9983</v>
      </c>
      <c r="C1502" s="372" t="s">
        <v>9984</v>
      </c>
      <c r="D1502" s="374">
        <v>1942110014431</v>
      </c>
      <c r="E1502" s="372" t="s">
        <v>9985</v>
      </c>
      <c r="F1502" s="372" t="s">
        <v>877</v>
      </c>
      <c r="G1502" s="375" t="s">
        <v>877</v>
      </c>
      <c r="H1502" s="375" t="s">
        <v>789</v>
      </c>
      <c r="I1502" s="375" t="s">
        <v>751</v>
      </c>
      <c r="J1502" s="375">
        <v>440401.80635999999</v>
      </c>
      <c r="K1502" s="375">
        <v>1262.73866</v>
      </c>
      <c r="L1502" s="375">
        <v>-18860.823639999999</v>
      </c>
      <c r="M1502" s="375">
        <v>82383.803740000003</v>
      </c>
      <c r="N1502" s="372">
        <v>0.67500000000000004</v>
      </c>
      <c r="O1502" s="704">
        <v>338.51236205698092</v>
      </c>
      <c r="P1502" s="375" t="s">
        <v>619</v>
      </c>
      <c r="Q1502" s="372" t="s">
        <v>619</v>
      </c>
      <c r="R1502" s="696">
        <v>20191125</v>
      </c>
      <c r="S1502" s="372" t="s">
        <v>9986</v>
      </c>
      <c r="T1502" s="697" t="s">
        <v>768</v>
      </c>
      <c r="U1502" s="372" t="s">
        <v>9987</v>
      </c>
      <c r="V1502" s="722">
        <v>12.08</v>
      </c>
      <c r="W1502" s="722">
        <v>0.63</v>
      </c>
      <c r="X1502" s="722">
        <v>0.12</v>
      </c>
      <c r="Y1502" s="722" t="s">
        <v>770</v>
      </c>
      <c r="Z1502" s="382" t="s">
        <v>924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9988</v>
      </c>
      <c r="B1503" s="373" t="s">
        <v>9989</v>
      </c>
      <c r="C1503" s="372" t="s">
        <v>9990</v>
      </c>
      <c r="D1503" s="374">
        <v>1845110022448</v>
      </c>
      <c r="E1503" s="372" t="s">
        <v>9991</v>
      </c>
      <c r="F1503" s="375" t="s">
        <v>1273</v>
      </c>
      <c r="G1503" s="375" t="s">
        <v>1449</v>
      </c>
      <c r="H1503" s="375" t="s">
        <v>858</v>
      </c>
      <c r="I1503" s="375" t="s">
        <v>859</v>
      </c>
      <c r="J1503" s="375">
        <v>62460.721120000002</v>
      </c>
      <c r="K1503" s="375">
        <v>4884.1354300000003</v>
      </c>
      <c r="L1503" s="375">
        <v>5521.6300300000003</v>
      </c>
      <c r="M1503" s="375">
        <v>59971.803979999997</v>
      </c>
      <c r="N1503" s="372">
        <v>1.5980000000000001</v>
      </c>
      <c r="O1503" s="704">
        <v>1.3815893298740096</v>
      </c>
      <c r="P1503" s="375" t="s">
        <v>619</v>
      </c>
      <c r="Q1503" s="372" t="s">
        <v>619</v>
      </c>
      <c r="R1503" s="696">
        <v>20080923</v>
      </c>
      <c r="S1503" s="372" t="s">
        <v>9992</v>
      </c>
      <c r="T1503" s="697">
        <v>0.20900000000000002</v>
      </c>
      <c r="U1503" s="372" t="s">
        <v>9993</v>
      </c>
      <c r="V1503" s="722">
        <v>7.18</v>
      </c>
      <c r="W1503" s="722">
        <v>0.81</v>
      </c>
      <c r="X1503" s="722">
        <v>0.78</v>
      </c>
      <c r="Y1503" s="722">
        <v>9.14</v>
      </c>
      <c r="Z1503" s="382" t="s">
        <v>924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9994</v>
      </c>
      <c r="B1504" s="373" t="s">
        <v>9995</v>
      </c>
      <c r="C1504" s="372" t="s">
        <v>9996</v>
      </c>
      <c r="D1504" s="374">
        <v>1501110041925</v>
      </c>
      <c r="E1504" s="372" t="s">
        <v>9997</v>
      </c>
      <c r="F1504" s="372" t="s">
        <v>1052</v>
      </c>
      <c r="G1504" s="375" t="s">
        <v>16101</v>
      </c>
      <c r="H1504" s="375" t="s">
        <v>858</v>
      </c>
      <c r="I1504" s="375" t="s">
        <v>859</v>
      </c>
      <c r="J1504" s="375">
        <v>92300.215320000003</v>
      </c>
      <c r="K1504" s="375">
        <v>11976.479600000001</v>
      </c>
      <c r="L1504" s="375">
        <v>11170.3514</v>
      </c>
      <c r="M1504" s="375">
        <v>85967.428339999999</v>
      </c>
      <c r="N1504" s="372">
        <v>1.048</v>
      </c>
      <c r="O1504" s="704">
        <v>60.358297256902659</v>
      </c>
      <c r="P1504" s="375" t="s">
        <v>619</v>
      </c>
      <c r="Q1504" s="372" t="s">
        <v>619</v>
      </c>
      <c r="R1504" s="696">
        <v>20080415</v>
      </c>
      <c r="S1504" s="372" t="s">
        <v>9998</v>
      </c>
      <c r="T1504" s="697">
        <v>0.20900000000000002</v>
      </c>
      <c r="U1504" s="372" t="s">
        <v>9999</v>
      </c>
      <c r="V1504" s="722">
        <v>5.85</v>
      </c>
      <c r="W1504" s="722">
        <v>1.06</v>
      </c>
      <c r="X1504" s="722">
        <v>0.99</v>
      </c>
      <c r="Y1504" s="722">
        <v>5.98</v>
      </c>
      <c r="Z1504" s="382" t="s">
        <v>924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10000</v>
      </c>
      <c r="B1505" s="373" t="s">
        <v>10001</v>
      </c>
      <c r="C1505" s="372" t="s">
        <v>16015</v>
      </c>
      <c r="D1505" s="374">
        <v>1760110017077</v>
      </c>
      <c r="E1505" s="372" t="s">
        <v>16016</v>
      </c>
      <c r="F1505" s="375" t="s">
        <v>1174</v>
      </c>
      <c r="G1505" s="375" t="s">
        <v>1175</v>
      </c>
      <c r="H1505" s="375" t="s">
        <v>858</v>
      </c>
      <c r="I1505" s="375" t="s">
        <v>859</v>
      </c>
      <c r="J1505" s="375">
        <v>14077.56263</v>
      </c>
      <c r="K1505" s="375">
        <v>1918.39318</v>
      </c>
      <c r="L1505" s="375">
        <v>1692.41687</v>
      </c>
      <c r="M1505" s="375">
        <v>162602.72628</v>
      </c>
      <c r="N1505" s="372">
        <v>1.0009999999999999</v>
      </c>
      <c r="O1505" s="704">
        <v>4.3967974937788312E-2</v>
      </c>
      <c r="P1505" s="375" t="s">
        <v>619</v>
      </c>
      <c r="Q1505" s="372" t="s">
        <v>619</v>
      </c>
      <c r="R1505" s="696">
        <v>20021226</v>
      </c>
      <c r="S1505" s="375" t="s">
        <v>10002</v>
      </c>
      <c r="T1505" s="697">
        <v>0.20900000000000002</v>
      </c>
      <c r="U1505" s="372" t="s">
        <v>10003</v>
      </c>
      <c r="V1505" s="722">
        <v>17.64</v>
      </c>
      <c r="W1505" s="722">
        <v>0.37</v>
      </c>
      <c r="X1505" s="722">
        <v>4.66</v>
      </c>
      <c r="Y1505" s="722">
        <v>51.37</v>
      </c>
      <c r="Z1505" s="382" t="s">
        <v>924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10004</v>
      </c>
      <c r="B1506" s="373" t="s">
        <v>10005</v>
      </c>
      <c r="C1506" s="372" t="s">
        <v>10006</v>
      </c>
      <c r="D1506" s="374">
        <v>1313110026091</v>
      </c>
      <c r="E1506" s="372" t="s">
        <v>10007</v>
      </c>
      <c r="F1506" s="375" t="s">
        <v>3008</v>
      </c>
      <c r="G1506" s="375" t="s">
        <v>3008</v>
      </c>
      <c r="H1506" s="375" t="s">
        <v>1334</v>
      </c>
      <c r="I1506" s="375" t="s">
        <v>859</v>
      </c>
      <c r="J1506" s="375">
        <v>235346.54779000001</v>
      </c>
      <c r="K1506" s="375">
        <v>-2725.26917</v>
      </c>
      <c r="L1506" s="375">
        <v>-6421.2183999999997</v>
      </c>
      <c r="M1506" s="375">
        <v>134402.27742</v>
      </c>
      <c r="N1506" s="372">
        <v>0.61099999999999999</v>
      </c>
      <c r="O1506" s="704">
        <v>57.967918172234015</v>
      </c>
      <c r="P1506" s="375" t="s">
        <v>619</v>
      </c>
      <c r="Q1506" s="372" t="s">
        <v>619</v>
      </c>
      <c r="R1506" s="696">
        <v>20030115</v>
      </c>
      <c r="S1506" s="372" t="s">
        <v>10008</v>
      </c>
      <c r="T1506" s="697" t="s">
        <v>768</v>
      </c>
      <c r="U1506" s="372" t="s">
        <v>15909</v>
      </c>
      <c r="V1506" s="722">
        <v>22.38</v>
      </c>
      <c r="W1506" s="722">
        <v>0.71</v>
      </c>
      <c r="X1506" s="722">
        <v>0.4</v>
      </c>
      <c r="Y1506" s="722" t="s">
        <v>770</v>
      </c>
      <c r="Z1506" s="382" t="s">
        <v>924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10009</v>
      </c>
      <c r="B1507" s="373" t="s">
        <v>10010</v>
      </c>
      <c r="C1507" s="372" t="s">
        <v>10011</v>
      </c>
      <c r="D1507" s="374">
        <v>1344110020543</v>
      </c>
      <c r="E1507" s="372" t="s">
        <v>10012</v>
      </c>
      <c r="F1507" s="375" t="s">
        <v>766</v>
      </c>
      <c r="G1507" s="375" t="s">
        <v>766</v>
      </c>
      <c r="H1507" s="375" t="s">
        <v>858</v>
      </c>
      <c r="I1507" s="375" t="s">
        <v>859</v>
      </c>
      <c r="J1507" s="375">
        <v>78445.079750000004</v>
      </c>
      <c r="K1507" s="375">
        <v>-22295.6783</v>
      </c>
      <c r="L1507" s="375">
        <v>-31788.788759999999</v>
      </c>
      <c r="M1507" s="375">
        <v>73588.697830000005</v>
      </c>
      <c r="N1507" s="372">
        <v>1.075</v>
      </c>
      <c r="O1507" s="704">
        <v>44.701920864036921</v>
      </c>
      <c r="P1507" s="375" t="s">
        <v>619</v>
      </c>
      <c r="Q1507" s="372" t="s">
        <v>619</v>
      </c>
      <c r="R1507" s="696">
        <v>20130307</v>
      </c>
      <c r="S1507" s="372" t="s">
        <v>10013</v>
      </c>
      <c r="T1507" s="697" t="s">
        <v>768</v>
      </c>
      <c r="U1507" s="372" t="s">
        <v>10014</v>
      </c>
      <c r="V1507" s="722">
        <v>0</v>
      </c>
      <c r="W1507" s="722">
        <v>0</v>
      </c>
      <c r="X1507" s="722">
        <v>0</v>
      </c>
      <c r="Y1507" s="722">
        <v>0</v>
      </c>
      <c r="Z1507" s="382" t="s">
        <v>924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10015</v>
      </c>
      <c r="B1508" s="373" t="s">
        <v>10016</v>
      </c>
      <c r="C1508" s="372" t="s">
        <v>10017</v>
      </c>
      <c r="D1508" s="374">
        <v>1801110248369</v>
      </c>
      <c r="E1508" s="372" t="s">
        <v>10018</v>
      </c>
      <c r="F1508" s="375" t="s">
        <v>1653</v>
      </c>
      <c r="G1508" s="375" t="s">
        <v>1653</v>
      </c>
      <c r="H1508" s="375" t="s">
        <v>858</v>
      </c>
      <c r="I1508" s="375" t="s">
        <v>859</v>
      </c>
      <c r="J1508" s="375">
        <v>25876.168669999999</v>
      </c>
      <c r="K1508" s="375">
        <v>-2086.7962000000002</v>
      </c>
      <c r="L1508" s="375">
        <v>-1148.46804</v>
      </c>
      <c r="M1508" s="375">
        <v>42176.567869999999</v>
      </c>
      <c r="N1508" s="372">
        <v>1.2130000000000001</v>
      </c>
      <c r="O1508" s="704">
        <v>1.3791924990742537</v>
      </c>
      <c r="P1508" s="375" t="s">
        <v>619</v>
      </c>
      <c r="Q1508" s="372" t="s">
        <v>619</v>
      </c>
      <c r="R1508" s="696">
        <v>20130701</v>
      </c>
      <c r="S1508" s="372" t="s">
        <v>10019</v>
      </c>
      <c r="T1508" s="697" t="s">
        <v>768</v>
      </c>
      <c r="U1508" s="372" t="s">
        <v>10020</v>
      </c>
      <c r="V1508" s="722">
        <v>0</v>
      </c>
      <c r="W1508" s="722">
        <v>0</v>
      </c>
      <c r="X1508" s="722">
        <v>0</v>
      </c>
      <c r="Y1508" s="722">
        <v>0</v>
      </c>
      <c r="Z1508" s="382" t="s">
        <v>924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10021</v>
      </c>
      <c r="B1509" s="373" t="s">
        <v>10022</v>
      </c>
      <c r="C1509" s="372" t="s">
        <v>10023</v>
      </c>
      <c r="D1509" s="374">
        <v>1101110346745</v>
      </c>
      <c r="E1509" s="372" t="s">
        <v>10024</v>
      </c>
      <c r="F1509" s="372" t="s">
        <v>2622</v>
      </c>
      <c r="G1509" s="375" t="s">
        <v>2623</v>
      </c>
      <c r="H1509" s="375" t="s">
        <v>814</v>
      </c>
      <c r="I1509" s="375" t="s">
        <v>751</v>
      </c>
      <c r="J1509" s="375">
        <v>1005057.37066</v>
      </c>
      <c r="K1509" s="375">
        <v>27963.647000000001</v>
      </c>
      <c r="L1509" s="375">
        <v>-31124.159039999999</v>
      </c>
      <c r="M1509" s="375">
        <v>203460.10089</v>
      </c>
      <c r="N1509" s="372">
        <v>1.0680000000000001</v>
      </c>
      <c r="O1509" s="704">
        <v>651.86682843516644</v>
      </c>
      <c r="P1509" s="375" t="s">
        <v>619</v>
      </c>
      <c r="Q1509" s="375" t="s">
        <v>619</v>
      </c>
      <c r="R1509" s="696">
        <v>19941105</v>
      </c>
      <c r="S1509" s="375" t="s">
        <v>10025</v>
      </c>
      <c r="T1509" s="697" t="s">
        <v>768</v>
      </c>
      <c r="U1509" s="375" t="s">
        <v>10026</v>
      </c>
      <c r="V1509" s="722">
        <v>5.82</v>
      </c>
      <c r="W1509" s="722">
        <v>0.92</v>
      </c>
      <c r="X1509" s="722">
        <v>0.08</v>
      </c>
      <c r="Y1509" s="722" t="s">
        <v>770</v>
      </c>
      <c r="Z1509" s="382" t="s">
        <v>924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10027</v>
      </c>
      <c r="B1510" s="373" t="s">
        <v>10028</v>
      </c>
      <c r="C1510" s="372" t="s">
        <v>10029</v>
      </c>
      <c r="D1510" s="374">
        <v>1101111373755</v>
      </c>
      <c r="E1510" s="372" t="s">
        <v>10030</v>
      </c>
      <c r="F1510" s="375" t="s">
        <v>1182</v>
      </c>
      <c r="G1510" s="375" t="s">
        <v>3112</v>
      </c>
      <c r="H1510" s="375" t="s">
        <v>858</v>
      </c>
      <c r="I1510" s="375" t="s">
        <v>859</v>
      </c>
      <c r="J1510" s="375">
        <v>262972.82902</v>
      </c>
      <c r="K1510" s="375">
        <v>12840.06049</v>
      </c>
      <c r="L1510" s="375">
        <v>8720.4600300000002</v>
      </c>
      <c r="M1510" s="375">
        <v>341843.19935000001</v>
      </c>
      <c r="N1510" s="372">
        <v>0.78400000000000003</v>
      </c>
      <c r="O1510" s="704">
        <v>56.413054505529047</v>
      </c>
      <c r="P1510" s="375" t="s">
        <v>619</v>
      </c>
      <c r="Q1510" s="372" t="s">
        <v>619</v>
      </c>
      <c r="R1510" s="696">
        <v>19991208</v>
      </c>
      <c r="S1510" s="372" t="s">
        <v>10031</v>
      </c>
      <c r="T1510" s="697">
        <v>0.20900000000000002</v>
      </c>
      <c r="U1510" s="372" t="s">
        <v>10032</v>
      </c>
      <c r="V1510" s="722">
        <v>16.940000000000001</v>
      </c>
      <c r="W1510" s="722">
        <v>0.67</v>
      </c>
      <c r="X1510" s="722">
        <v>0.31</v>
      </c>
      <c r="Y1510" s="722" t="s">
        <v>770</v>
      </c>
      <c r="Z1510" s="382" t="s">
        <v>924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10033</v>
      </c>
      <c r="B1511" s="373" t="s">
        <v>10034</v>
      </c>
      <c r="C1511" s="372" t="s">
        <v>10035</v>
      </c>
      <c r="D1511" s="374">
        <v>1615110037709</v>
      </c>
      <c r="E1511" s="372" t="s">
        <v>10036</v>
      </c>
      <c r="F1511" s="372" t="s">
        <v>766</v>
      </c>
      <c r="G1511" s="375" t="s">
        <v>766</v>
      </c>
      <c r="H1511" s="375" t="s">
        <v>858</v>
      </c>
      <c r="I1511" s="375" t="s">
        <v>859</v>
      </c>
      <c r="J1511" s="375">
        <v>20587.09086</v>
      </c>
      <c r="K1511" s="375">
        <v>-1253.47399</v>
      </c>
      <c r="L1511" s="375">
        <v>672.19471999999996</v>
      </c>
      <c r="M1511" s="375">
        <v>83217.769190000006</v>
      </c>
      <c r="N1511" s="372">
        <v>0.88400000000000001</v>
      </c>
      <c r="O1511" s="704">
        <v>0.63563605348078045</v>
      </c>
      <c r="P1511" s="375" t="s">
        <v>619</v>
      </c>
      <c r="Q1511" s="372" t="s">
        <v>619</v>
      </c>
      <c r="R1511" s="696">
        <v>20061124</v>
      </c>
      <c r="S1511" s="372" t="s">
        <v>10037</v>
      </c>
      <c r="T1511" s="697">
        <v>0.20900000000000002</v>
      </c>
      <c r="U1511" s="372" t="s">
        <v>10038</v>
      </c>
      <c r="V1511" s="722">
        <v>37.36</v>
      </c>
      <c r="W1511" s="722">
        <v>0.8</v>
      </c>
      <c r="X1511" s="722">
        <v>3.35</v>
      </c>
      <c r="Y1511" s="722">
        <v>73.599999999999994</v>
      </c>
      <c r="Z1511" s="382" t="s">
        <v>924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10039</v>
      </c>
      <c r="B1512" s="373" t="s">
        <v>10040</v>
      </c>
      <c r="C1512" s="372" t="s">
        <v>10041</v>
      </c>
      <c r="D1512" s="374">
        <v>1301110010841</v>
      </c>
      <c r="E1512" s="372" t="s">
        <v>10042</v>
      </c>
      <c r="F1512" s="375" t="s">
        <v>10043</v>
      </c>
      <c r="G1512" s="375" t="s">
        <v>10044</v>
      </c>
      <c r="H1512" s="375" t="s">
        <v>858</v>
      </c>
      <c r="I1512" s="375" t="s">
        <v>859</v>
      </c>
      <c r="J1512" s="375">
        <v>802398.97797999997</v>
      </c>
      <c r="K1512" s="375">
        <v>42511.065690000003</v>
      </c>
      <c r="L1512" s="375">
        <v>28978.702300000001</v>
      </c>
      <c r="M1512" s="375">
        <v>251938.01070000001</v>
      </c>
      <c r="N1512" s="372">
        <v>0.81799999999999995</v>
      </c>
      <c r="O1512" s="704">
        <v>386.74004650368818</v>
      </c>
      <c r="P1512" s="375" t="s">
        <v>619</v>
      </c>
      <c r="Q1512" s="372" t="s">
        <v>619</v>
      </c>
      <c r="R1512" s="696">
        <v>19941222</v>
      </c>
      <c r="S1512" s="372" t="s">
        <v>10045</v>
      </c>
      <c r="T1512" s="697">
        <v>0.23100000000000001</v>
      </c>
      <c r="U1512" s="372" t="s">
        <v>15910</v>
      </c>
      <c r="V1512" s="722">
        <v>5.95</v>
      </c>
      <c r="W1512" s="722">
        <v>0.38</v>
      </c>
      <c r="X1512" s="722">
        <v>0.11</v>
      </c>
      <c r="Y1512" s="722">
        <v>5.27</v>
      </c>
      <c r="Z1512" s="382">
        <v>3.4694725819676142E-2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7980</v>
      </c>
      <c r="AF1512" s="372">
        <v>8820</v>
      </c>
      <c r="AG1512" s="372">
        <v>9280</v>
      </c>
      <c r="AH1512" s="372">
        <v>0</v>
      </c>
    </row>
    <row r="1513" spans="1:34">
      <c r="A1513" s="372" t="s">
        <v>10046</v>
      </c>
      <c r="B1513" s="373" t="s">
        <v>10047</v>
      </c>
      <c r="C1513" s="372" t="s">
        <v>10048</v>
      </c>
      <c r="D1513" s="374">
        <v>1601110114126</v>
      </c>
      <c r="E1513" s="372" t="s">
        <v>10049</v>
      </c>
      <c r="F1513" s="375" t="s">
        <v>16098</v>
      </c>
      <c r="G1513" s="375" t="s">
        <v>16098</v>
      </c>
      <c r="H1513" s="375" t="s">
        <v>858</v>
      </c>
      <c r="I1513" s="375" t="s">
        <v>859</v>
      </c>
      <c r="J1513" s="375">
        <v>6926.8416399999996</v>
      </c>
      <c r="K1513" s="375">
        <v>-1679.41021</v>
      </c>
      <c r="L1513" s="375">
        <v>3135.7863699999998</v>
      </c>
      <c r="M1513" s="375">
        <v>50979.70609</v>
      </c>
      <c r="N1513" s="372">
        <v>1.294</v>
      </c>
      <c r="O1513" s="704">
        <v>1.1747227209589095</v>
      </c>
      <c r="P1513" s="375" t="s">
        <v>619</v>
      </c>
      <c r="Q1513" s="375" t="s">
        <v>619</v>
      </c>
      <c r="R1513" s="696">
        <v>20141106</v>
      </c>
      <c r="S1513" s="375" t="s">
        <v>10050</v>
      </c>
      <c r="T1513" s="697">
        <v>0.20900000000000002</v>
      </c>
      <c r="U1513" s="372" t="s">
        <v>10051</v>
      </c>
      <c r="V1513" s="722" t="s">
        <v>770</v>
      </c>
      <c r="W1513" s="722">
        <v>2.34</v>
      </c>
      <c r="X1513" s="722">
        <v>17.95</v>
      </c>
      <c r="Y1513" s="722">
        <v>34.04</v>
      </c>
      <c r="Z1513" s="382" t="s">
        <v>924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10052</v>
      </c>
      <c r="B1514" s="373" t="s">
        <v>10053</v>
      </c>
      <c r="C1514" s="372" t="s">
        <v>10054</v>
      </c>
      <c r="D1514" s="374">
        <v>1348110250671</v>
      </c>
      <c r="E1514" s="372" t="s">
        <v>10055</v>
      </c>
      <c r="F1514" s="375" t="s">
        <v>1272</v>
      </c>
      <c r="G1514" s="375" t="s">
        <v>1272</v>
      </c>
      <c r="H1514" s="375" t="s">
        <v>858</v>
      </c>
      <c r="I1514" s="375" t="s">
        <v>859</v>
      </c>
      <c r="J1514" s="375">
        <v>65525.591760000003</v>
      </c>
      <c r="K1514" s="375">
        <v>-600.97379999999998</v>
      </c>
      <c r="L1514" s="375">
        <v>-3072.24791</v>
      </c>
      <c r="M1514" s="375">
        <v>53191.687960000003</v>
      </c>
      <c r="N1514" s="372">
        <v>0.68200000000000005</v>
      </c>
      <c r="O1514" s="704">
        <v>87.232296247059594</v>
      </c>
      <c r="P1514" s="375" t="s">
        <v>619</v>
      </c>
      <c r="Q1514" s="372" t="s">
        <v>619</v>
      </c>
      <c r="R1514" s="696">
        <v>20220729</v>
      </c>
      <c r="S1514" s="372" t="s">
        <v>10056</v>
      </c>
      <c r="T1514" s="697" t="s">
        <v>768</v>
      </c>
      <c r="U1514" s="372" t="s">
        <v>10057</v>
      </c>
      <c r="V1514" s="722">
        <v>21.49</v>
      </c>
      <c r="W1514" s="722">
        <v>1.29</v>
      </c>
      <c r="X1514" s="722">
        <v>1.0900000000000001</v>
      </c>
      <c r="Y1514" s="722" t="s">
        <v>770</v>
      </c>
      <c r="Z1514" s="382" t="s">
        <v>924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704</v>
      </c>
      <c r="AF1514" s="372">
        <v>967</v>
      </c>
      <c r="AG1514" s="372">
        <v>0</v>
      </c>
      <c r="AH1514" s="372">
        <v>0</v>
      </c>
    </row>
    <row r="1515" spans="1:34">
      <c r="A1515" s="372" t="s">
        <v>10058</v>
      </c>
      <c r="B1515" s="373" t="s">
        <v>10059</v>
      </c>
      <c r="C1515" s="372" t="s">
        <v>16017</v>
      </c>
      <c r="D1515" s="374">
        <v>1301110010031</v>
      </c>
      <c r="E1515" s="372" t="s">
        <v>16017</v>
      </c>
      <c r="F1515" s="375" t="s">
        <v>10060</v>
      </c>
      <c r="G1515" s="375" t="s">
        <v>10060</v>
      </c>
      <c r="H1515" s="375" t="s">
        <v>1536</v>
      </c>
      <c r="I1515" s="375" t="s">
        <v>751</v>
      </c>
      <c r="J1515" s="375">
        <v>1008000.24449</v>
      </c>
      <c r="K1515" s="375">
        <v>46141.835740000002</v>
      </c>
      <c r="L1515" s="375">
        <v>26883.918119999998</v>
      </c>
      <c r="M1515" s="375">
        <v>235288.05405999999</v>
      </c>
      <c r="N1515" s="372">
        <v>0.86899999999999999</v>
      </c>
      <c r="O1515" s="704">
        <v>540.28822761467404</v>
      </c>
      <c r="P1515" s="375" t="s">
        <v>619</v>
      </c>
      <c r="Q1515" s="375" t="s">
        <v>619</v>
      </c>
      <c r="R1515" s="696">
        <v>19941227</v>
      </c>
      <c r="S1515" s="375" t="s">
        <v>10061</v>
      </c>
      <c r="T1515" s="697">
        <v>0.23100000000000001</v>
      </c>
      <c r="U1515" s="372" t="s">
        <v>10062</v>
      </c>
      <c r="V1515" s="722">
        <v>6</v>
      </c>
      <c r="W1515" s="722">
        <v>0.3</v>
      </c>
      <c r="X1515" s="722">
        <v>7.0000000000000007E-2</v>
      </c>
      <c r="Y1515" s="722">
        <v>3.58</v>
      </c>
      <c r="Z1515" s="382" t="s">
        <v>924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10063</v>
      </c>
      <c r="B1516" s="373" t="s">
        <v>10064</v>
      </c>
      <c r="C1516" s="372" t="s">
        <v>10065</v>
      </c>
      <c r="D1516" s="374">
        <v>1801110024496</v>
      </c>
      <c r="E1516" s="372" t="s">
        <v>10066</v>
      </c>
      <c r="F1516" s="375" t="s">
        <v>1860</v>
      </c>
      <c r="G1516" s="375" t="s">
        <v>1861</v>
      </c>
      <c r="H1516" s="375" t="s">
        <v>858</v>
      </c>
      <c r="I1516" s="375" t="s">
        <v>859</v>
      </c>
      <c r="J1516" s="375">
        <v>361248.66094999999</v>
      </c>
      <c r="K1516" s="375">
        <v>10644.428550000001</v>
      </c>
      <c r="L1516" s="375">
        <v>6067.8048900000003</v>
      </c>
      <c r="M1516" s="375">
        <v>123444.35033</v>
      </c>
      <c r="N1516" s="372">
        <v>0.874</v>
      </c>
      <c r="O1516" s="704">
        <v>91.449669157562482</v>
      </c>
      <c r="P1516" s="375" t="s">
        <v>619</v>
      </c>
      <c r="Q1516" s="372" t="s">
        <v>619</v>
      </c>
      <c r="R1516" s="696">
        <v>19931222</v>
      </c>
      <c r="S1516" s="372" t="s">
        <v>10067</v>
      </c>
      <c r="T1516" s="697">
        <v>0.20900000000000002</v>
      </c>
      <c r="U1516" s="372" t="s">
        <v>10068</v>
      </c>
      <c r="V1516" s="722">
        <v>5.76</v>
      </c>
      <c r="W1516" s="722">
        <v>0.69</v>
      </c>
      <c r="X1516" s="722">
        <v>0.24</v>
      </c>
      <c r="Y1516" s="722">
        <v>21.6</v>
      </c>
      <c r="Z1516" s="382" t="s">
        <v>924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10069</v>
      </c>
      <c r="B1517" s="373" t="s">
        <v>10070</v>
      </c>
      <c r="C1517" s="372" t="s">
        <v>10071</v>
      </c>
      <c r="D1517" s="374">
        <v>1101112139776</v>
      </c>
      <c r="E1517" s="372" t="s">
        <v>10072</v>
      </c>
      <c r="F1517" s="372" t="s">
        <v>1367</v>
      </c>
      <c r="G1517" s="375" t="s">
        <v>1367</v>
      </c>
      <c r="H1517" s="375" t="s">
        <v>858</v>
      </c>
      <c r="I1517" s="375" t="s">
        <v>859</v>
      </c>
      <c r="J1517" s="375">
        <v>71953.053480000002</v>
      </c>
      <c r="K1517" s="375">
        <v>754.07291999999995</v>
      </c>
      <c r="L1517" s="375">
        <v>1888.3651600000001</v>
      </c>
      <c r="M1517" s="375">
        <v>48903.671260000003</v>
      </c>
      <c r="N1517" s="372">
        <v>0.64900000000000002</v>
      </c>
      <c r="O1517" s="704">
        <v>2.605096410442818</v>
      </c>
      <c r="P1517" s="375" t="s">
        <v>619</v>
      </c>
      <c r="Q1517" s="375" t="s">
        <v>619</v>
      </c>
      <c r="R1517" s="696">
        <v>20210129</v>
      </c>
      <c r="S1517" s="375" t="s">
        <v>10073</v>
      </c>
      <c r="T1517" s="697">
        <v>0.20900000000000002</v>
      </c>
      <c r="U1517" s="372" t="s">
        <v>10074</v>
      </c>
      <c r="V1517" s="722">
        <v>38.93</v>
      </c>
      <c r="W1517" s="722">
        <v>2.06</v>
      </c>
      <c r="X1517" s="722">
        <v>1.4</v>
      </c>
      <c r="Y1517" s="722">
        <v>60.52</v>
      </c>
      <c r="Z1517" s="382" t="s">
        <v>924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10075</v>
      </c>
      <c r="B1518" s="373" t="s">
        <v>10076</v>
      </c>
      <c r="C1518" s="372" t="s">
        <v>10077</v>
      </c>
      <c r="D1518" s="374">
        <v>1101115059773</v>
      </c>
      <c r="E1518" s="372" t="s">
        <v>10078</v>
      </c>
      <c r="F1518" s="375" t="s">
        <v>3669</v>
      </c>
      <c r="G1518" s="375" t="s">
        <v>3669</v>
      </c>
      <c r="H1518" s="375" t="s">
        <v>858</v>
      </c>
      <c r="I1518" s="375" t="s">
        <v>859</v>
      </c>
      <c r="J1518" s="375">
        <v>55.5</v>
      </c>
      <c r="K1518" s="375">
        <v>-17147.636979999999</v>
      </c>
      <c r="L1518" s="375">
        <v>-15356.65408</v>
      </c>
      <c r="M1518" s="375">
        <v>61356.111149999997</v>
      </c>
      <c r="N1518" s="372">
        <v>0.81200000000000006</v>
      </c>
      <c r="O1518" s="704">
        <v>13.23533591871251</v>
      </c>
      <c r="P1518" s="375" t="s">
        <v>619</v>
      </c>
      <c r="Q1518" s="372" t="s">
        <v>619</v>
      </c>
      <c r="R1518" s="696">
        <v>20210825</v>
      </c>
      <c r="S1518" s="372" t="s">
        <v>10079</v>
      </c>
      <c r="T1518" s="697" t="s">
        <v>768</v>
      </c>
      <c r="U1518" s="372" t="s">
        <v>10080</v>
      </c>
      <c r="V1518" s="722" t="s">
        <v>770</v>
      </c>
      <c r="W1518" s="722">
        <v>1.1499999999999999</v>
      </c>
      <c r="X1518" s="722">
        <v>1264.58</v>
      </c>
      <c r="Y1518" s="722" t="s">
        <v>770</v>
      </c>
      <c r="Z1518" s="382" t="s">
        <v>770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10081</v>
      </c>
      <c r="B1519" s="373" t="s">
        <v>10082</v>
      </c>
      <c r="C1519" s="372" t="s">
        <v>10083</v>
      </c>
      <c r="D1519" s="374">
        <v>1101115300647</v>
      </c>
      <c r="E1519" s="372" t="s">
        <v>10084</v>
      </c>
      <c r="F1519" s="375" t="s">
        <v>1793</v>
      </c>
      <c r="G1519" s="375" t="s">
        <v>2794</v>
      </c>
      <c r="H1519" s="375" t="s">
        <v>858</v>
      </c>
      <c r="I1519" s="375" t="s">
        <v>859</v>
      </c>
      <c r="J1519" s="375">
        <v>51549.878499999999</v>
      </c>
      <c r="K1519" s="375">
        <v>4807.5714399999997</v>
      </c>
      <c r="L1519" s="375">
        <v>3086.4662800000001</v>
      </c>
      <c r="M1519" s="375">
        <v>114364.53350999999</v>
      </c>
      <c r="N1519" s="372">
        <v>0.73299999999999998</v>
      </c>
      <c r="O1519" s="704">
        <v>94.185909080820906</v>
      </c>
      <c r="P1519" s="375" t="s">
        <v>16112</v>
      </c>
      <c r="Q1519" s="375" t="s">
        <v>619</v>
      </c>
      <c r="R1519" s="696">
        <v>20140428</v>
      </c>
      <c r="S1519" s="375">
        <v>0</v>
      </c>
      <c r="T1519" s="697">
        <v>0.20900000000000002</v>
      </c>
      <c r="U1519" s="372" t="s">
        <v>10085</v>
      </c>
      <c r="V1519" s="722">
        <v>13.26</v>
      </c>
      <c r="W1519" s="722">
        <v>0.78</v>
      </c>
      <c r="X1519" s="722">
        <v>1.39</v>
      </c>
      <c r="Y1519" s="722">
        <v>22.32</v>
      </c>
      <c r="Z1519" s="382" t="s">
        <v>924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10086</v>
      </c>
      <c r="B1520" s="373" t="s">
        <v>10087</v>
      </c>
      <c r="C1520" s="372" t="s">
        <v>10088</v>
      </c>
      <c r="D1520" s="374">
        <v>1101110035108</v>
      </c>
      <c r="E1520" s="372" t="s">
        <v>10089</v>
      </c>
      <c r="F1520" s="372" t="s">
        <v>10090</v>
      </c>
      <c r="G1520" s="375" t="s">
        <v>10090</v>
      </c>
      <c r="H1520" s="375" t="s">
        <v>1536</v>
      </c>
      <c r="I1520" s="375" t="s">
        <v>751</v>
      </c>
      <c r="J1520" s="375">
        <v>114660.50208000001</v>
      </c>
      <c r="K1520" s="375">
        <v>-4354.5041000000001</v>
      </c>
      <c r="L1520" s="375">
        <v>1865.00982</v>
      </c>
      <c r="M1520" s="375">
        <v>192318.21340000001</v>
      </c>
      <c r="N1520" s="372">
        <v>0.65</v>
      </c>
      <c r="O1520" s="704">
        <v>11.750516627411697</v>
      </c>
      <c r="P1520" s="375" t="s">
        <v>619</v>
      </c>
      <c r="Q1520" s="372" t="s">
        <v>619</v>
      </c>
      <c r="R1520" s="696">
        <v>19890530</v>
      </c>
      <c r="S1520" s="372" t="s">
        <v>10091</v>
      </c>
      <c r="T1520" s="697">
        <v>0.20900000000000002</v>
      </c>
      <c r="U1520" s="372" t="s">
        <v>10092</v>
      </c>
      <c r="V1520" s="722">
        <v>1307.6300000000001</v>
      </c>
      <c r="W1520" s="722">
        <v>0.56999999999999995</v>
      </c>
      <c r="X1520" s="722">
        <v>1.03</v>
      </c>
      <c r="Y1520" s="722">
        <v>136.19</v>
      </c>
      <c r="Z1520" s="382" t="s">
        <v>924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10093</v>
      </c>
      <c r="B1521" s="373" t="s">
        <v>10094</v>
      </c>
      <c r="C1521" s="372" t="s">
        <v>10095</v>
      </c>
      <c r="D1521" s="374">
        <v>1101111347940</v>
      </c>
      <c r="E1521" s="372" t="s">
        <v>10096</v>
      </c>
      <c r="F1521" s="375" t="s">
        <v>2256</v>
      </c>
      <c r="G1521" s="375" t="s">
        <v>2256</v>
      </c>
      <c r="H1521" s="375" t="s">
        <v>4844</v>
      </c>
      <c r="I1521" s="375" t="s">
        <v>859</v>
      </c>
      <c r="J1521" s="375">
        <v>73399.640069999994</v>
      </c>
      <c r="K1521" s="375">
        <v>1732.7084600000001</v>
      </c>
      <c r="L1521" s="375">
        <v>761.48252000000002</v>
      </c>
      <c r="M1521" s="375">
        <v>73197.439419999995</v>
      </c>
      <c r="N1521" s="372" t="s">
        <v>1023</v>
      </c>
      <c r="O1521" s="704">
        <v>2.9076211934573895</v>
      </c>
      <c r="P1521" s="375" t="s">
        <v>619</v>
      </c>
      <c r="Q1521" s="372" t="s">
        <v>619</v>
      </c>
      <c r="R1521" s="696">
        <v>20020102</v>
      </c>
      <c r="S1521" s="372" t="s">
        <v>10097</v>
      </c>
      <c r="T1521" s="697">
        <v>0.20900000000000002</v>
      </c>
      <c r="U1521" s="375" t="s">
        <v>10098</v>
      </c>
      <c r="V1521" s="722">
        <v>0</v>
      </c>
      <c r="W1521" s="722">
        <v>0</v>
      </c>
      <c r="X1521" s="722">
        <v>0</v>
      </c>
      <c r="Y1521" s="722">
        <v>0</v>
      </c>
      <c r="Z1521" s="382" t="s">
        <v>924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10099</v>
      </c>
      <c r="B1522" s="373" t="s">
        <v>10100</v>
      </c>
      <c r="C1522" s="372" t="s">
        <v>10101</v>
      </c>
      <c r="D1522" s="374">
        <v>1201110233338</v>
      </c>
      <c r="E1522" s="372" t="s">
        <v>10102</v>
      </c>
      <c r="F1522" s="375" t="s">
        <v>3233</v>
      </c>
      <c r="G1522" s="375" t="s">
        <v>3233</v>
      </c>
      <c r="H1522" s="375" t="s">
        <v>858</v>
      </c>
      <c r="I1522" s="375" t="s">
        <v>859</v>
      </c>
      <c r="J1522" s="375">
        <v>55779.005400000002</v>
      </c>
      <c r="K1522" s="375">
        <v>-1849.6023499999999</v>
      </c>
      <c r="L1522" s="375">
        <v>1954.6757700000001</v>
      </c>
      <c r="M1522" s="375">
        <v>188606.97975999999</v>
      </c>
      <c r="N1522" s="372">
        <v>0.74099999999999999</v>
      </c>
      <c r="O1522" s="704">
        <v>1.799084111759353</v>
      </c>
      <c r="P1522" s="375" t="s">
        <v>619</v>
      </c>
      <c r="Q1522" s="375" t="s">
        <v>619</v>
      </c>
      <c r="R1522" s="696">
        <v>20171206</v>
      </c>
      <c r="S1522" s="372" t="s">
        <v>10103</v>
      </c>
      <c r="T1522" s="697">
        <v>0.20900000000000002</v>
      </c>
      <c r="U1522" s="372" t="s">
        <v>10104</v>
      </c>
      <c r="V1522" s="722">
        <v>11.18</v>
      </c>
      <c r="W1522" s="722">
        <v>0.4</v>
      </c>
      <c r="X1522" s="722">
        <v>1.39</v>
      </c>
      <c r="Y1522" s="722">
        <v>69.239999999999995</v>
      </c>
      <c r="Z1522" s="382" t="s">
        <v>924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10105</v>
      </c>
      <c r="B1523" s="373" t="s">
        <v>10106</v>
      </c>
      <c r="C1523" s="372" t="s">
        <v>10107</v>
      </c>
      <c r="D1523" s="374">
        <v>1348110073536</v>
      </c>
      <c r="E1523" s="372" t="s">
        <v>10108</v>
      </c>
      <c r="F1523" s="375" t="s">
        <v>1747</v>
      </c>
      <c r="G1523" s="375" t="s">
        <v>1747</v>
      </c>
      <c r="H1523" s="375" t="s">
        <v>858</v>
      </c>
      <c r="I1523" s="375" t="s">
        <v>859</v>
      </c>
      <c r="J1523" s="375">
        <v>10735.639709999999</v>
      </c>
      <c r="K1523" s="375">
        <v>753.43372999999997</v>
      </c>
      <c r="L1523" s="375">
        <v>2055.3783899999999</v>
      </c>
      <c r="M1523" s="375">
        <v>28186.36924</v>
      </c>
      <c r="N1523" s="372">
        <v>0.89900000000000002</v>
      </c>
      <c r="O1523" s="704">
        <v>8.5668348446111278</v>
      </c>
      <c r="P1523" s="375" t="s">
        <v>619</v>
      </c>
      <c r="Q1523" s="372" t="s">
        <v>619</v>
      </c>
      <c r="R1523" s="696">
        <v>20190605</v>
      </c>
      <c r="S1523" s="375" t="s">
        <v>10109</v>
      </c>
      <c r="T1523" s="697">
        <v>0.20900000000000002</v>
      </c>
      <c r="U1523" s="375" t="s">
        <v>10110</v>
      </c>
      <c r="V1523" s="722">
        <v>0</v>
      </c>
      <c r="W1523" s="722">
        <v>0</v>
      </c>
      <c r="X1523" s="722">
        <v>0</v>
      </c>
      <c r="Y1523" s="722">
        <v>0</v>
      </c>
      <c r="Z1523" s="382" t="s">
        <v>924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10111</v>
      </c>
      <c r="B1524" s="373" t="s">
        <v>10112</v>
      </c>
      <c r="C1524" s="372" t="s">
        <v>10113</v>
      </c>
      <c r="D1524" s="374">
        <v>1345110059459</v>
      </c>
      <c r="E1524" s="372" t="s">
        <v>10114</v>
      </c>
      <c r="F1524" s="375" t="s">
        <v>1182</v>
      </c>
      <c r="G1524" s="375" t="s">
        <v>3112</v>
      </c>
      <c r="H1524" s="375" t="s">
        <v>858</v>
      </c>
      <c r="I1524" s="375" t="s">
        <v>859</v>
      </c>
      <c r="J1524" s="375">
        <v>62230.772499999999</v>
      </c>
      <c r="K1524" s="375">
        <v>6029.6770800000004</v>
      </c>
      <c r="L1524" s="375">
        <v>11206.01456</v>
      </c>
      <c r="M1524" s="375">
        <v>74540.706040000005</v>
      </c>
      <c r="N1524" s="372">
        <v>1.2529999999999999</v>
      </c>
      <c r="O1524" s="704">
        <v>27.663816538420555</v>
      </c>
      <c r="P1524" s="375" t="s">
        <v>619</v>
      </c>
      <c r="Q1524" s="372" t="s">
        <v>619</v>
      </c>
      <c r="R1524" s="696">
        <v>20170227</v>
      </c>
      <c r="S1524" s="372" t="s">
        <v>10115</v>
      </c>
      <c r="T1524" s="697">
        <v>0.20900000000000002</v>
      </c>
      <c r="U1524" s="372" t="s">
        <v>10116</v>
      </c>
      <c r="V1524" s="722">
        <v>10.29</v>
      </c>
      <c r="W1524" s="722">
        <v>1.1499999999999999</v>
      </c>
      <c r="X1524" s="722">
        <v>1.46</v>
      </c>
      <c r="Y1524" s="722">
        <v>9</v>
      </c>
      <c r="Z1524" s="382" t="s">
        <v>924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10117</v>
      </c>
      <c r="B1525" s="373" t="s">
        <v>10118</v>
      </c>
      <c r="C1525" s="372" t="s">
        <v>10119</v>
      </c>
      <c r="D1525" s="374">
        <v>1211110061910</v>
      </c>
      <c r="E1525" s="372" t="s">
        <v>10120</v>
      </c>
      <c r="F1525" s="375" t="s">
        <v>1182</v>
      </c>
      <c r="G1525" s="375" t="s">
        <v>1183</v>
      </c>
      <c r="H1525" s="375" t="s">
        <v>858</v>
      </c>
      <c r="I1525" s="375" t="s">
        <v>859</v>
      </c>
      <c r="J1525" s="375">
        <v>50818.979590000003</v>
      </c>
      <c r="K1525" s="375">
        <v>1582.8801599999999</v>
      </c>
      <c r="L1525" s="375">
        <v>3677.9320400000001</v>
      </c>
      <c r="M1525" s="375">
        <v>60826.141349999998</v>
      </c>
      <c r="N1525" s="372">
        <v>1.137</v>
      </c>
      <c r="O1525" s="704">
        <v>38.64318583211589</v>
      </c>
      <c r="P1525" s="375" t="s">
        <v>619</v>
      </c>
      <c r="Q1525" s="372" t="s">
        <v>619</v>
      </c>
      <c r="R1525" s="696">
        <v>20061027</v>
      </c>
      <c r="S1525" s="375" t="s">
        <v>10121</v>
      </c>
      <c r="T1525" s="697">
        <v>0.20900000000000002</v>
      </c>
      <c r="U1525" s="372" t="s">
        <v>10122</v>
      </c>
      <c r="V1525" s="722">
        <v>18.91</v>
      </c>
      <c r="W1525" s="722">
        <v>0.8</v>
      </c>
      <c r="X1525" s="722">
        <v>1.08</v>
      </c>
      <c r="Y1525" s="722">
        <v>13.55</v>
      </c>
      <c r="Z1525" s="382">
        <v>8.4344781089711329E-2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454</v>
      </c>
      <c r="AF1525" s="372">
        <v>569</v>
      </c>
      <c r="AG1525" s="372">
        <v>652</v>
      </c>
      <c r="AH1525" s="372">
        <v>0</v>
      </c>
    </row>
    <row r="1526" spans="1:34">
      <c r="A1526" s="372" t="s">
        <v>10123</v>
      </c>
      <c r="B1526" s="373" t="s">
        <v>10124</v>
      </c>
      <c r="C1526" s="372" t="s">
        <v>10125</v>
      </c>
      <c r="D1526" s="374">
        <v>1845110021812</v>
      </c>
      <c r="E1526" s="372" t="s">
        <v>10126</v>
      </c>
      <c r="F1526" s="375" t="s">
        <v>10127</v>
      </c>
      <c r="G1526" s="375" t="s">
        <v>10128</v>
      </c>
      <c r="H1526" s="375" t="s">
        <v>858</v>
      </c>
      <c r="I1526" s="375" t="s">
        <v>859</v>
      </c>
      <c r="J1526" s="375">
        <v>496448.81738999998</v>
      </c>
      <c r="K1526" s="375">
        <v>42876.549420000003</v>
      </c>
      <c r="L1526" s="375">
        <v>47445.995430000003</v>
      </c>
      <c r="M1526" s="375">
        <v>189101.18056000001</v>
      </c>
      <c r="N1526" s="372">
        <v>0.65700000000000003</v>
      </c>
      <c r="O1526" s="704">
        <v>0</v>
      </c>
      <c r="P1526" s="375" t="s">
        <v>619</v>
      </c>
      <c r="Q1526" s="375" t="s">
        <v>619</v>
      </c>
      <c r="R1526" s="696">
        <v>20031112</v>
      </c>
      <c r="S1526" s="375" t="s">
        <v>10129</v>
      </c>
      <c r="T1526" s="697">
        <v>0.23100000000000001</v>
      </c>
      <c r="U1526" s="372" t="s">
        <v>10130</v>
      </c>
      <c r="V1526" s="722">
        <v>2.3199999999999998</v>
      </c>
      <c r="W1526" s="722">
        <v>0.59</v>
      </c>
      <c r="X1526" s="722">
        <v>0.24</v>
      </c>
      <c r="Y1526" s="722">
        <v>3.29</v>
      </c>
      <c r="Z1526" s="382" t="s">
        <v>924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10131</v>
      </c>
      <c r="B1527" s="373" t="s">
        <v>10132</v>
      </c>
      <c r="C1527" s="372" t="s">
        <v>10133</v>
      </c>
      <c r="D1527" s="374">
        <v>1101115794478</v>
      </c>
      <c r="E1527" s="372" t="s">
        <v>10134</v>
      </c>
      <c r="F1527" s="375" t="s">
        <v>1354</v>
      </c>
      <c r="G1527" s="375" t="s">
        <v>1354</v>
      </c>
      <c r="H1527" s="375" t="s">
        <v>858</v>
      </c>
      <c r="I1527" s="375" t="s">
        <v>859</v>
      </c>
      <c r="J1527" s="375">
        <v>75055.704530000003</v>
      </c>
      <c r="K1527" s="375">
        <v>6346.2636199999997</v>
      </c>
      <c r="L1527" s="375">
        <v>-5535.45129</v>
      </c>
      <c r="M1527" s="375">
        <v>59884.315750000002</v>
      </c>
      <c r="N1527" s="372">
        <v>0.432</v>
      </c>
      <c r="O1527" s="704">
        <v>29.214129119062303</v>
      </c>
      <c r="P1527" s="375" t="s">
        <v>619</v>
      </c>
      <c r="Q1527" s="372" t="s">
        <v>619</v>
      </c>
      <c r="R1527" s="696">
        <v>20151105</v>
      </c>
      <c r="S1527" s="372" t="s">
        <v>9015</v>
      </c>
      <c r="T1527" s="697" t="s">
        <v>768</v>
      </c>
      <c r="U1527" s="372" t="s">
        <v>10135</v>
      </c>
      <c r="V1527" s="722">
        <v>11.36</v>
      </c>
      <c r="W1527" s="722">
        <v>1.46</v>
      </c>
      <c r="X1527" s="722">
        <v>1.08</v>
      </c>
      <c r="Y1527" s="722" t="s">
        <v>770</v>
      </c>
      <c r="Z1527" s="382" t="s">
        <v>924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1022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10136</v>
      </c>
      <c r="B1528" s="373" t="s">
        <v>10137</v>
      </c>
      <c r="C1528" s="372" t="s">
        <v>10138</v>
      </c>
      <c r="D1528" s="374">
        <v>1101110550502</v>
      </c>
      <c r="E1528" s="372" t="s">
        <v>10139</v>
      </c>
      <c r="F1528" s="375" t="s">
        <v>2121</v>
      </c>
      <c r="G1528" s="375" t="s">
        <v>4228</v>
      </c>
      <c r="H1528" s="375" t="s">
        <v>858</v>
      </c>
      <c r="I1528" s="375" t="s">
        <v>859</v>
      </c>
      <c r="J1528" s="375">
        <v>29307.152190000001</v>
      </c>
      <c r="K1528" s="375">
        <v>955.85994000000005</v>
      </c>
      <c r="L1528" s="375">
        <v>1751.4657400000001</v>
      </c>
      <c r="M1528" s="375">
        <v>71962.774860000005</v>
      </c>
      <c r="N1528" s="372">
        <v>0.99099999999999999</v>
      </c>
      <c r="O1528" s="704">
        <v>0.20474227281111176</v>
      </c>
      <c r="P1528" s="375" t="s">
        <v>619</v>
      </c>
      <c r="Q1528" s="372" t="s">
        <v>619</v>
      </c>
      <c r="R1528" s="696">
        <v>20000811</v>
      </c>
      <c r="S1528" s="372" t="s">
        <v>10140</v>
      </c>
      <c r="T1528" s="697">
        <v>0.20900000000000002</v>
      </c>
      <c r="U1528" s="372" t="s">
        <v>10141</v>
      </c>
      <c r="V1528" s="722">
        <v>28.96</v>
      </c>
      <c r="W1528" s="722">
        <v>1.42</v>
      </c>
      <c r="X1528" s="722">
        <v>3.11</v>
      </c>
      <c r="Y1528" s="722">
        <v>148.08000000000001</v>
      </c>
      <c r="Z1528" s="382" t="s">
        <v>924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10142</v>
      </c>
      <c r="B1529" s="373" t="s">
        <v>10143</v>
      </c>
      <c r="C1529" s="372" t="s">
        <v>10144</v>
      </c>
      <c r="D1529" s="374">
        <v>2055110049363</v>
      </c>
      <c r="E1529" s="372" t="s">
        <v>10145</v>
      </c>
      <c r="F1529" s="375" t="s">
        <v>1793</v>
      </c>
      <c r="G1529" s="375" t="s">
        <v>1794</v>
      </c>
      <c r="H1529" s="375" t="s">
        <v>858</v>
      </c>
      <c r="I1529" s="375" t="s">
        <v>859</v>
      </c>
      <c r="J1529" s="375">
        <v>6332.8508099999999</v>
      </c>
      <c r="K1529" s="375">
        <v>-11713.86787</v>
      </c>
      <c r="L1529" s="375">
        <v>-10897.674499999999</v>
      </c>
      <c r="M1529" s="375">
        <v>35315.40451</v>
      </c>
      <c r="N1529" s="372" t="s">
        <v>1023</v>
      </c>
      <c r="O1529" s="704">
        <v>18.876778321609091</v>
      </c>
      <c r="P1529" s="375" t="s">
        <v>619</v>
      </c>
      <c r="Q1529" s="375" t="s">
        <v>619</v>
      </c>
      <c r="R1529" s="696">
        <v>20230726</v>
      </c>
      <c r="S1529" s="375" t="s">
        <v>10146</v>
      </c>
      <c r="T1529" s="697" t="s">
        <v>768</v>
      </c>
      <c r="U1529" s="372" t="s">
        <v>10147</v>
      </c>
      <c r="V1529" s="722" t="s">
        <v>770</v>
      </c>
      <c r="W1529" s="722">
        <v>1.34</v>
      </c>
      <c r="X1529" s="722">
        <v>7.46</v>
      </c>
      <c r="Y1529" s="722" t="s">
        <v>770</v>
      </c>
      <c r="Z1529" s="382" t="s">
        <v>924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10148</v>
      </c>
      <c r="B1530" s="373" t="s">
        <v>10149</v>
      </c>
      <c r="C1530" s="372" t="s">
        <v>10150</v>
      </c>
      <c r="D1530" s="374">
        <v>1101111453648</v>
      </c>
      <c r="E1530" s="372" t="s">
        <v>16321</v>
      </c>
      <c r="F1530" s="375" t="s">
        <v>2121</v>
      </c>
      <c r="G1530" s="375" t="s">
        <v>4463</v>
      </c>
      <c r="H1530" s="375" t="s">
        <v>858</v>
      </c>
      <c r="I1530" s="375" t="s">
        <v>859</v>
      </c>
      <c r="J1530" s="375">
        <v>35387.179349999999</v>
      </c>
      <c r="K1530" s="375">
        <v>-1761.4338600000001</v>
      </c>
      <c r="L1530" s="375">
        <v>-1881.53826</v>
      </c>
      <c r="M1530" s="375">
        <v>70019.18793</v>
      </c>
      <c r="N1530" s="372">
        <v>0.432</v>
      </c>
      <c r="O1530" s="704">
        <v>3.6860814327338591</v>
      </c>
      <c r="P1530" s="375" t="s">
        <v>619</v>
      </c>
      <c r="Q1530" s="375" t="s">
        <v>619</v>
      </c>
      <c r="R1530" s="696">
        <v>20151112</v>
      </c>
      <c r="S1530" s="375" t="s">
        <v>10151</v>
      </c>
      <c r="T1530" s="697" t="s">
        <v>768</v>
      </c>
      <c r="U1530" s="372" t="s">
        <v>15911</v>
      </c>
      <c r="V1530" s="722" t="s">
        <v>770</v>
      </c>
      <c r="W1530" s="722">
        <v>1.81</v>
      </c>
      <c r="X1530" s="722">
        <v>3.38</v>
      </c>
      <c r="Y1530" s="722" t="s">
        <v>770</v>
      </c>
      <c r="Z1530" s="382" t="s">
        <v>924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10152</v>
      </c>
      <c r="B1531" s="373" t="s">
        <v>10153</v>
      </c>
      <c r="C1531" s="372" t="s">
        <v>10154</v>
      </c>
      <c r="D1531" s="374">
        <v>1101110775853</v>
      </c>
      <c r="E1531" s="372" t="s">
        <v>10155</v>
      </c>
      <c r="F1531" s="372" t="s">
        <v>3293</v>
      </c>
      <c r="G1531" s="375" t="s">
        <v>3293</v>
      </c>
      <c r="H1531" s="375" t="s">
        <v>3096</v>
      </c>
      <c r="I1531" s="375" t="s">
        <v>859</v>
      </c>
      <c r="J1531" s="375">
        <v>250196.69647</v>
      </c>
      <c r="K1531" s="375">
        <v>-1796.5785100000001</v>
      </c>
      <c r="L1531" s="375">
        <v>876.56070999999997</v>
      </c>
      <c r="M1531" s="375">
        <v>112403.31875999999</v>
      </c>
      <c r="N1531" s="372">
        <v>0.57499999999999996</v>
      </c>
      <c r="O1531" s="704">
        <v>17.632544532072746</v>
      </c>
      <c r="P1531" s="375" t="s">
        <v>619</v>
      </c>
      <c r="Q1531" s="375" t="s">
        <v>619</v>
      </c>
      <c r="R1531" s="696">
        <v>19971110</v>
      </c>
      <c r="S1531" s="375" t="s">
        <v>10156</v>
      </c>
      <c r="T1531" s="697">
        <v>0.20900000000000002</v>
      </c>
      <c r="U1531" s="375" t="s">
        <v>10157</v>
      </c>
      <c r="V1531" s="722">
        <v>733.46</v>
      </c>
      <c r="W1531" s="722">
        <v>0.56999999999999995</v>
      </c>
      <c r="X1531" s="722">
        <v>0.25</v>
      </c>
      <c r="Y1531" s="722" t="s">
        <v>770</v>
      </c>
      <c r="Z1531" s="382" t="s">
        <v>924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10158</v>
      </c>
      <c r="B1532" s="373" t="s">
        <v>10159</v>
      </c>
      <c r="C1532" s="372" t="s">
        <v>10160</v>
      </c>
      <c r="D1532" s="374">
        <v>1301110006270</v>
      </c>
      <c r="E1532" s="372" t="s">
        <v>10161</v>
      </c>
      <c r="F1532" s="375" t="s">
        <v>1753</v>
      </c>
      <c r="G1532" s="375" t="s">
        <v>6496</v>
      </c>
      <c r="H1532" s="375" t="s">
        <v>750</v>
      </c>
      <c r="I1532" s="375" t="s">
        <v>751</v>
      </c>
      <c r="J1532" s="375">
        <v>148997.20352000001</v>
      </c>
      <c r="K1532" s="375">
        <v>-6631.1754300000002</v>
      </c>
      <c r="L1532" s="375">
        <v>1961.5757900000001</v>
      </c>
      <c r="M1532" s="375">
        <v>108903.38520999999</v>
      </c>
      <c r="N1532" s="372">
        <v>0.98799999999999999</v>
      </c>
      <c r="O1532" s="704">
        <v>36.37427706173213</v>
      </c>
      <c r="P1532" s="375" t="s">
        <v>619</v>
      </c>
      <c r="Q1532" s="375" t="s">
        <v>619</v>
      </c>
      <c r="R1532" s="696">
        <v>19900914</v>
      </c>
      <c r="S1532" s="375" t="s">
        <v>10162</v>
      </c>
      <c r="T1532" s="697">
        <v>0.20900000000000002</v>
      </c>
      <c r="U1532" s="372" t="s">
        <v>10163</v>
      </c>
      <c r="V1532" s="722">
        <v>0</v>
      </c>
      <c r="W1532" s="722">
        <v>0</v>
      </c>
      <c r="X1532" s="722">
        <v>0</v>
      </c>
      <c r="Y1532" s="722">
        <v>0</v>
      </c>
      <c r="Z1532" s="382" t="s">
        <v>924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10164</v>
      </c>
      <c r="B1533" s="373" t="s">
        <v>10165</v>
      </c>
      <c r="C1533" s="372" t="s">
        <v>10166</v>
      </c>
      <c r="D1533" s="374">
        <v>1101111647671</v>
      </c>
      <c r="E1533" s="372" t="s">
        <v>10167</v>
      </c>
      <c r="F1533" s="375" t="s">
        <v>972</v>
      </c>
      <c r="G1533" s="375" t="s">
        <v>973</v>
      </c>
      <c r="H1533" s="375" t="s">
        <v>1334</v>
      </c>
      <c r="I1533" s="375" t="s">
        <v>859</v>
      </c>
      <c r="J1533" s="375">
        <v>484913.62409</v>
      </c>
      <c r="K1533" s="375">
        <v>10654.89033</v>
      </c>
      <c r="L1533" s="375">
        <v>15208.60636</v>
      </c>
      <c r="M1533" s="375">
        <v>101731.61165000001</v>
      </c>
      <c r="N1533" s="372">
        <v>0.77600000000000002</v>
      </c>
      <c r="O1533" s="704">
        <v>38.672310954724495</v>
      </c>
      <c r="P1533" s="375" t="s">
        <v>619</v>
      </c>
      <c r="Q1533" s="372" t="s">
        <v>619</v>
      </c>
      <c r="R1533" s="696">
        <v>20000425</v>
      </c>
      <c r="S1533" s="372" t="s">
        <v>10168</v>
      </c>
      <c r="T1533" s="697">
        <v>0.20900000000000002</v>
      </c>
      <c r="U1533" s="372" t="s">
        <v>10169</v>
      </c>
      <c r="V1533" s="722">
        <v>6.26</v>
      </c>
      <c r="W1533" s="722">
        <v>0.8</v>
      </c>
      <c r="X1533" s="722">
        <v>0.16</v>
      </c>
      <c r="Y1533" s="722">
        <v>5.41</v>
      </c>
      <c r="Z1533" s="382">
        <v>5.8112567090546907E-2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5163</v>
      </c>
      <c r="AF1533" s="372">
        <v>5567</v>
      </c>
      <c r="AG1533" s="372">
        <v>5981</v>
      </c>
      <c r="AH1533" s="372">
        <v>0</v>
      </c>
    </row>
    <row r="1534" spans="1:34">
      <c r="A1534" s="372" t="s">
        <v>10170</v>
      </c>
      <c r="B1534" s="373" t="s">
        <v>10171</v>
      </c>
      <c r="C1534" s="372" t="s">
        <v>10172</v>
      </c>
      <c r="D1534" s="374">
        <v>1313110080427</v>
      </c>
      <c r="E1534" s="372" t="s">
        <v>10173</v>
      </c>
      <c r="F1534" s="375" t="s">
        <v>3293</v>
      </c>
      <c r="G1534" s="375" t="s">
        <v>3293</v>
      </c>
      <c r="H1534" s="375" t="s">
        <v>843</v>
      </c>
      <c r="I1534" s="375" t="s">
        <v>751</v>
      </c>
      <c r="J1534" s="375">
        <v>6435.7015300000003</v>
      </c>
      <c r="K1534" s="375">
        <v>-5481.7108500000004</v>
      </c>
      <c r="L1534" s="375">
        <v>-172.50698</v>
      </c>
      <c r="M1534" s="375">
        <v>149896.97159999999</v>
      </c>
      <c r="N1534" s="372">
        <v>1.165</v>
      </c>
      <c r="O1534" s="704">
        <v>0.53759618894976602</v>
      </c>
      <c r="P1534" s="375" t="s">
        <v>16112</v>
      </c>
      <c r="Q1534" s="375" t="s">
        <v>16113</v>
      </c>
      <c r="R1534" s="696">
        <v>20080402</v>
      </c>
      <c r="S1534" s="375" t="s">
        <v>10174</v>
      </c>
      <c r="T1534" s="697" t="s">
        <v>768</v>
      </c>
      <c r="U1534" s="372" t="s">
        <v>10175</v>
      </c>
      <c r="V1534" s="722">
        <v>0</v>
      </c>
      <c r="W1534" s="722">
        <v>0</v>
      </c>
      <c r="X1534" s="722">
        <v>0</v>
      </c>
      <c r="Y1534" s="722">
        <v>0</v>
      </c>
      <c r="Z1534" s="382" t="s">
        <v>924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10176</v>
      </c>
      <c r="B1535" s="373" t="s">
        <v>10177</v>
      </c>
      <c r="C1535" s="372" t="s">
        <v>10178</v>
      </c>
      <c r="D1535" s="374">
        <v>1348110018641</v>
      </c>
      <c r="E1535" s="372" t="s">
        <v>10179</v>
      </c>
      <c r="F1535" s="375" t="s">
        <v>890</v>
      </c>
      <c r="G1535" s="375" t="s">
        <v>891</v>
      </c>
      <c r="H1535" s="375" t="s">
        <v>852</v>
      </c>
      <c r="I1535" s="375" t="s">
        <v>751</v>
      </c>
      <c r="J1535" s="375">
        <v>606948.12535999995</v>
      </c>
      <c r="K1535" s="375">
        <v>15639.13054</v>
      </c>
      <c r="L1535" s="375">
        <v>10496.03102</v>
      </c>
      <c r="M1535" s="375">
        <v>255486.45999</v>
      </c>
      <c r="N1535" s="372">
        <v>0.58199999999999996</v>
      </c>
      <c r="O1535" s="704">
        <v>598.33052931924919</v>
      </c>
      <c r="P1535" s="375" t="s">
        <v>619</v>
      </c>
      <c r="Q1535" s="372" t="s">
        <v>619</v>
      </c>
      <c r="R1535" s="696">
        <v>20020205</v>
      </c>
      <c r="S1535" s="372" t="s">
        <v>10180</v>
      </c>
      <c r="T1535" s="697">
        <v>0.20900000000000002</v>
      </c>
      <c r="U1535" s="372" t="s">
        <v>10181</v>
      </c>
      <c r="V1535" s="722">
        <v>11.68</v>
      </c>
      <c r="W1535" s="722">
        <v>0.35</v>
      </c>
      <c r="X1535" s="722">
        <v>0.14000000000000001</v>
      </c>
      <c r="Y1535" s="722">
        <v>7.88</v>
      </c>
      <c r="Z1535" s="382" t="s">
        <v>924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10182</v>
      </c>
      <c r="B1536" s="373" t="s">
        <v>10183</v>
      </c>
      <c r="C1536" s="372" t="s">
        <v>10184</v>
      </c>
      <c r="D1536" s="374">
        <v>1201110144999</v>
      </c>
      <c r="E1536" s="372" t="s">
        <v>10185</v>
      </c>
      <c r="F1536" s="375" t="s">
        <v>842</v>
      </c>
      <c r="G1536" s="375" t="s">
        <v>842</v>
      </c>
      <c r="H1536" s="375" t="s">
        <v>3096</v>
      </c>
      <c r="I1536" s="375" t="s">
        <v>859</v>
      </c>
      <c r="J1536" s="375">
        <v>37794.375939999998</v>
      </c>
      <c r="K1536" s="375">
        <v>-12834.593769999999</v>
      </c>
      <c r="L1536" s="375">
        <v>-10949.833490000001</v>
      </c>
      <c r="M1536" s="375">
        <v>14980.24685</v>
      </c>
      <c r="N1536" s="372">
        <v>0.78600000000000003</v>
      </c>
      <c r="O1536" s="704">
        <v>38.813037622150134</v>
      </c>
      <c r="P1536" s="375" t="s">
        <v>619</v>
      </c>
      <c r="Q1536" s="372" t="s">
        <v>619</v>
      </c>
      <c r="R1536" s="696">
        <v>20050105</v>
      </c>
      <c r="S1536" s="372" t="s">
        <v>10186</v>
      </c>
      <c r="T1536" s="697" t="s">
        <v>768</v>
      </c>
      <c r="U1536" s="372" t="s">
        <v>10187</v>
      </c>
      <c r="V1536" s="722" t="s">
        <v>770</v>
      </c>
      <c r="W1536" s="722">
        <v>3.86</v>
      </c>
      <c r="X1536" s="722">
        <v>1.54</v>
      </c>
      <c r="Y1536" s="722" t="s">
        <v>770</v>
      </c>
      <c r="Z1536" s="382" t="s">
        <v>924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10188</v>
      </c>
      <c r="B1537" s="373" t="s">
        <v>10189</v>
      </c>
      <c r="C1537" s="372" t="s">
        <v>10190</v>
      </c>
      <c r="D1537" s="374">
        <v>1201110001818</v>
      </c>
      <c r="E1537" s="372" t="s">
        <v>10191</v>
      </c>
      <c r="F1537" s="372" t="s">
        <v>10192</v>
      </c>
      <c r="G1537" s="375" t="s">
        <v>10193</v>
      </c>
      <c r="H1537" s="375" t="s">
        <v>965</v>
      </c>
      <c r="I1537" s="375" t="s">
        <v>751</v>
      </c>
      <c r="J1537" s="375">
        <v>231233.74217000001</v>
      </c>
      <c r="K1537" s="375">
        <v>6492.14858</v>
      </c>
      <c r="L1537" s="375">
        <v>5966.1894000000002</v>
      </c>
      <c r="M1537" s="375">
        <v>260099.75523000001</v>
      </c>
      <c r="N1537" s="372">
        <v>0.54400000000000004</v>
      </c>
      <c r="O1537" s="704">
        <v>203.18030209134861</v>
      </c>
      <c r="P1537" s="375" t="s">
        <v>619</v>
      </c>
      <c r="Q1537" s="372" t="s">
        <v>619</v>
      </c>
      <c r="R1537" s="696">
        <v>19880930</v>
      </c>
      <c r="S1537" s="372" t="s">
        <v>10194</v>
      </c>
      <c r="T1537" s="697">
        <v>0.20900000000000002</v>
      </c>
      <c r="U1537" s="372" t="s">
        <v>10195</v>
      </c>
      <c r="V1537" s="722">
        <v>7.6</v>
      </c>
      <c r="W1537" s="722">
        <v>0.34</v>
      </c>
      <c r="X1537" s="722">
        <v>0.42</v>
      </c>
      <c r="Y1537" s="722">
        <v>34.07</v>
      </c>
      <c r="Z1537" s="382" t="s">
        <v>924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10196</v>
      </c>
      <c r="B1538" s="373" t="s">
        <v>10197</v>
      </c>
      <c r="C1538" s="372" t="s">
        <v>10198</v>
      </c>
      <c r="D1538" s="374">
        <v>1101110414126</v>
      </c>
      <c r="E1538" s="372" t="s">
        <v>10199</v>
      </c>
      <c r="F1538" s="375" t="s">
        <v>10200</v>
      </c>
      <c r="G1538" s="375" t="s">
        <v>10200</v>
      </c>
      <c r="H1538" s="375" t="s">
        <v>814</v>
      </c>
      <c r="I1538" s="375" t="s">
        <v>751</v>
      </c>
      <c r="J1538" s="375">
        <v>865727.97464999999</v>
      </c>
      <c r="K1538" s="375">
        <v>20428.847580000001</v>
      </c>
      <c r="L1538" s="375">
        <v>18899.637940000001</v>
      </c>
      <c r="M1538" s="375">
        <v>222808.97709999999</v>
      </c>
      <c r="N1538" s="372">
        <v>0.82199999999999995</v>
      </c>
      <c r="O1538" s="704">
        <v>92.241806675815468</v>
      </c>
      <c r="P1538" s="375" t="s">
        <v>619</v>
      </c>
      <c r="Q1538" s="372" t="s">
        <v>619</v>
      </c>
      <c r="R1538" s="696">
        <v>19970212</v>
      </c>
      <c r="S1538" s="372" t="s">
        <v>10201</v>
      </c>
      <c r="T1538" s="697">
        <v>0.20900000000000002</v>
      </c>
      <c r="U1538" s="372" t="s">
        <v>10202</v>
      </c>
      <c r="V1538" s="722">
        <v>4.16</v>
      </c>
      <c r="W1538" s="722">
        <v>0.4</v>
      </c>
      <c r="X1538" s="722">
        <v>0.08</v>
      </c>
      <c r="Y1538" s="722">
        <v>4.3600000000000003</v>
      </c>
      <c r="Z1538" s="382" t="s">
        <v>924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10203</v>
      </c>
      <c r="B1539" s="373" t="s">
        <v>10204</v>
      </c>
      <c r="C1539" s="372" t="s">
        <v>10205</v>
      </c>
      <c r="D1539" s="374">
        <v>1701110031881</v>
      </c>
      <c r="E1539" s="372" t="s">
        <v>10206</v>
      </c>
      <c r="F1539" s="375" t="s">
        <v>3882</v>
      </c>
      <c r="G1539" s="375" t="s">
        <v>7791</v>
      </c>
      <c r="H1539" s="375" t="s">
        <v>892</v>
      </c>
      <c r="I1539" s="375" t="s">
        <v>859</v>
      </c>
      <c r="J1539" s="375">
        <v>0</v>
      </c>
      <c r="K1539" s="375">
        <v>0</v>
      </c>
      <c r="L1539" s="375">
        <v>0</v>
      </c>
      <c r="M1539" s="375">
        <v>0</v>
      </c>
      <c r="N1539" s="372">
        <v>0.53100000000000003</v>
      </c>
      <c r="O1539" s="704" t="s">
        <v>16298</v>
      </c>
      <c r="P1539" s="375" t="s">
        <v>619</v>
      </c>
      <c r="Q1539" s="372" t="s">
        <v>619</v>
      </c>
      <c r="R1539" s="696">
        <v>19991127</v>
      </c>
      <c r="S1539" s="372" t="s">
        <v>10207</v>
      </c>
      <c r="T1539" s="697" t="s">
        <v>768</v>
      </c>
      <c r="U1539" s="372" t="s">
        <v>10208</v>
      </c>
      <c r="V1539" s="722">
        <v>0</v>
      </c>
      <c r="W1539" s="722">
        <v>0</v>
      </c>
      <c r="X1539" s="722">
        <v>0</v>
      </c>
      <c r="Y1539" s="722">
        <v>0</v>
      </c>
      <c r="Z1539" s="382" t="s">
        <v>924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10209</v>
      </c>
      <c r="B1540" s="373" t="s">
        <v>10210</v>
      </c>
      <c r="C1540" s="372" t="s">
        <v>10211</v>
      </c>
      <c r="D1540" s="374">
        <v>1701110080458</v>
      </c>
      <c r="E1540" s="372" t="s">
        <v>10212</v>
      </c>
      <c r="F1540" s="375" t="s">
        <v>3682</v>
      </c>
      <c r="G1540" s="375" t="s">
        <v>3682</v>
      </c>
      <c r="H1540" s="375" t="s">
        <v>1334</v>
      </c>
      <c r="I1540" s="375" t="s">
        <v>859</v>
      </c>
      <c r="J1540" s="375">
        <v>42209.233820000001</v>
      </c>
      <c r="K1540" s="375">
        <v>1798.6660199999999</v>
      </c>
      <c r="L1540" s="375">
        <v>5223.2650800000001</v>
      </c>
      <c r="M1540" s="375">
        <v>126959.17891</v>
      </c>
      <c r="N1540" s="372">
        <v>0.5</v>
      </c>
      <c r="O1540" s="704">
        <v>0</v>
      </c>
      <c r="P1540" s="375" t="s">
        <v>619</v>
      </c>
      <c r="Q1540" s="372" t="s">
        <v>619</v>
      </c>
      <c r="R1540" s="696">
        <v>20101129</v>
      </c>
      <c r="S1540" s="372" t="s">
        <v>10213</v>
      </c>
      <c r="T1540" s="697">
        <v>0.20900000000000002</v>
      </c>
      <c r="U1540" s="372" t="s">
        <v>10214</v>
      </c>
      <c r="V1540" s="722">
        <v>25.22</v>
      </c>
      <c r="W1540" s="722">
        <v>0.6</v>
      </c>
      <c r="X1540" s="722">
        <v>1.85</v>
      </c>
      <c r="Y1540" s="722">
        <v>18.579999999999998</v>
      </c>
      <c r="Z1540" s="382" t="s">
        <v>924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10215</v>
      </c>
      <c r="B1541" s="373" t="s">
        <v>10216</v>
      </c>
      <c r="C1541" s="372" t="s">
        <v>10217</v>
      </c>
      <c r="D1541" s="374">
        <v>1101114778267</v>
      </c>
      <c r="E1541" s="372" t="s">
        <v>10218</v>
      </c>
      <c r="F1541" s="375" t="s">
        <v>3882</v>
      </c>
      <c r="G1541" s="375" t="s">
        <v>7791</v>
      </c>
      <c r="H1541" s="375" t="s">
        <v>892</v>
      </c>
      <c r="I1541" s="375" t="s">
        <v>859</v>
      </c>
      <c r="J1541" s="375">
        <v>0</v>
      </c>
      <c r="K1541" s="375">
        <v>0</v>
      </c>
      <c r="L1541" s="375">
        <v>0</v>
      </c>
      <c r="M1541" s="375">
        <v>0</v>
      </c>
      <c r="N1541" s="372">
        <v>0.6</v>
      </c>
      <c r="O1541" s="704" t="s">
        <v>16298</v>
      </c>
      <c r="P1541" s="375" t="s">
        <v>619</v>
      </c>
      <c r="Q1541" s="375" t="s">
        <v>619</v>
      </c>
      <c r="R1541" s="696">
        <v>20161219</v>
      </c>
      <c r="S1541" s="375" t="s">
        <v>10219</v>
      </c>
      <c r="T1541" s="697" t="s">
        <v>768</v>
      </c>
      <c r="U1541" s="372" t="s">
        <v>10220</v>
      </c>
      <c r="V1541" s="722">
        <v>0</v>
      </c>
      <c r="W1541" s="722">
        <v>0</v>
      </c>
      <c r="X1541" s="722">
        <v>0</v>
      </c>
      <c r="Y1541" s="722">
        <v>0</v>
      </c>
      <c r="Z1541" s="382" t="s">
        <v>924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10221</v>
      </c>
      <c r="B1542" s="373" t="s">
        <v>10222</v>
      </c>
      <c r="C1542" s="372" t="s">
        <v>10223</v>
      </c>
      <c r="D1542" s="374">
        <v>1311110405166</v>
      </c>
      <c r="E1542" s="372" t="s">
        <v>10224</v>
      </c>
      <c r="F1542" s="375" t="s">
        <v>1793</v>
      </c>
      <c r="G1542" s="375" t="s">
        <v>2794</v>
      </c>
      <c r="H1542" s="375" t="s">
        <v>858</v>
      </c>
      <c r="I1542" s="375" t="s">
        <v>859</v>
      </c>
      <c r="J1542" s="375">
        <v>37765.291519999999</v>
      </c>
      <c r="K1542" s="375">
        <v>39.57779</v>
      </c>
      <c r="L1542" s="375">
        <v>441.62133999999998</v>
      </c>
      <c r="M1542" s="375">
        <v>37555.165280000001</v>
      </c>
      <c r="N1542" s="372">
        <v>0.84799999999999998</v>
      </c>
      <c r="O1542" s="704">
        <v>7.9757462550232745</v>
      </c>
      <c r="P1542" s="375" t="s">
        <v>619</v>
      </c>
      <c r="Q1542" s="375" t="s">
        <v>619</v>
      </c>
      <c r="R1542" s="696">
        <v>20210811</v>
      </c>
      <c r="S1542" s="375" t="s">
        <v>10225</v>
      </c>
      <c r="T1542" s="697">
        <v>0.20900000000000002</v>
      </c>
      <c r="U1542" s="372" t="s">
        <v>15912</v>
      </c>
      <c r="V1542" s="722">
        <v>29.05</v>
      </c>
      <c r="W1542" s="722">
        <v>1.03</v>
      </c>
      <c r="X1542" s="722">
        <v>1.28</v>
      </c>
      <c r="Y1542" s="722">
        <v>239.15</v>
      </c>
      <c r="Z1542" s="382" t="s">
        <v>924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10226</v>
      </c>
      <c r="B1543" s="373" t="s">
        <v>10227</v>
      </c>
      <c r="C1543" s="372" t="s">
        <v>10228</v>
      </c>
      <c r="D1543" s="374">
        <v>1101110027353</v>
      </c>
      <c r="E1543" s="372" t="s">
        <v>10229</v>
      </c>
      <c r="F1543" s="375" t="s">
        <v>1320</v>
      </c>
      <c r="G1543" s="375" t="s">
        <v>16103</v>
      </c>
      <c r="H1543" s="375" t="s">
        <v>858</v>
      </c>
      <c r="I1543" s="375" t="s">
        <v>859</v>
      </c>
      <c r="J1543" s="375">
        <v>105729.88711</v>
      </c>
      <c r="K1543" s="375">
        <v>6237.01044</v>
      </c>
      <c r="L1543" s="375">
        <v>4106.6020200000003</v>
      </c>
      <c r="M1543" s="375">
        <v>65216.592409999997</v>
      </c>
      <c r="N1543" s="372">
        <v>0.20300000000000001</v>
      </c>
      <c r="O1543" s="704">
        <v>49.862104353925162</v>
      </c>
      <c r="P1543" s="375" t="s">
        <v>619</v>
      </c>
      <c r="Q1543" s="372" t="s">
        <v>619</v>
      </c>
      <c r="R1543" s="696">
        <v>20170228</v>
      </c>
      <c r="S1543" s="372" t="s">
        <v>10230</v>
      </c>
      <c r="T1543" s="697">
        <v>0.20900000000000002</v>
      </c>
      <c r="U1543" s="372" t="s">
        <v>10231</v>
      </c>
      <c r="V1543" s="722">
        <v>13.22</v>
      </c>
      <c r="W1543" s="722">
        <v>1.5</v>
      </c>
      <c r="X1543" s="722">
        <v>0.93</v>
      </c>
      <c r="Y1543" s="722">
        <v>24.64</v>
      </c>
      <c r="Z1543" s="382" t="s">
        <v>924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10232</v>
      </c>
      <c r="B1544" s="373" t="s">
        <v>10233</v>
      </c>
      <c r="C1544" s="372" t="s">
        <v>10234</v>
      </c>
      <c r="D1544" s="374">
        <v>1341110005202</v>
      </c>
      <c r="E1544" s="372" t="s">
        <v>10235</v>
      </c>
      <c r="F1544" s="375" t="s">
        <v>2831</v>
      </c>
      <c r="G1544" s="375" t="s">
        <v>2831</v>
      </c>
      <c r="H1544" s="375" t="s">
        <v>750</v>
      </c>
      <c r="I1544" s="375" t="s">
        <v>751</v>
      </c>
      <c r="J1544" s="375">
        <v>273713.79116999998</v>
      </c>
      <c r="K1544" s="375">
        <v>22822.907670000001</v>
      </c>
      <c r="L1544" s="375">
        <v>28768.082340000001</v>
      </c>
      <c r="M1544" s="375">
        <v>170620.68867999999</v>
      </c>
      <c r="N1544" s="372">
        <v>8.1000000000000003E-2</v>
      </c>
      <c r="O1544" s="704">
        <v>1.5514853732836151</v>
      </c>
      <c r="P1544" s="375" t="s">
        <v>619</v>
      </c>
      <c r="Q1544" s="375" t="s">
        <v>619</v>
      </c>
      <c r="R1544" s="696">
        <v>19910903</v>
      </c>
      <c r="S1544" s="375" t="s">
        <v>10236</v>
      </c>
      <c r="T1544" s="697">
        <v>0.23100000000000001</v>
      </c>
      <c r="U1544" s="372" t="s">
        <v>10237</v>
      </c>
      <c r="V1544" s="722">
        <v>0</v>
      </c>
      <c r="W1544" s="722">
        <v>0</v>
      </c>
      <c r="X1544" s="722">
        <v>0</v>
      </c>
      <c r="Y1544" s="722">
        <v>0</v>
      </c>
      <c r="Z1544" s="382" t="s">
        <v>924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10238</v>
      </c>
      <c r="B1545" s="373" t="s">
        <v>10239</v>
      </c>
      <c r="C1545" s="372" t="s">
        <v>10240</v>
      </c>
      <c r="D1545" s="374">
        <v>1101112003640</v>
      </c>
      <c r="E1545" s="372" t="s">
        <v>10241</v>
      </c>
      <c r="F1545" s="375" t="s">
        <v>1793</v>
      </c>
      <c r="G1545" s="375" t="s">
        <v>2794</v>
      </c>
      <c r="H1545" s="375" t="s">
        <v>858</v>
      </c>
      <c r="I1545" s="375" t="s">
        <v>859</v>
      </c>
      <c r="J1545" s="375">
        <v>25619.225480000001</v>
      </c>
      <c r="K1545" s="375">
        <v>-381.67586999999997</v>
      </c>
      <c r="L1545" s="375">
        <v>414.84656000000001</v>
      </c>
      <c r="M1545" s="375">
        <v>33395.440399999999</v>
      </c>
      <c r="N1545" s="372" t="s">
        <v>1023</v>
      </c>
      <c r="O1545" s="704">
        <v>7.264074934561858</v>
      </c>
      <c r="P1545" s="375" t="s">
        <v>619</v>
      </c>
      <c r="Q1545" s="375" t="s">
        <v>619</v>
      </c>
      <c r="R1545" s="696">
        <v>20231004</v>
      </c>
      <c r="S1545" s="375" t="s">
        <v>10242</v>
      </c>
      <c r="T1545" s="697">
        <v>0.20900000000000002</v>
      </c>
      <c r="U1545" s="372" t="s">
        <v>10243</v>
      </c>
      <c r="V1545" s="722" t="s">
        <v>770</v>
      </c>
      <c r="W1545" s="722">
        <v>2.09</v>
      </c>
      <c r="X1545" s="722">
        <v>2.72</v>
      </c>
      <c r="Y1545" s="722">
        <v>59.23</v>
      </c>
      <c r="Z1545" s="382" t="s">
        <v>924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10244</v>
      </c>
      <c r="B1546" s="373" t="s">
        <v>10245</v>
      </c>
      <c r="C1546" s="372" t="s">
        <v>10246</v>
      </c>
      <c r="D1546" s="374">
        <v>1101110110083</v>
      </c>
      <c r="E1546" s="372" t="s">
        <v>10247</v>
      </c>
      <c r="F1546" s="372" t="s">
        <v>1588</v>
      </c>
      <c r="G1546" s="375" t="s">
        <v>1588</v>
      </c>
      <c r="H1546" s="375" t="s">
        <v>943</v>
      </c>
      <c r="I1546" s="375" t="s">
        <v>751</v>
      </c>
      <c r="J1546" s="375">
        <v>1181252</v>
      </c>
      <c r="K1546" s="375">
        <v>51510</v>
      </c>
      <c r="L1546" s="375">
        <v>34640</v>
      </c>
      <c r="M1546" s="375">
        <v>387276</v>
      </c>
      <c r="N1546" s="372">
        <v>0.56799999999999995</v>
      </c>
      <c r="O1546" s="704">
        <v>799.91211580057575</v>
      </c>
      <c r="P1546" s="375" t="s">
        <v>619</v>
      </c>
      <c r="Q1546" s="375" t="s">
        <v>619</v>
      </c>
      <c r="R1546" s="696">
        <v>19560303</v>
      </c>
      <c r="S1546" s="375" t="s">
        <v>851</v>
      </c>
      <c r="T1546" s="697">
        <v>0.23100000000000001</v>
      </c>
      <c r="U1546" s="372" t="s">
        <v>10248</v>
      </c>
      <c r="V1546" s="722">
        <v>5.53</v>
      </c>
      <c r="W1546" s="722">
        <v>0.27</v>
      </c>
      <c r="X1546" s="722">
        <v>0.09</v>
      </c>
      <c r="Y1546" s="722">
        <v>3.64</v>
      </c>
      <c r="Z1546" s="382" t="s">
        <v>924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10249</v>
      </c>
      <c r="B1547" s="373" t="s">
        <v>10250</v>
      </c>
      <c r="C1547" s="372" t="s">
        <v>16018</v>
      </c>
      <c r="D1547" s="374">
        <v>1942110216483</v>
      </c>
      <c r="E1547" s="372" t="s">
        <v>16019</v>
      </c>
      <c r="F1547" s="375" t="s">
        <v>4868</v>
      </c>
      <c r="G1547" s="375" t="s">
        <v>4868</v>
      </c>
      <c r="H1547" s="375" t="s">
        <v>858</v>
      </c>
      <c r="I1547" s="375" t="s">
        <v>859</v>
      </c>
      <c r="J1547" s="375">
        <v>38176.237119999998</v>
      </c>
      <c r="K1547" s="375">
        <v>802.48281999999995</v>
      </c>
      <c r="L1547" s="375">
        <v>730.11586999999997</v>
      </c>
      <c r="M1547" s="375">
        <v>30458.40886</v>
      </c>
      <c r="N1547" s="372">
        <v>0.44400000000000001</v>
      </c>
      <c r="O1547" s="704">
        <v>6.9343316003356446</v>
      </c>
      <c r="P1547" s="375" t="s">
        <v>619</v>
      </c>
      <c r="Q1547" s="372" t="s">
        <v>619</v>
      </c>
      <c r="R1547" s="696">
        <v>20170602</v>
      </c>
      <c r="S1547" s="375" t="s">
        <v>10251</v>
      </c>
      <c r="T1547" s="697">
        <v>0.20900000000000002</v>
      </c>
      <c r="U1547" s="372" t="s">
        <v>10252</v>
      </c>
      <c r="V1547" s="722">
        <v>22.95</v>
      </c>
      <c r="W1547" s="722">
        <v>3.16</v>
      </c>
      <c r="X1547" s="722">
        <v>2.52</v>
      </c>
      <c r="Y1547" s="722">
        <v>33.28</v>
      </c>
      <c r="Z1547" s="382" t="s">
        <v>924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10253</v>
      </c>
      <c r="B1548" s="373" t="s">
        <v>10254</v>
      </c>
      <c r="C1548" s="372" t="s">
        <v>10255</v>
      </c>
      <c r="D1548" s="374">
        <v>1701110023002</v>
      </c>
      <c r="E1548" s="372" t="s">
        <v>10256</v>
      </c>
      <c r="F1548" s="375" t="s">
        <v>1846</v>
      </c>
      <c r="G1548" s="375" t="s">
        <v>1847</v>
      </c>
      <c r="H1548" s="375" t="s">
        <v>4844</v>
      </c>
      <c r="I1548" s="375" t="s">
        <v>859</v>
      </c>
      <c r="J1548" s="375">
        <v>767325.65364000003</v>
      </c>
      <c r="K1548" s="375">
        <v>33013.349699999999</v>
      </c>
      <c r="L1548" s="375">
        <v>10725.94455</v>
      </c>
      <c r="M1548" s="375">
        <v>403533.63526000001</v>
      </c>
      <c r="N1548" s="372">
        <v>0.66900000000000004</v>
      </c>
      <c r="O1548" s="704">
        <v>740.26408088439712</v>
      </c>
      <c r="P1548" s="375" t="s">
        <v>619</v>
      </c>
      <c r="Q1548" s="372" t="s">
        <v>619</v>
      </c>
      <c r="R1548" s="696">
        <v>19940517</v>
      </c>
      <c r="S1548" s="372" t="s">
        <v>10257</v>
      </c>
      <c r="T1548" s="697">
        <v>0.20900000000000002</v>
      </c>
      <c r="U1548" s="372" t="s">
        <v>10258</v>
      </c>
      <c r="V1548" s="722">
        <v>12.78</v>
      </c>
      <c r="W1548" s="722">
        <v>0.2</v>
      </c>
      <c r="X1548" s="722">
        <v>0.11</v>
      </c>
      <c r="Y1548" s="722">
        <v>8.1300000000000008</v>
      </c>
      <c r="Z1548" s="382" t="s">
        <v>924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10259</v>
      </c>
      <c r="B1549" s="373" t="s">
        <v>10260</v>
      </c>
      <c r="C1549" s="372" t="s">
        <v>10261</v>
      </c>
      <c r="D1549" s="374">
        <v>1101110003212</v>
      </c>
      <c r="E1549" s="372" t="s">
        <v>10262</v>
      </c>
      <c r="F1549" s="372" t="s">
        <v>2004</v>
      </c>
      <c r="G1549" s="375" t="s">
        <v>2004</v>
      </c>
      <c r="H1549" s="375" t="s">
        <v>789</v>
      </c>
      <c r="I1549" s="375" t="s">
        <v>751</v>
      </c>
      <c r="J1549" s="375">
        <v>623491.43721999996</v>
      </c>
      <c r="K1549" s="375">
        <v>17295.986499999999</v>
      </c>
      <c r="L1549" s="375">
        <v>1279.48287</v>
      </c>
      <c r="M1549" s="375">
        <v>111982.82694</v>
      </c>
      <c r="N1549" s="372">
        <v>0.83499999999999996</v>
      </c>
      <c r="O1549" s="704">
        <v>156.88699148276336</v>
      </c>
      <c r="P1549" s="375" t="s">
        <v>619</v>
      </c>
      <c r="Q1549" s="372" t="s">
        <v>619</v>
      </c>
      <c r="R1549" s="696">
        <v>19760525</v>
      </c>
      <c r="S1549" s="372" t="s">
        <v>10263</v>
      </c>
      <c r="T1549" s="697">
        <v>0.20900000000000002</v>
      </c>
      <c r="U1549" s="372" t="s">
        <v>10264</v>
      </c>
      <c r="V1549" s="722">
        <v>9.73</v>
      </c>
      <c r="W1549" s="722">
        <v>1.1100000000000001</v>
      </c>
      <c r="X1549" s="722">
        <v>0.2</v>
      </c>
      <c r="Y1549" s="722" t="s">
        <v>770</v>
      </c>
      <c r="Z1549" s="382" t="s">
        <v>924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10265</v>
      </c>
      <c r="B1550" s="373" t="s">
        <v>10266</v>
      </c>
      <c r="C1550" s="372" t="s">
        <v>10267</v>
      </c>
      <c r="D1550" s="374">
        <v>1501110132344</v>
      </c>
      <c r="E1550" s="372" t="s">
        <v>10268</v>
      </c>
      <c r="F1550" s="372" t="s">
        <v>1793</v>
      </c>
      <c r="G1550" s="375" t="s">
        <v>1794</v>
      </c>
      <c r="H1550" s="375" t="s">
        <v>858</v>
      </c>
      <c r="I1550" s="375" t="s">
        <v>859</v>
      </c>
      <c r="J1550" s="375">
        <v>37350.515590000003</v>
      </c>
      <c r="K1550" s="375">
        <v>2981.3292999999999</v>
      </c>
      <c r="L1550" s="375">
        <v>3336.8105599999999</v>
      </c>
      <c r="M1550" s="375">
        <v>66169.472389999995</v>
      </c>
      <c r="N1550" s="372">
        <v>0.52</v>
      </c>
      <c r="O1550" s="704">
        <v>0.64928113287990752</v>
      </c>
      <c r="P1550" s="375" t="s">
        <v>619</v>
      </c>
      <c r="Q1550" s="372" t="s">
        <v>619</v>
      </c>
      <c r="R1550" s="696">
        <v>20211117</v>
      </c>
      <c r="S1550" s="372" t="s">
        <v>10269</v>
      </c>
      <c r="T1550" s="697">
        <v>0.20900000000000002</v>
      </c>
      <c r="U1550" s="372" t="s">
        <v>10270</v>
      </c>
      <c r="V1550" s="722">
        <v>15.65</v>
      </c>
      <c r="W1550" s="722">
        <v>0.81</v>
      </c>
      <c r="X1550" s="722">
        <v>1.59</v>
      </c>
      <c r="Y1550" s="722">
        <v>18.600000000000001</v>
      </c>
      <c r="Z1550" s="382" t="s">
        <v>924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10271</v>
      </c>
      <c r="B1551" s="373" t="s">
        <v>10272</v>
      </c>
      <c r="C1551" s="372" t="s">
        <v>15913</v>
      </c>
      <c r="D1551" s="374">
        <v>1701110006868</v>
      </c>
      <c r="E1551" s="372" t="s">
        <v>15914</v>
      </c>
      <c r="F1551" s="375" t="s">
        <v>10273</v>
      </c>
      <c r="G1551" s="375" t="s">
        <v>10274</v>
      </c>
      <c r="H1551" s="375" t="s">
        <v>1536</v>
      </c>
      <c r="I1551" s="375" t="s">
        <v>751</v>
      </c>
      <c r="J1551" s="375">
        <v>16402.546429999999</v>
      </c>
      <c r="K1551" s="375">
        <v>-9831.9353900000006</v>
      </c>
      <c r="L1551" s="375">
        <v>-40716.709730000002</v>
      </c>
      <c r="M1551" s="375">
        <v>29672.159879999999</v>
      </c>
      <c r="N1551" s="372">
        <v>0.47099999999999997</v>
      </c>
      <c r="O1551" s="704">
        <v>192.71836841885926</v>
      </c>
      <c r="P1551" s="375" t="s">
        <v>619</v>
      </c>
      <c r="Q1551" s="375" t="s">
        <v>619</v>
      </c>
      <c r="R1551" s="696">
        <v>19951110</v>
      </c>
      <c r="S1551" s="375" t="s">
        <v>10275</v>
      </c>
      <c r="T1551" s="697" t="s">
        <v>768</v>
      </c>
      <c r="U1551" s="372" t="s">
        <v>10276</v>
      </c>
      <c r="V1551" s="722" t="s">
        <v>770</v>
      </c>
      <c r="W1551" s="722">
        <v>1.49</v>
      </c>
      <c r="X1551" s="722">
        <v>2.69</v>
      </c>
      <c r="Y1551" s="722" t="s">
        <v>770</v>
      </c>
      <c r="Z1551" s="382" t="s">
        <v>924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10277</v>
      </c>
      <c r="B1552" s="373" t="s">
        <v>10278</v>
      </c>
      <c r="C1552" s="372" t="s">
        <v>10279</v>
      </c>
      <c r="D1552" s="374">
        <v>1545110012907</v>
      </c>
      <c r="E1552" s="372" t="s">
        <v>10280</v>
      </c>
      <c r="F1552" s="372" t="s">
        <v>16098</v>
      </c>
      <c r="G1552" s="375" t="s">
        <v>16098</v>
      </c>
      <c r="H1552" s="375" t="s">
        <v>858</v>
      </c>
      <c r="I1552" s="375" t="s">
        <v>859</v>
      </c>
      <c r="J1552" s="375">
        <v>81558.031839999996</v>
      </c>
      <c r="K1552" s="375">
        <v>18578.748530000001</v>
      </c>
      <c r="L1552" s="375">
        <v>18042.07458</v>
      </c>
      <c r="M1552" s="375">
        <v>116320.94560000001</v>
      </c>
      <c r="N1552" s="372">
        <v>0.44800000000000001</v>
      </c>
      <c r="O1552" s="704">
        <v>7.8917957201737972</v>
      </c>
      <c r="P1552" s="375" t="s">
        <v>619</v>
      </c>
      <c r="Q1552" s="375" t="s">
        <v>619</v>
      </c>
      <c r="R1552" s="696">
        <v>20100728</v>
      </c>
      <c r="S1552" s="375" t="s">
        <v>10281</v>
      </c>
      <c r="T1552" s="697">
        <v>0.20900000000000002</v>
      </c>
      <c r="U1552" s="372" t="s">
        <v>10282</v>
      </c>
      <c r="V1552" s="722">
        <v>0</v>
      </c>
      <c r="W1552" s="722">
        <v>0</v>
      </c>
      <c r="X1552" s="722">
        <v>0</v>
      </c>
      <c r="Y1552" s="722">
        <v>0</v>
      </c>
      <c r="Z1552" s="382" t="s">
        <v>924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10283</v>
      </c>
      <c r="B1553" s="373" t="s">
        <v>10284</v>
      </c>
      <c r="C1553" s="372" t="s">
        <v>10285</v>
      </c>
      <c r="D1553" s="374">
        <v>1101112629347</v>
      </c>
      <c r="E1553" s="372" t="s">
        <v>10286</v>
      </c>
      <c r="F1553" s="375" t="s">
        <v>4220</v>
      </c>
      <c r="G1553" s="375" t="s">
        <v>4221</v>
      </c>
      <c r="H1553" s="375" t="s">
        <v>1334</v>
      </c>
      <c r="I1553" s="375" t="s">
        <v>859</v>
      </c>
      <c r="J1553" s="375">
        <v>87372.817009999999</v>
      </c>
      <c r="K1553" s="375">
        <v>15619.575210000001</v>
      </c>
      <c r="L1553" s="375">
        <v>15028.977800000001</v>
      </c>
      <c r="M1553" s="375">
        <v>100075.72209</v>
      </c>
      <c r="N1553" s="372">
        <v>0.54400000000000004</v>
      </c>
      <c r="O1553" s="704">
        <v>7.6282543162719634</v>
      </c>
      <c r="P1553" s="375" t="s">
        <v>619</v>
      </c>
      <c r="Q1553" s="375" t="s">
        <v>619</v>
      </c>
      <c r="R1553" s="696">
        <v>20111222</v>
      </c>
      <c r="S1553" s="375" t="s">
        <v>10287</v>
      </c>
      <c r="T1553" s="697">
        <v>0.20900000000000002</v>
      </c>
      <c r="U1553" s="372" t="s">
        <v>10288</v>
      </c>
      <c r="V1553" s="722">
        <v>4.07</v>
      </c>
      <c r="W1553" s="722">
        <v>0.8</v>
      </c>
      <c r="X1553" s="722">
        <v>0.92</v>
      </c>
      <c r="Y1553" s="722">
        <v>7.09</v>
      </c>
      <c r="Z1553" s="382">
        <v>1.0606507752135119E-2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880</v>
      </c>
      <c r="AF1553" s="372">
        <v>899</v>
      </c>
      <c r="AG1553" s="372">
        <v>917</v>
      </c>
      <c r="AH1553" s="372">
        <v>935</v>
      </c>
    </row>
    <row r="1554" spans="1:34">
      <c r="A1554" s="372" t="s">
        <v>10289</v>
      </c>
      <c r="B1554" s="373" t="s">
        <v>10290</v>
      </c>
      <c r="C1554" s="372" t="s">
        <v>10291</v>
      </c>
      <c r="D1554" s="374">
        <v>1201110009268</v>
      </c>
      <c r="E1554" s="372" t="s">
        <v>10292</v>
      </c>
      <c r="F1554" s="372" t="s">
        <v>2011</v>
      </c>
      <c r="G1554" s="375" t="s">
        <v>2011</v>
      </c>
      <c r="H1554" s="375" t="s">
        <v>858</v>
      </c>
      <c r="I1554" s="375" t="s">
        <v>859</v>
      </c>
      <c r="J1554" s="375">
        <v>92093.027100000007</v>
      </c>
      <c r="K1554" s="375">
        <v>6952.1386499999999</v>
      </c>
      <c r="L1554" s="375">
        <v>-21044.329369999999</v>
      </c>
      <c r="M1554" s="375">
        <v>151001.32589000001</v>
      </c>
      <c r="N1554" s="372">
        <v>0.49299999999999999</v>
      </c>
      <c r="O1554" s="704">
        <v>0.45491219168378866</v>
      </c>
      <c r="P1554" s="375" t="s">
        <v>16112</v>
      </c>
      <c r="Q1554" s="375" t="s">
        <v>16113</v>
      </c>
      <c r="R1554" s="696">
        <v>19930630</v>
      </c>
      <c r="S1554" s="375" t="s">
        <v>10293</v>
      </c>
      <c r="T1554" s="697" t="s">
        <v>768</v>
      </c>
      <c r="U1554" s="372" t="s">
        <v>10294</v>
      </c>
      <c r="V1554" s="722">
        <v>0</v>
      </c>
      <c r="W1554" s="722">
        <v>0</v>
      </c>
      <c r="X1554" s="722">
        <v>0</v>
      </c>
      <c r="Y1554" s="722">
        <v>0</v>
      </c>
      <c r="Z1554" s="382" t="s">
        <v>924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10295</v>
      </c>
      <c r="B1555" s="373" t="s">
        <v>10296</v>
      </c>
      <c r="C1555" s="372" t="s">
        <v>10297</v>
      </c>
      <c r="D1555" s="374">
        <v>1101110529820</v>
      </c>
      <c r="E1555" s="372" t="s">
        <v>10298</v>
      </c>
      <c r="F1555" s="375" t="s">
        <v>1411</v>
      </c>
      <c r="G1555" s="375" t="s">
        <v>1411</v>
      </c>
      <c r="H1555" s="375" t="s">
        <v>858</v>
      </c>
      <c r="I1555" s="375" t="s">
        <v>859</v>
      </c>
      <c r="J1555" s="375">
        <v>201316.29678999999</v>
      </c>
      <c r="K1555" s="375">
        <v>9491.2793500000007</v>
      </c>
      <c r="L1555" s="375">
        <v>17357.733629999999</v>
      </c>
      <c r="M1555" s="375">
        <v>142172.30846999999</v>
      </c>
      <c r="N1555" s="372">
        <v>0.78900000000000003</v>
      </c>
      <c r="O1555" s="704">
        <v>0</v>
      </c>
      <c r="P1555" s="375" t="s">
        <v>619</v>
      </c>
      <c r="Q1555" s="375" t="s">
        <v>619</v>
      </c>
      <c r="R1555" s="696">
        <v>20010109</v>
      </c>
      <c r="S1555" s="375" t="s">
        <v>10299</v>
      </c>
      <c r="T1555" s="697">
        <v>0.20900000000000002</v>
      </c>
      <c r="U1555" s="372" t="s">
        <v>10300</v>
      </c>
      <c r="V1555" s="722">
        <v>6.09</v>
      </c>
      <c r="W1555" s="722">
        <v>0.56000000000000005</v>
      </c>
      <c r="X1555" s="722">
        <v>0.39</v>
      </c>
      <c r="Y1555" s="722">
        <v>6.01</v>
      </c>
      <c r="Z1555" s="382" t="s">
        <v>924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10301</v>
      </c>
      <c r="B1556" s="373" t="s">
        <v>10302</v>
      </c>
      <c r="C1556" s="372" t="s">
        <v>10303</v>
      </c>
      <c r="D1556" s="374">
        <v>1101111051137</v>
      </c>
      <c r="E1556" s="372" t="s">
        <v>10304</v>
      </c>
      <c r="F1556" s="375" t="s">
        <v>6361</v>
      </c>
      <c r="G1556" s="375" t="s">
        <v>6361</v>
      </c>
      <c r="H1556" s="375" t="s">
        <v>858</v>
      </c>
      <c r="I1556" s="375" t="s">
        <v>859</v>
      </c>
      <c r="J1556" s="375">
        <v>67185.405530000004</v>
      </c>
      <c r="K1556" s="375">
        <v>-739.85631000000001</v>
      </c>
      <c r="L1556" s="375">
        <v>-3829.7137499999999</v>
      </c>
      <c r="M1556" s="375">
        <v>79363.66992</v>
      </c>
      <c r="N1556" s="372">
        <v>0.75700000000000001</v>
      </c>
      <c r="O1556" s="704">
        <v>3.7995150208327404</v>
      </c>
      <c r="P1556" s="375" t="s">
        <v>619</v>
      </c>
      <c r="Q1556" s="375" t="s">
        <v>619</v>
      </c>
      <c r="R1556" s="696">
        <v>20021206</v>
      </c>
      <c r="S1556" s="375" t="s">
        <v>10305</v>
      </c>
      <c r="T1556" s="697" t="s">
        <v>768</v>
      </c>
      <c r="U1556" s="372" t="s">
        <v>10306</v>
      </c>
      <c r="V1556" s="722">
        <v>0</v>
      </c>
      <c r="W1556" s="722">
        <v>0</v>
      </c>
      <c r="X1556" s="722">
        <v>0</v>
      </c>
      <c r="Y1556" s="722">
        <v>0</v>
      </c>
      <c r="Z1556" s="382" t="s">
        <v>924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10307</v>
      </c>
      <c r="B1557" s="373" t="s">
        <v>10308</v>
      </c>
      <c r="C1557" s="372" t="s">
        <v>10309</v>
      </c>
      <c r="D1557" s="374">
        <v>1101113691973</v>
      </c>
      <c r="E1557" s="372" t="s">
        <v>10310</v>
      </c>
      <c r="F1557" s="372" t="s">
        <v>6687</v>
      </c>
      <c r="G1557" s="375" t="s">
        <v>6688</v>
      </c>
      <c r="H1557" s="375" t="s">
        <v>852</v>
      </c>
      <c r="I1557" s="375" t="s">
        <v>751</v>
      </c>
      <c r="J1557" s="375">
        <v>468419.96944000002</v>
      </c>
      <c r="K1557" s="375">
        <v>21308.314719999998</v>
      </c>
      <c r="L1557" s="375">
        <v>5316.7747499999996</v>
      </c>
      <c r="M1557" s="375">
        <v>236015.48441</v>
      </c>
      <c r="N1557" s="372">
        <v>0.59</v>
      </c>
      <c r="O1557" s="704">
        <v>63.214775278403664</v>
      </c>
      <c r="P1557" s="375" t="s">
        <v>619</v>
      </c>
      <c r="Q1557" s="372" t="s">
        <v>619</v>
      </c>
      <c r="R1557" s="696">
        <v>20201120</v>
      </c>
      <c r="S1557" s="372" t="s">
        <v>10311</v>
      </c>
      <c r="T1557" s="697">
        <v>0.20900000000000002</v>
      </c>
      <c r="U1557" s="372" t="s">
        <v>10312</v>
      </c>
      <c r="V1557" s="722">
        <v>4.3499999999999996</v>
      </c>
      <c r="W1557" s="722">
        <v>0.66</v>
      </c>
      <c r="X1557" s="722">
        <v>0.2</v>
      </c>
      <c r="Y1557" s="722" t="s">
        <v>770</v>
      </c>
      <c r="Z1557" s="382" t="s">
        <v>924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4531</v>
      </c>
      <c r="AF1557" s="372">
        <v>3590</v>
      </c>
      <c r="AG1557" s="372">
        <v>0</v>
      </c>
      <c r="AH1557" s="372">
        <v>0</v>
      </c>
    </row>
    <row r="1558" spans="1:34">
      <c r="A1558" s="372" t="s">
        <v>10313</v>
      </c>
      <c r="B1558" s="373" t="s">
        <v>10314</v>
      </c>
      <c r="C1558" s="372" t="s">
        <v>10315</v>
      </c>
      <c r="D1558" s="374">
        <v>1352110022823</v>
      </c>
      <c r="E1558" s="372" t="s">
        <v>10316</v>
      </c>
      <c r="F1558" s="375" t="s">
        <v>1052</v>
      </c>
      <c r="G1558" s="375" t="s">
        <v>16101</v>
      </c>
      <c r="H1558" s="375" t="s">
        <v>858</v>
      </c>
      <c r="I1558" s="375" t="s">
        <v>859</v>
      </c>
      <c r="J1558" s="375">
        <v>8494.3555699999997</v>
      </c>
      <c r="K1558" s="375">
        <v>-14712.086139999999</v>
      </c>
      <c r="L1558" s="375">
        <v>-13141.63385</v>
      </c>
      <c r="M1558" s="375">
        <v>51946.305310000003</v>
      </c>
      <c r="N1558" s="372">
        <v>0.93500000000000005</v>
      </c>
      <c r="O1558" s="704">
        <v>20.694851957485447</v>
      </c>
      <c r="P1558" s="375" t="s">
        <v>619</v>
      </c>
      <c r="Q1558" s="372" t="s">
        <v>619</v>
      </c>
      <c r="R1558" s="696">
        <v>20170223</v>
      </c>
      <c r="S1558" s="372" t="s">
        <v>10317</v>
      </c>
      <c r="T1558" s="697" t="s">
        <v>768</v>
      </c>
      <c r="U1558" s="372" t="s">
        <v>10318</v>
      </c>
      <c r="V1558" s="722" t="s">
        <v>770</v>
      </c>
      <c r="W1558" s="722">
        <v>1.45</v>
      </c>
      <c r="X1558" s="722">
        <v>7.79</v>
      </c>
      <c r="Y1558" s="722" t="s">
        <v>770</v>
      </c>
      <c r="Z1558" s="382" t="s">
        <v>924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10319</v>
      </c>
      <c r="B1559" s="373" t="s">
        <v>10320</v>
      </c>
      <c r="C1559" s="372" t="s">
        <v>10321</v>
      </c>
      <c r="D1559" s="374">
        <v>1615110003619</v>
      </c>
      <c r="E1559" s="372" t="s">
        <v>10322</v>
      </c>
      <c r="F1559" s="375" t="s">
        <v>1300</v>
      </c>
      <c r="G1559" s="375" t="s">
        <v>1300</v>
      </c>
      <c r="H1559" s="375" t="s">
        <v>858</v>
      </c>
      <c r="I1559" s="375" t="s">
        <v>859</v>
      </c>
      <c r="J1559" s="375">
        <v>58043.680890000003</v>
      </c>
      <c r="K1559" s="375">
        <v>-8148.3164699999998</v>
      </c>
      <c r="L1559" s="375">
        <v>-15152.9362</v>
      </c>
      <c r="M1559" s="375">
        <v>24260.815159999998</v>
      </c>
      <c r="N1559" s="372">
        <v>1.101</v>
      </c>
      <c r="O1559" s="704">
        <v>173.34155752789104</v>
      </c>
      <c r="P1559" s="375" t="s">
        <v>619</v>
      </c>
      <c r="Q1559" s="372" t="s">
        <v>619</v>
      </c>
      <c r="R1559" s="696">
        <v>20000107</v>
      </c>
      <c r="S1559" s="372" t="s">
        <v>10323</v>
      </c>
      <c r="T1559" s="697" t="s">
        <v>768</v>
      </c>
      <c r="U1559" s="372" t="s">
        <v>10324</v>
      </c>
      <c r="V1559" s="722" t="s">
        <v>770</v>
      </c>
      <c r="W1559" s="722">
        <v>1.17</v>
      </c>
      <c r="X1559" s="722">
        <v>1.08</v>
      </c>
      <c r="Y1559" s="722" t="s">
        <v>770</v>
      </c>
      <c r="Z1559" s="382" t="s">
        <v>924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10325</v>
      </c>
      <c r="B1560" s="373" t="s">
        <v>10326</v>
      </c>
      <c r="C1560" s="372" t="s">
        <v>10327</v>
      </c>
      <c r="D1560" s="374">
        <v>1101117196523</v>
      </c>
      <c r="E1560" s="372" t="s">
        <v>10328</v>
      </c>
      <c r="F1560" s="372" t="s">
        <v>1010</v>
      </c>
      <c r="G1560" s="375" t="s">
        <v>1010</v>
      </c>
      <c r="H1560" s="375" t="s">
        <v>858</v>
      </c>
      <c r="I1560" s="375" t="s">
        <v>859</v>
      </c>
      <c r="J1560" s="375">
        <v>48880.419500000004</v>
      </c>
      <c r="K1560" s="375">
        <v>7477.4122200000002</v>
      </c>
      <c r="L1560" s="375">
        <v>8255.8927600000006</v>
      </c>
      <c r="M1560" s="375">
        <v>72246.03138</v>
      </c>
      <c r="N1560" s="372">
        <v>0.77100000000000002</v>
      </c>
      <c r="O1560" s="704">
        <v>32.660070483121658</v>
      </c>
      <c r="P1560" s="375" t="s">
        <v>619</v>
      </c>
      <c r="Q1560" s="372" t="s">
        <v>619</v>
      </c>
      <c r="R1560" s="696">
        <v>20191106</v>
      </c>
      <c r="S1560" s="372" t="s">
        <v>10329</v>
      </c>
      <c r="T1560" s="697">
        <v>0.20900000000000002</v>
      </c>
      <c r="U1560" s="372" t="s">
        <v>10330</v>
      </c>
      <c r="V1560" s="722">
        <v>15.01</v>
      </c>
      <c r="W1560" s="722">
        <v>2.4300000000000002</v>
      </c>
      <c r="X1560" s="722">
        <v>1.84</v>
      </c>
      <c r="Y1560" s="722">
        <v>32.950000000000003</v>
      </c>
      <c r="Z1560" s="382" t="s">
        <v>924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10331</v>
      </c>
      <c r="B1561" s="373" t="s">
        <v>10332</v>
      </c>
      <c r="C1561" s="372" t="s">
        <v>10333</v>
      </c>
      <c r="D1561" s="374">
        <v>1101110753734</v>
      </c>
      <c r="E1561" s="372" t="s">
        <v>10334</v>
      </c>
      <c r="F1561" s="375" t="s">
        <v>10335</v>
      </c>
      <c r="G1561" s="375" t="s">
        <v>10335</v>
      </c>
      <c r="H1561" s="375" t="s">
        <v>1334</v>
      </c>
      <c r="I1561" s="375" t="s">
        <v>859</v>
      </c>
      <c r="J1561" s="375">
        <v>71485.220480000004</v>
      </c>
      <c r="K1561" s="375">
        <v>1686.20805</v>
      </c>
      <c r="L1561" s="375">
        <v>-1843.10365</v>
      </c>
      <c r="M1561" s="375">
        <v>58580.681680000002</v>
      </c>
      <c r="N1561" s="372">
        <v>0.997</v>
      </c>
      <c r="O1561" s="704">
        <v>54.804142795035595</v>
      </c>
      <c r="P1561" s="375" t="s">
        <v>619</v>
      </c>
      <c r="Q1561" s="375" t="s">
        <v>619</v>
      </c>
      <c r="R1561" s="696">
        <v>20100615</v>
      </c>
      <c r="S1561" s="375" t="s">
        <v>10336</v>
      </c>
      <c r="T1561" s="697" t="s">
        <v>768</v>
      </c>
      <c r="U1561" s="372" t="s">
        <v>10337</v>
      </c>
      <c r="V1561" s="722">
        <v>15.73</v>
      </c>
      <c r="W1561" s="722">
        <v>1.08</v>
      </c>
      <c r="X1561" s="722">
        <v>0.89</v>
      </c>
      <c r="Y1561" s="722" t="s">
        <v>770</v>
      </c>
      <c r="Z1561" s="382" t="s">
        <v>924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10338</v>
      </c>
      <c r="B1562" s="373" t="s">
        <v>10339</v>
      </c>
      <c r="C1562" s="372" t="s">
        <v>10340</v>
      </c>
      <c r="D1562" s="374">
        <v>1201110002056</v>
      </c>
      <c r="E1562" s="372" t="s">
        <v>10341</v>
      </c>
      <c r="F1562" s="375" t="s">
        <v>2482</v>
      </c>
      <c r="G1562" s="375" t="s">
        <v>2483</v>
      </c>
      <c r="H1562" s="375" t="s">
        <v>809</v>
      </c>
      <c r="I1562" s="375" t="s">
        <v>751</v>
      </c>
      <c r="J1562" s="375">
        <v>275632.18611000001</v>
      </c>
      <c r="K1562" s="375">
        <v>7323.19398</v>
      </c>
      <c r="L1562" s="375">
        <v>-18138.573909999999</v>
      </c>
      <c r="M1562" s="375">
        <v>109164.72302</v>
      </c>
      <c r="N1562" s="372">
        <v>1.222</v>
      </c>
      <c r="O1562" s="704">
        <v>45.196754009674819</v>
      </c>
      <c r="P1562" s="375" t="s">
        <v>619</v>
      </c>
      <c r="Q1562" s="372" t="s">
        <v>619</v>
      </c>
      <c r="R1562" s="696">
        <v>19770305</v>
      </c>
      <c r="S1562" s="372" t="s">
        <v>10342</v>
      </c>
      <c r="T1562" s="697" t="s">
        <v>768</v>
      </c>
      <c r="U1562" s="372" t="s">
        <v>10343</v>
      </c>
      <c r="V1562" s="722">
        <v>11.28</v>
      </c>
      <c r="W1562" s="722">
        <v>1.28</v>
      </c>
      <c r="X1562" s="722">
        <v>0.51</v>
      </c>
      <c r="Y1562" s="722" t="s">
        <v>770</v>
      </c>
      <c r="Z1562" s="382" t="s">
        <v>924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10344</v>
      </c>
      <c r="B1563" s="373" t="s">
        <v>10345</v>
      </c>
      <c r="C1563" s="372" t="s">
        <v>10346</v>
      </c>
      <c r="D1563" s="374">
        <v>1760110008737</v>
      </c>
      <c r="E1563" s="372" t="s">
        <v>10347</v>
      </c>
      <c r="F1563" s="375" t="s">
        <v>1273</v>
      </c>
      <c r="G1563" s="375" t="s">
        <v>1449</v>
      </c>
      <c r="H1563" s="375" t="s">
        <v>858</v>
      </c>
      <c r="I1563" s="375" t="s">
        <v>859</v>
      </c>
      <c r="J1563" s="375">
        <v>403480.28459</v>
      </c>
      <c r="K1563" s="375">
        <v>19142.4094</v>
      </c>
      <c r="L1563" s="375">
        <v>19064.076939999999</v>
      </c>
      <c r="M1563" s="375">
        <v>145378.62510999999</v>
      </c>
      <c r="N1563" s="372">
        <v>0.64600000000000002</v>
      </c>
      <c r="O1563" s="704">
        <v>0.45004294963612579</v>
      </c>
      <c r="P1563" s="375" t="s">
        <v>619</v>
      </c>
      <c r="Q1563" s="372" t="s">
        <v>619</v>
      </c>
      <c r="R1563" s="696">
        <v>20020111</v>
      </c>
      <c r="S1563" s="375" t="s">
        <v>10348</v>
      </c>
      <c r="T1563" s="697">
        <v>0.20900000000000002</v>
      </c>
      <c r="U1563" s="372" t="s">
        <v>10349</v>
      </c>
      <c r="V1563" s="722">
        <v>3.22</v>
      </c>
      <c r="W1563" s="722">
        <v>0.56000000000000005</v>
      </c>
      <c r="X1563" s="722">
        <v>0.21</v>
      </c>
      <c r="Y1563" s="722">
        <v>5.22</v>
      </c>
      <c r="Z1563" s="382" t="s">
        <v>924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4070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10350</v>
      </c>
      <c r="B1564" s="373" t="s">
        <v>10351</v>
      </c>
      <c r="C1564" s="372" t="s">
        <v>10352</v>
      </c>
      <c r="D1564" s="374">
        <v>1101110179659</v>
      </c>
      <c r="E1564" s="372" t="s">
        <v>10353</v>
      </c>
      <c r="F1564" s="375" t="s">
        <v>1066</v>
      </c>
      <c r="G1564" s="375" t="s">
        <v>1066</v>
      </c>
      <c r="H1564" s="375" t="s">
        <v>843</v>
      </c>
      <c r="I1564" s="375" t="s">
        <v>751</v>
      </c>
      <c r="J1564" s="375">
        <v>68534.02781</v>
      </c>
      <c r="K1564" s="375">
        <v>-14205.79933</v>
      </c>
      <c r="L1564" s="375">
        <v>-75939.58971</v>
      </c>
      <c r="M1564" s="375">
        <v>28340.244879999998</v>
      </c>
      <c r="N1564" s="372">
        <v>1.0820000000000001</v>
      </c>
      <c r="O1564" s="704">
        <v>3.8169915116564384</v>
      </c>
      <c r="P1564" s="375" t="s">
        <v>16112</v>
      </c>
      <c r="Q1564" s="375" t="s">
        <v>16113</v>
      </c>
      <c r="R1564" s="696">
        <v>19970718</v>
      </c>
      <c r="S1564" s="375" t="s">
        <v>10354</v>
      </c>
      <c r="T1564" s="697" t="s">
        <v>768</v>
      </c>
      <c r="U1564" s="372" t="s">
        <v>10355</v>
      </c>
      <c r="V1564" s="722" t="s">
        <v>770</v>
      </c>
      <c r="W1564" s="722">
        <v>1.75</v>
      </c>
      <c r="X1564" s="722">
        <v>0.72</v>
      </c>
      <c r="Y1564" s="722" t="s">
        <v>770</v>
      </c>
      <c r="Z1564" s="382" t="s">
        <v>924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10356</v>
      </c>
      <c r="B1565" s="373" t="s">
        <v>10357</v>
      </c>
      <c r="C1565" s="372" t="s">
        <v>16020</v>
      </c>
      <c r="D1565" s="374">
        <v>1101115970961</v>
      </c>
      <c r="E1565" s="372" t="s">
        <v>16021</v>
      </c>
      <c r="F1565" s="372" t="s">
        <v>2515</v>
      </c>
      <c r="G1565" s="375" t="s">
        <v>2515</v>
      </c>
      <c r="H1565" s="375" t="s">
        <v>1334</v>
      </c>
      <c r="I1565" s="375" t="s">
        <v>859</v>
      </c>
      <c r="J1565" s="375">
        <v>15860.689469999999</v>
      </c>
      <c r="K1565" s="375">
        <v>-4393.0152099999996</v>
      </c>
      <c r="L1565" s="375">
        <v>-5937.9384700000001</v>
      </c>
      <c r="M1565" s="375">
        <v>23911.233509999998</v>
      </c>
      <c r="N1565" s="372">
        <v>1.0069999999999999</v>
      </c>
      <c r="O1565" s="704">
        <v>1.2786776503295894</v>
      </c>
      <c r="P1565" s="375" t="s">
        <v>619</v>
      </c>
      <c r="Q1565" s="372" t="s">
        <v>619</v>
      </c>
      <c r="R1565" s="696">
        <v>20160609</v>
      </c>
      <c r="S1565" s="372" t="s">
        <v>10358</v>
      </c>
      <c r="T1565" s="697" t="s">
        <v>768</v>
      </c>
      <c r="U1565" s="372" t="s">
        <v>10359</v>
      </c>
      <c r="V1565" s="722" t="s">
        <v>770</v>
      </c>
      <c r="W1565" s="722">
        <v>2.13</v>
      </c>
      <c r="X1565" s="722">
        <v>3.13</v>
      </c>
      <c r="Y1565" s="722" t="s">
        <v>770</v>
      </c>
      <c r="Z1565" s="382" t="s">
        <v>924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10360</v>
      </c>
      <c r="B1566" s="373" t="s">
        <v>10361</v>
      </c>
      <c r="C1566" s="372" t="s">
        <v>10362</v>
      </c>
      <c r="D1566" s="374">
        <v>1311110100021</v>
      </c>
      <c r="E1566" s="372" t="s">
        <v>10363</v>
      </c>
      <c r="F1566" s="375" t="s">
        <v>2121</v>
      </c>
      <c r="G1566" s="375" t="s">
        <v>4228</v>
      </c>
      <c r="H1566" s="375" t="s">
        <v>858</v>
      </c>
      <c r="I1566" s="375" t="s">
        <v>859</v>
      </c>
      <c r="J1566" s="375">
        <v>23423.028699999999</v>
      </c>
      <c r="K1566" s="375">
        <v>453.30248</v>
      </c>
      <c r="L1566" s="375">
        <v>5051.7702499999996</v>
      </c>
      <c r="M1566" s="375">
        <v>37525.594279999998</v>
      </c>
      <c r="N1566" s="372">
        <v>0.73399999999999999</v>
      </c>
      <c r="O1566" s="704">
        <v>16.398878682009347</v>
      </c>
      <c r="P1566" s="375" t="s">
        <v>619</v>
      </c>
      <c r="Q1566" s="372" t="s">
        <v>619</v>
      </c>
      <c r="R1566" s="696">
        <v>20180814</v>
      </c>
      <c r="S1566" s="372" t="s">
        <v>10364</v>
      </c>
      <c r="T1566" s="697">
        <v>0.20900000000000002</v>
      </c>
      <c r="U1566" s="372" t="s">
        <v>10365</v>
      </c>
      <c r="V1566" s="722">
        <v>54.45</v>
      </c>
      <c r="W1566" s="722">
        <v>2.41</v>
      </c>
      <c r="X1566" s="722">
        <v>3.92</v>
      </c>
      <c r="Y1566" s="722">
        <v>18.87</v>
      </c>
      <c r="Z1566" s="382" t="s">
        <v>924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10366</v>
      </c>
      <c r="B1567" s="373" t="s">
        <v>10367</v>
      </c>
      <c r="C1567" s="372" t="s">
        <v>10368</v>
      </c>
      <c r="D1567" s="374">
        <v>1911110000782</v>
      </c>
      <c r="E1567" s="372" t="s">
        <v>10369</v>
      </c>
      <c r="F1567" s="375" t="s">
        <v>7209</v>
      </c>
      <c r="G1567" s="375" t="s">
        <v>5359</v>
      </c>
      <c r="H1567" s="375" t="s">
        <v>3954</v>
      </c>
      <c r="I1567" s="375" t="s">
        <v>751</v>
      </c>
      <c r="J1567" s="375">
        <v>1393610.74649</v>
      </c>
      <c r="K1567" s="375">
        <v>108986.67925</v>
      </c>
      <c r="L1567" s="375">
        <v>48896.871460000002</v>
      </c>
      <c r="M1567" s="375">
        <v>720719.59392000001</v>
      </c>
      <c r="N1567" s="372">
        <v>0.86199999999999999</v>
      </c>
      <c r="O1567" s="704">
        <v>1601.612726384009</v>
      </c>
      <c r="P1567" s="375" t="s">
        <v>619</v>
      </c>
      <c r="Q1567" s="375" t="s">
        <v>619</v>
      </c>
      <c r="R1567" s="696">
        <v>19900609</v>
      </c>
      <c r="S1567" s="375" t="s">
        <v>10370</v>
      </c>
      <c r="T1567" s="697">
        <v>0.23100000000000001</v>
      </c>
      <c r="U1567" s="372" t="s">
        <v>6491</v>
      </c>
      <c r="V1567" s="722">
        <v>7.18</v>
      </c>
      <c r="W1567" s="722">
        <v>0.2</v>
      </c>
      <c r="X1567" s="722">
        <v>0.06</v>
      </c>
      <c r="Y1567" s="722">
        <v>2.34</v>
      </c>
      <c r="Z1567" s="382" t="s">
        <v>924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10371</v>
      </c>
      <c r="B1568" s="373" t="s">
        <v>10372</v>
      </c>
      <c r="C1568" s="372" t="s">
        <v>10373</v>
      </c>
      <c r="D1568" s="374">
        <v>1760110078920</v>
      </c>
      <c r="E1568" s="372" t="s">
        <v>10374</v>
      </c>
      <c r="F1568" s="375" t="s">
        <v>1944</v>
      </c>
      <c r="G1568" s="375" t="s">
        <v>2495</v>
      </c>
      <c r="H1568" s="375" t="s">
        <v>858</v>
      </c>
      <c r="I1568" s="375" t="s">
        <v>859</v>
      </c>
      <c r="J1568" s="375">
        <v>7955.8378599999996</v>
      </c>
      <c r="K1568" s="375">
        <v>-7640.93948</v>
      </c>
      <c r="L1568" s="375">
        <v>-3991.7480300000002</v>
      </c>
      <c r="M1568" s="375">
        <v>13665.589749999999</v>
      </c>
      <c r="N1568" s="372">
        <v>1.079</v>
      </c>
      <c r="O1568" s="704">
        <v>5.6383578778577741</v>
      </c>
      <c r="P1568" s="375" t="s">
        <v>619</v>
      </c>
      <c r="Q1568" s="375" t="s">
        <v>619</v>
      </c>
      <c r="R1568" s="696">
        <v>20200228</v>
      </c>
      <c r="S1568" s="375" t="s">
        <v>10375</v>
      </c>
      <c r="T1568" s="697" t="s">
        <v>768</v>
      </c>
      <c r="U1568" s="372" t="s">
        <v>10376</v>
      </c>
      <c r="V1568" s="722">
        <v>0</v>
      </c>
      <c r="W1568" s="722">
        <v>0</v>
      </c>
      <c r="X1568" s="722">
        <v>0</v>
      </c>
      <c r="Y1568" s="722">
        <v>0</v>
      </c>
      <c r="Z1568" s="382" t="s">
        <v>924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10377</v>
      </c>
      <c r="B1569" s="373" t="s">
        <v>10378</v>
      </c>
      <c r="C1569" s="372" t="s">
        <v>10379</v>
      </c>
      <c r="D1569" s="374">
        <v>1101111665350</v>
      </c>
      <c r="E1569" s="372" t="s">
        <v>10380</v>
      </c>
      <c r="F1569" s="372" t="s">
        <v>1793</v>
      </c>
      <c r="G1569" s="375" t="s">
        <v>2794</v>
      </c>
      <c r="H1569" s="375" t="s">
        <v>858</v>
      </c>
      <c r="I1569" s="375" t="s">
        <v>859</v>
      </c>
      <c r="J1569" s="375">
        <v>37306.593719999997</v>
      </c>
      <c r="K1569" s="375">
        <v>2719.7278900000001</v>
      </c>
      <c r="L1569" s="375">
        <v>2581.4539500000001</v>
      </c>
      <c r="M1569" s="375">
        <v>54177.424919999998</v>
      </c>
      <c r="N1569" s="372">
        <v>0.91300000000000003</v>
      </c>
      <c r="O1569" s="704">
        <v>0.73410722268656226</v>
      </c>
      <c r="P1569" s="375" t="s">
        <v>619</v>
      </c>
      <c r="Q1569" s="375" t="s">
        <v>619</v>
      </c>
      <c r="R1569" s="696">
        <v>20101119</v>
      </c>
      <c r="S1569" s="375" t="s">
        <v>10381</v>
      </c>
      <c r="T1569" s="697">
        <v>0.20900000000000002</v>
      </c>
      <c r="U1569" s="375" t="s">
        <v>10382</v>
      </c>
      <c r="V1569" s="722">
        <v>17.8</v>
      </c>
      <c r="W1569" s="722">
        <v>1.23</v>
      </c>
      <c r="X1569" s="722">
        <v>1.79</v>
      </c>
      <c r="Y1569" s="722">
        <v>36.44</v>
      </c>
      <c r="Z1569" s="382" t="s">
        <v>924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10383</v>
      </c>
      <c r="B1570" s="373" t="s">
        <v>10384</v>
      </c>
      <c r="C1570" s="372" t="s">
        <v>10385</v>
      </c>
      <c r="D1570" s="374">
        <v>1601110095821</v>
      </c>
      <c r="E1570" s="372" t="s">
        <v>10386</v>
      </c>
      <c r="F1570" s="375" t="s">
        <v>16098</v>
      </c>
      <c r="G1570" s="375" t="s">
        <v>16098</v>
      </c>
      <c r="H1570" s="375" t="s">
        <v>858</v>
      </c>
      <c r="I1570" s="375" t="s">
        <v>859</v>
      </c>
      <c r="J1570" s="375">
        <v>34833.811659999999</v>
      </c>
      <c r="K1570" s="375">
        <v>-1168.8615199999999</v>
      </c>
      <c r="L1570" s="375">
        <v>4378.5182299999997</v>
      </c>
      <c r="M1570" s="375">
        <v>29155.695489999998</v>
      </c>
      <c r="N1570" s="372">
        <v>0.79200000000000004</v>
      </c>
      <c r="O1570" s="704">
        <v>39.034872333831522</v>
      </c>
      <c r="P1570" s="375" t="s">
        <v>619</v>
      </c>
      <c r="Q1570" s="372" t="s">
        <v>619</v>
      </c>
      <c r="R1570" s="696">
        <v>20150529</v>
      </c>
      <c r="S1570" s="372" t="s">
        <v>10387</v>
      </c>
      <c r="T1570" s="697">
        <v>0.20900000000000002</v>
      </c>
      <c r="U1570" s="372" t="s">
        <v>10388</v>
      </c>
      <c r="V1570" s="722">
        <v>31.24</v>
      </c>
      <c r="W1570" s="722">
        <v>2.9</v>
      </c>
      <c r="X1570" s="722">
        <v>2.06</v>
      </c>
      <c r="Y1570" s="722">
        <v>68.64</v>
      </c>
      <c r="Z1570" s="382" t="s">
        <v>924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10389</v>
      </c>
      <c r="B1571" s="373" t="s">
        <v>10390</v>
      </c>
      <c r="C1571" s="372" t="s">
        <v>10391</v>
      </c>
      <c r="D1571" s="374">
        <v>1201110019225</v>
      </c>
      <c r="E1571" s="372" t="s">
        <v>10392</v>
      </c>
      <c r="F1571" s="375" t="s">
        <v>16098</v>
      </c>
      <c r="G1571" s="375" t="s">
        <v>16098</v>
      </c>
      <c r="H1571" s="375" t="s">
        <v>858</v>
      </c>
      <c r="I1571" s="375" t="s">
        <v>859</v>
      </c>
      <c r="J1571" s="375">
        <v>119644.98963</v>
      </c>
      <c r="K1571" s="375">
        <v>-3770.8426899999999</v>
      </c>
      <c r="L1571" s="375">
        <v>-31981.192190000002</v>
      </c>
      <c r="M1571" s="375">
        <v>32902.137569999999</v>
      </c>
      <c r="N1571" s="372">
        <v>-0.14699999999999999</v>
      </c>
      <c r="O1571" s="704">
        <v>7.4213386639549945</v>
      </c>
      <c r="P1571" s="375" t="s">
        <v>619</v>
      </c>
      <c r="Q1571" s="372" t="s">
        <v>619</v>
      </c>
      <c r="R1571" s="696">
        <v>20020521</v>
      </c>
      <c r="S1571" s="372" t="s">
        <v>10393</v>
      </c>
      <c r="T1571" s="697" t="s">
        <v>768</v>
      </c>
      <c r="U1571" s="372" t="s">
        <v>10394</v>
      </c>
      <c r="V1571" s="722" t="s">
        <v>770</v>
      </c>
      <c r="W1571" s="722">
        <v>4.66</v>
      </c>
      <c r="X1571" s="722">
        <v>1.18</v>
      </c>
      <c r="Y1571" s="722" t="s">
        <v>770</v>
      </c>
      <c r="Z1571" s="382" t="s">
        <v>924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10395</v>
      </c>
      <c r="B1572" s="373" t="s">
        <v>10396</v>
      </c>
      <c r="C1572" s="372" t="s">
        <v>10397</v>
      </c>
      <c r="D1572" s="374">
        <v>1348110033605</v>
      </c>
      <c r="E1572" s="372" t="s">
        <v>10398</v>
      </c>
      <c r="F1572" s="372" t="s">
        <v>2113</v>
      </c>
      <c r="G1572" s="375" t="s">
        <v>2114</v>
      </c>
      <c r="H1572" s="375" t="s">
        <v>858</v>
      </c>
      <c r="I1572" s="375" t="s">
        <v>859</v>
      </c>
      <c r="J1572" s="375">
        <v>73702.524050000007</v>
      </c>
      <c r="K1572" s="375">
        <v>-7563.0654299999997</v>
      </c>
      <c r="L1572" s="375">
        <v>-15173.655549999999</v>
      </c>
      <c r="M1572" s="375">
        <v>43126.716370000002</v>
      </c>
      <c r="N1572" s="372">
        <v>0.871</v>
      </c>
      <c r="O1572" s="704">
        <v>44.368294982157302</v>
      </c>
      <c r="P1572" s="375" t="s">
        <v>619</v>
      </c>
      <c r="Q1572" s="375" t="s">
        <v>619</v>
      </c>
      <c r="R1572" s="696">
        <v>20131220</v>
      </c>
      <c r="S1572" s="375" t="s">
        <v>10399</v>
      </c>
      <c r="T1572" s="697" t="s">
        <v>768</v>
      </c>
      <c r="U1572" s="372" t="s">
        <v>10400</v>
      </c>
      <c r="V1572" s="722" t="s">
        <v>770</v>
      </c>
      <c r="W1572" s="722">
        <v>2.82</v>
      </c>
      <c r="X1572" s="722">
        <v>1.72</v>
      </c>
      <c r="Y1572" s="722" t="s">
        <v>770</v>
      </c>
      <c r="Z1572" s="382">
        <v>0.2068667038807519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850.33</v>
      </c>
      <c r="AF1572" s="372">
        <v>1322.33</v>
      </c>
      <c r="AG1572" s="372">
        <v>1249</v>
      </c>
      <c r="AH1572" s="372">
        <v>0</v>
      </c>
    </row>
    <row r="1573" spans="1:34">
      <c r="A1573" s="372" t="s">
        <v>10401</v>
      </c>
      <c r="B1573" s="373" t="s">
        <v>10402</v>
      </c>
      <c r="C1573" s="372" t="s">
        <v>10403</v>
      </c>
      <c r="D1573" s="374">
        <v>1845110000147</v>
      </c>
      <c r="E1573" s="372" t="s">
        <v>10404</v>
      </c>
      <c r="F1573" s="375" t="s">
        <v>2219</v>
      </c>
      <c r="G1573" s="375" t="s">
        <v>2219</v>
      </c>
      <c r="H1573" s="375" t="s">
        <v>858</v>
      </c>
      <c r="I1573" s="375" t="s">
        <v>859</v>
      </c>
      <c r="J1573" s="375">
        <v>183864.16279</v>
      </c>
      <c r="K1573" s="375">
        <v>24766.821250000001</v>
      </c>
      <c r="L1573" s="375">
        <v>23834.751540000001</v>
      </c>
      <c r="M1573" s="375">
        <v>164141.36606</v>
      </c>
      <c r="N1573" s="372">
        <v>0.52500000000000002</v>
      </c>
      <c r="O1573" s="704">
        <v>59.734283078202274</v>
      </c>
      <c r="P1573" s="375" t="s">
        <v>619</v>
      </c>
      <c r="Q1573" s="375" t="s">
        <v>619</v>
      </c>
      <c r="R1573" s="696">
        <v>19931005</v>
      </c>
      <c r="S1573" s="372" t="s">
        <v>10405</v>
      </c>
      <c r="T1573" s="697">
        <v>0.23100000000000001</v>
      </c>
      <c r="U1573" s="372" t="s">
        <v>10406</v>
      </c>
      <c r="V1573" s="722">
        <v>3.82</v>
      </c>
      <c r="W1573" s="722">
        <v>0.55000000000000004</v>
      </c>
      <c r="X1573" s="722">
        <v>0.49</v>
      </c>
      <c r="Y1573" s="722">
        <v>4.76</v>
      </c>
      <c r="Z1573" s="382" t="s">
        <v>924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10407</v>
      </c>
      <c r="B1574" s="373" t="s">
        <v>10408</v>
      </c>
      <c r="C1574" s="372" t="s">
        <v>10409</v>
      </c>
      <c r="D1574" s="374">
        <v>1101113940221</v>
      </c>
      <c r="E1574" s="372" t="s">
        <v>10410</v>
      </c>
      <c r="F1574" s="375" t="s">
        <v>1793</v>
      </c>
      <c r="G1574" s="375" t="s">
        <v>1794</v>
      </c>
      <c r="H1574" s="375" t="s">
        <v>858</v>
      </c>
      <c r="I1574" s="375" t="s">
        <v>859</v>
      </c>
      <c r="J1574" s="375">
        <v>30647.973870000002</v>
      </c>
      <c r="K1574" s="375">
        <v>5281.8369599999996</v>
      </c>
      <c r="L1574" s="375">
        <v>5984.9132399999999</v>
      </c>
      <c r="M1574" s="375">
        <v>74157.728780000005</v>
      </c>
      <c r="N1574" s="372">
        <v>0.27800000000000002</v>
      </c>
      <c r="O1574" s="704">
        <v>0</v>
      </c>
      <c r="P1574" s="375" t="s">
        <v>619</v>
      </c>
      <c r="Q1574" s="372" t="s">
        <v>619</v>
      </c>
      <c r="R1574" s="696">
        <v>20150211</v>
      </c>
      <c r="S1574" s="372" t="s">
        <v>10411</v>
      </c>
      <c r="T1574" s="697">
        <v>0.20900000000000002</v>
      </c>
      <c r="U1574" s="372" t="s">
        <v>10412</v>
      </c>
      <c r="V1574" s="722">
        <v>13.88</v>
      </c>
      <c r="W1574" s="722">
        <v>1.1000000000000001</v>
      </c>
      <c r="X1574" s="722">
        <v>2.65</v>
      </c>
      <c r="Y1574" s="722">
        <v>14.68</v>
      </c>
      <c r="Z1574" s="382" t="s">
        <v>924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10413</v>
      </c>
      <c r="B1575" s="373" t="s">
        <v>10414</v>
      </c>
      <c r="C1575" s="372" t="s">
        <v>10415</v>
      </c>
      <c r="D1575" s="374">
        <v>1101110124969</v>
      </c>
      <c r="E1575" s="372" t="s">
        <v>10416</v>
      </c>
      <c r="F1575" s="372" t="s">
        <v>16120</v>
      </c>
      <c r="G1575" s="375" t="s">
        <v>16120</v>
      </c>
      <c r="H1575" s="375" t="s">
        <v>823</v>
      </c>
      <c r="I1575" s="375" t="s">
        <v>751</v>
      </c>
      <c r="J1575" s="375">
        <v>171409.75039</v>
      </c>
      <c r="K1575" s="375">
        <v>10833.453519999999</v>
      </c>
      <c r="L1575" s="375">
        <v>11917.84762</v>
      </c>
      <c r="M1575" s="375">
        <v>170635.43676000001</v>
      </c>
      <c r="N1575" s="372">
        <v>0.53700000000000003</v>
      </c>
      <c r="O1575" s="704">
        <v>34.414135116056919</v>
      </c>
      <c r="P1575" s="375" t="s">
        <v>619</v>
      </c>
      <c r="Q1575" s="372" t="s">
        <v>619</v>
      </c>
      <c r="R1575" s="696">
        <v>19770629</v>
      </c>
      <c r="S1575" s="372" t="s">
        <v>10417</v>
      </c>
      <c r="T1575" s="697">
        <v>0.20900000000000002</v>
      </c>
      <c r="U1575" s="372" t="s">
        <v>10418</v>
      </c>
      <c r="V1575" s="722">
        <v>6.97</v>
      </c>
      <c r="W1575" s="722">
        <v>0.48</v>
      </c>
      <c r="X1575" s="722">
        <v>0.49</v>
      </c>
      <c r="Y1575" s="722">
        <v>8.3699999999999992</v>
      </c>
      <c r="Z1575" s="382" t="s">
        <v>924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10419</v>
      </c>
      <c r="B1576" s="373" t="s">
        <v>10420</v>
      </c>
      <c r="C1576" s="372" t="s">
        <v>10421</v>
      </c>
      <c r="D1576" s="374">
        <v>1101110153273</v>
      </c>
      <c r="E1576" s="372" t="s">
        <v>10422</v>
      </c>
      <c r="F1576" s="375" t="s">
        <v>10423</v>
      </c>
      <c r="G1576" s="375" t="s">
        <v>10423</v>
      </c>
      <c r="H1576" s="375" t="s">
        <v>843</v>
      </c>
      <c r="I1576" s="375" t="s">
        <v>751</v>
      </c>
      <c r="J1576" s="375">
        <v>78445.230899999995</v>
      </c>
      <c r="K1576" s="375">
        <v>5717.2365399999999</v>
      </c>
      <c r="L1576" s="375">
        <v>3656.1639799999998</v>
      </c>
      <c r="M1576" s="375">
        <v>58004.521630000003</v>
      </c>
      <c r="N1576" s="372">
        <v>0.77400000000000002</v>
      </c>
      <c r="O1576" s="704">
        <v>12.596399913619221</v>
      </c>
      <c r="P1576" s="375" t="s">
        <v>619</v>
      </c>
      <c r="Q1576" s="375" t="s">
        <v>619</v>
      </c>
      <c r="R1576" s="696">
        <v>19860304</v>
      </c>
      <c r="S1576" s="375" t="s">
        <v>10424</v>
      </c>
      <c r="T1576" s="697">
        <v>0.20900000000000002</v>
      </c>
      <c r="U1576" s="372" t="s">
        <v>10425</v>
      </c>
      <c r="V1576" s="722">
        <v>0</v>
      </c>
      <c r="W1576" s="722">
        <v>0</v>
      </c>
      <c r="X1576" s="722">
        <v>0</v>
      </c>
      <c r="Y1576" s="722">
        <v>0</v>
      </c>
      <c r="Z1576" s="382" t="s">
        <v>924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10426</v>
      </c>
      <c r="B1577" s="373" t="s">
        <v>10427</v>
      </c>
      <c r="C1577" s="372" t="s">
        <v>10428</v>
      </c>
      <c r="D1577" s="374">
        <v>1201110046476</v>
      </c>
      <c r="E1577" s="372" t="s">
        <v>10429</v>
      </c>
      <c r="F1577" s="372" t="s">
        <v>2423</v>
      </c>
      <c r="G1577" s="375" t="s">
        <v>6071</v>
      </c>
      <c r="H1577" s="375" t="s">
        <v>1040</v>
      </c>
      <c r="I1577" s="375" t="s">
        <v>751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0.46300000000000002</v>
      </c>
      <c r="O1577" s="704" t="s">
        <v>16298</v>
      </c>
      <c r="P1577" s="375" t="s">
        <v>619</v>
      </c>
      <c r="Q1577" s="375" t="s">
        <v>619</v>
      </c>
      <c r="R1577" s="696">
        <v>20071030</v>
      </c>
      <c r="S1577" s="375" t="s">
        <v>10430</v>
      </c>
      <c r="T1577" s="697" t="s">
        <v>768</v>
      </c>
      <c r="U1577" s="372" t="s">
        <v>10431</v>
      </c>
      <c r="V1577" s="722">
        <v>0</v>
      </c>
      <c r="W1577" s="722">
        <v>0</v>
      </c>
      <c r="X1577" s="722">
        <v>0</v>
      </c>
      <c r="Y1577" s="722">
        <v>0</v>
      </c>
      <c r="Z1577" s="382" t="s">
        <v>924</v>
      </c>
      <c r="AA1577" s="372">
        <v>1284.5966642999999</v>
      </c>
      <c r="AB1577" s="372">
        <v>1313.2989249</v>
      </c>
      <c r="AC1577" s="372">
        <v>1444.408574</v>
      </c>
      <c r="AD1577" s="372">
        <v>1378.6048867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10432</v>
      </c>
      <c r="B1578" s="373" t="s">
        <v>10433</v>
      </c>
      <c r="C1578" s="372" t="s">
        <v>10434</v>
      </c>
      <c r="D1578" s="374">
        <v>1348110001181</v>
      </c>
      <c r="E1578" s="372" t="s">
        <v>10435</v>
      </c>
      <c r="F1578" s="375" t="s">
        <v>1817</v>
      </c>
      <c r="G1578" s="375" t="s">
        <v>1818</v>
      </c>
      <c r="H1578" s="375" t="s">
        <v>750</v>
      </c>
      <c r="I1578" s="375" t="s">
        <v>751</v>
      </c>
      <c r="J1578" s="375">
        <v>544753.62763999996</v>
      </c>
      <c r="K1578" s="375">
        <v>16937.718649999999</v>
      </c>
      <c r="L1578" s="375">
        <v>11706.25153</v>
      </c>
      <c r="M1578" s="375">
        <v>114740.87014</v>
      </c>
      <c r="N1578" s="372">
        <v>0.97699999999999998</v>
      </c>
      <c r="O1578" s="704">
        <v>13.483062312783932</v>
      </c>
      <c r="P1578" s="375" t="s">
        <v>619</v>
      </c>
      <c r="Q1578" s="372" t="s">
        <v>619</v>
      </c>
      <c r="R1578" s="696">
        <v>19880504</v>
      </c>
      <c r="S1578" s="372" t="s">
        <v>10436</v>
      </c>
      <c r="T1578" s="697">
        <v>0.20900000000000002</v>
      </c>
      <c r="U1578" s="372" t="s">
        <v>10437</v>
      </c>
      <c r="V1578" s="722">
        <v>12.53</v>
      </c>
      <c r="W1578" s="722">
        <v>2.04</v>
      </c>
      <c r="X1578" s="722">
        <v>0.43</v>
      </c>
      <c r="Y1578" s="722">
        <v>25.14</v>
      </c>
      <c r="Z1578" s="382" t="s">
        <v>924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10438</v>
      </c>
      <c r="B1579" s="373" t="s">
        <v>10439</v>
      </c>
      <c r="C1579" s="372" t="s">
        <v>10440</v>
      </c>
      <c r="D1579" s="374">
        <v>1101112059031</v>
      </c>
      <c r="E1579" s="372" t="s">
        <v>10441</v>
      </c>
      <c r="F1579" s="375" t="s">
        <v>3233</v>
      </c>
      <c r="G1579" s="375" t="s">
        <v>3233</v>
      </c>
      <c r="H1579" s="375" t="s">
        <v>858</v>
      </c>
      <c r="I1579" s="375" t="s">
        <v>859</v>
      </c>
      <c r="J1579" s="375">
        <v>8266.8912500000006</v>
      </c>
      <c r="K1579" s="375">
        <v>-11942.897220000001</v>
      </c>
      <c r="L1579" s="375">
        <v>-11511.72523</v>
      </c>
      <c r="M1579" s="375">
        <v>33030.636129999999</v>
      </c>
      <c r="N1579" s="372" t="s">
        <v>1023</v>
      </c>
      <c r="O1579" s="704">
        <v>26.445929347362039</v>
      </c>
      <c r="P1579" s="375" t="s">
        <v>619</v>
      </c>
      <c r="Q1579" s="375" t="s">
        <v>619</v>
      </c>
      <c r="R1579" s="696">
        <v>20230426</v>
      </c>
      <c r="S1579" s="375" t="s">
        <v>10442</v>
      </c>
      <c r="T1579" s="697" t="s">
        <v>768</v>
      </c>
      <c r="U1579" s="372" t="s">
        <v>10443</v>
      </c>
      <c r="V1579" s="722">
        <v>0</v>
      </c>
      <c r="W1579" s="722">
        <v>0</v>
      </c>
      <c r="X1579" s="722">
        <v>0</v>
      </c>
      <c r="Y1579" s="722">
        <v>0</v>
      </c>
      <c r="Z1579" s="382" t="s">
        <v>924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10444</v>
      </c>
      <c r="B1580" s="373" t="s">
        <v>10445</v>
      </c>
      <c r="C1580" s="372" t="s">
        <v>10446</v>
      </c>
      <c r="D1580" s="374">
        <v>1101113516105</v>
      </c>
      <c r="E1580" s="372" t="s">
        <v>10447</v>
      </c>
      <c r="F1580" s="375" t="s">
        <v>1367</v>
      </c>
      <c r="G1580" s="375" t="s">
        <v>1367</v>
      </c>
      <c r="H1580" s="375" t="s">
        <v>858</v>
      </c>
      <c r="I1580" s="375" t="s">
        <v>859</v>
      </c>
      <c r="J1580" s="375">
        <v>57202.422079999997</v>
      </c>
      <c r="K1580" s="375">
        <v>-7368.2849800000004</v>
      </c>
      <c r="L1580" s="375">
        <v>-13495.194310000001</v>
      </c>
      <c r="M1580" s="375">
        <v>7112.4946200000004</v>
      </c>
      <c r="N1580" s="372">
        <v>0.92900000000000005</v>
      </c>
      <c r="O1580" s="704">
        <v>22.203748990646975</v>
      </c>
      <c r="P1580" s="375" t="s">
        <v>619</v>
      </c>
      <c r="Q1580" s="375" t="s">
        <v>619</v>
      </c>
      <c r="R1580" s="696">
        <v>20191031</v>
      </c>
      <c r="S1580" s="375" t="s">
        <v>10448</v>
      </c>
      <c r="T1580" s="697" t="s">
        <v>768</v>
      </c>
      <c r="U1580" s="372" t="s">
        <v>10449</v>
      </c>
      <c r="V1580" s="722" t="s">
        <v>770</v>
      </c>
      <c r="W1580" s="722">
        <v>10.95</v>
      </c>
      <c r="X1580" s="722">
        <v>1.63</v>
      </c>
      <c r="Y1580" s="722" t="s">
        <v>770</v>
      </c>
      <c r="Z1580" s="382" t="s">
        <v>924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10450</v>
      </c>
      <c r="B1581" s="373" t="s">
        <v>10451</v>
      </c>
      <c r="C1581" s="372" t="s">
        <v>10452</v>
      </c>
      <c r="D1581" s="374">
        <v>1601110247141</v>
      </c>
      <c r="E1581" s="372" t="s">
        <v>10453</v>
      </c>
      <c r="F1581" s="375" t="s">
        <v>1246</v>
      </c>
      <c r="G1581" s="375" t="s">
        <v>1246</v>
      </c>
      <c r="H1581" s="375" t="s">
        <v>858</v>
      </c>
      <c r="I1581" s="375" t="s">
        <v>859</v>
      </c>
      <c r="J1581" s="375">
        <v>744.17619999999999</v>
      </c>
      <c r="K1581" s="375">
        <v>-8165.6718600000004</v>
      </c>
      <c r="L1581" s="375">
        <v>-6095.13022</v>
      </c>
      <c r="M1581" s="375">
        <v>44826.431629999999</v>
      </c>
      <c r="N1581" s="372">
        <v>1.0449999999999999</v>
      </c>
      <c r="O1581" s="704">
        <v>1.4400662765367738</v>
      </c>
      <c r="P1581" s="375" t="s">
        <v>16112</v>
      </c>
      <c r="Q1581" s="372" t="s">
        <v>16113</v>
      </c>
      <c r="R1581" s="696">
        <v>20181121</v>
      </c>
      <c r="S1581" s="372" t="s">
        <v>10454</v>
      </c>
      <c r="T1581" s="697" t="s">
        <v>768</v>
      </c>
      <c r="U1581" s="372" t="s">
        <v>10455</v>
      </c>
      <c r="V1581" s="722" t="s">
        <v>770</v>
      </c>
      <c r="W1581" s="722">
        <v>5.21</v>
      </c>
      <c r="X1581" s="722">
        <v>153.63</v>
      </c>
      <c r="Y1581" s="722" t="s">
        <v>770</v>
      </c>
      <c r="Z1581" s="382" t="s">
        <v>924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10456</v>
      </c>
      <c r="B1582" s="373" t="s">
        <v>10457</v>
      </c>
      <c r="C1582" s="372" t="s">
        <v>10458</v>
      </c>
      <c r="D1582" s="374">
        <v>1901110021119</v>
      </c>
      <c r="E1582" s="372" t="s">
        <v>10459</v>
      </c>
      <c r="F1582" s="372" t="s">
        <v>10460</v>
      </c>
      <c r="G1582" s="375" t="s">
        <v>10461</v>
      </c>
      <c r="H1582" s="375" t="s">
        <v>858</v>
      </c>
      <c r="I1582" s="375" t="s">
        <v>859</v>
      </c>
      <c r="J1582" s="375">
        <v>19383.338909999999</v>
      </c>
      <c r="K1582" s="375">
        <v>-9225.9242300000005</v>
      </c>
      <c r="L1582" s="375">
        <v>-4575.07852</v>
      </c>
      <c r="M1582" s="375">
        <v>66015.432419999997</v>
      </c>
      <c r="N1582" s="372">
        <v>1.629</v>
      </c>
      <c r="O1582" s="704">
        <v>7.4582060889388613</v>
      </c>
      <c r="P1582" s="375" t="s">
        <v>16112</v>
      </c>
      <c r="Q1582" s="372" t="s">
        <v>16113</v>
      </c>
      <c r="R1582" s="696">
        <v>20040102</v>
      </c>
      <c r="S1582" s="372" t="s">
        <v>10462</v>
      </c>
      <c r="T1582" s="697" t="s">
        <v>768</v>
      </c>
      <c r="U1582" s="372" t="s">
        <v>10463</v>
      </c>
      <c r="V1582" s="722" t="s">
        <v>770</v>
      </c>
      <c r="W1582" s="722">
        <v>0.83</v>
      </c>
      <c r="X1582" s="722">
        <v>3.22</v>
      </c>
      <c r="Y1582" s="722" t="s">
        <v>770</v>
      </c>
      <c r="Z1582" s="382" t="s">
        <v>924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10464</v>
      </c>
      <c r="B1583" s="373" t="s">
        <v>10465</v>
      </c>
      <c r="C1583" s="372" t="s">
        <v>10466</v>
      </c>
      <c r="D1583" s="374">
        <v>1101110236590</v>
      </c>
      <c r="E1583" s="372" t="s">
        <v>10467</v>
      </c>
      <c r="F1583" s="372" t="s">
        <v>5116</v>
      </c>
      <c r="G1583" s="375" t="s">
        <v>10468</v>
      </c>
      <c r="H1583" s="375" t="s">
        <v>4844</v>
      </c>
      <c r="I1583" s="375" t="s">
        <v>859</v>
      </c>
      <c r="J1583" s="375">
        <v>866153.26018999994</v>
      </c>
      <c r="K1583" s="375">
        <v>39118.477140000003</v>
      </c>
      <c r="L1583" s="375">
        <v>46326.927089999997</v>
      </c>
      <c r="M1583" s="375">
        <v>231052.57712999999</v>
      </c>
      <c r="N1583" s="372">
        <v>0.66900000000000004</v>
      </c>
      <c r="O1583" s="704">
        <v>4.8503987925128644</v>
      </c>
      <c r="P1583" s="375" t="s">
        <v>619</v>
      </c>
      <c r="Q1583" s="372" t="s">
        <v>619</v>
      </c>
      <c r="R1583" s="696">
        <v>19961223</v>
      </c>
      <c r="S1583" s="372" t="s">
        <v>10469</v>
      </c>
      <c r="T1583" s="697">
        <v>0.23100000000000001</v>
      </c>
      <c r="U1583" s="372" t="s">
        <v>10470</v>
      </c>
      <c r="V1583" s="722">
        <v>2.2400000000000002</v>
      </c>
      <c r="W1583" s="722">
        <v>0.43</v>
      </c>
      <c r="X1583" s="722">
        <v>0.12</v>
      </c>
      <c r="Y1583" s="722">
        <v>2.78</v>
      </c>
      <c r="Z1583" s="382" t="s">
        <v>924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10471</v>
      </c>
      <c r="B1584" s="373" t="s">
        <v>10472</v>
      </c>
      <c r="C1584" s="372" t="s">
        <v>10473</v>
      </c>
      <c r="D1584" s="374">
        <v>1101113489154</v>
      </c>
      <c r="E1584" s="372" t="s">
        <v>10474</v>
      </c>
      <c r="F1584" s="375" t="s">
        <v>3882</v>
      </c>
      <c r="G1584" s="375" t="s">
        <v>7791</v>
      </c>
      <c r="H1584" s="375" t="s">
        <v>892</v>
      </c>
      <c r="I1584" s="375" t="s">
        <v>859</v>
      </c>
      <c r="J1584" s="375">
        <v>8654.6059999999998</v>
      </c>
      <c r="K1584" s="375">
        <v>2279.0494600000002</v>
      </c>
      <c r="L1584" s="375">
        <v>3424.1458200000002</v>
      </c>
      <c r="M1584" s="375">
        <v>56841.059050000003</v>
      </c>
      <c r="N1584" s="372">
        <v>0.67700000000000005</v>
      </c>
      <c r="O1584" s="704">
        <v>0</v>
      </c>
      <c r="P1584" s="375" t="s">
        <v>619</v>
      </c>
      <c r="Q1584" s="372" t="s">
        <v>619</v>
      </c>
      <c r="R1584" s="696">
        <v>20180314</v>
      </c>
      <c r="S1584" s="372" t="s">
        <v>9535</v>
      </c>
      <c r="T1584" s="697">
        <v>0.20900000000000002</v>
      </c>
      <c r="U1584" s="372" t="s">
        <v>10475</v>
      </c>
      <c r="V1584" s="722">
        <v>0</v>
      </c>
      <c r="W1584" s="722">
        <v>0.97</v>
      </c>
      <c r="X1584" s="722">
        <v>6.99</v>
      </c>
      <c r="Y1584" s="722">
        <v>21.86</v>
      </c>
      <c r="Z1584" s="382" t="s">
        <v>924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10476</v>
      </c>
      <c r="B1585" s="373" t="s">
        <v>10477</v>
      </c>
      <c r="C1585" s="372" t="s">
        <v>10478</v>
      </c>
      <c r="D1585" s="374">
        <v>1101110061666</v>
      </c>
      <c r="E1585" s="372" t="s">
        <v>10479</v>
      </c>
      <c r="F1585" s="375" t="s">
        <v>6270</v>
      </c>
      <c r="G1585" s="375" t="s">
        <v>6271</v>
      </c>
      <c r="H1585" s="375" t="s">
        <v>1334</v>
      </c>
      <c r="I1585" s="375" t="s">
        <v>859</v>
      </c>
      <c r="J1585" s="375">
        <v>324577.08367999998</v>
      </c>
      <c r="K1585" s="375">
        <v>5544.55303</v>
      </c>
      <c r="L1585" s="375">
        <v>13786.165059999999</v>
      </c>
      <c r="M1585" s="375">
        <v>129838.32892</v>
      </c>
      <c r="N1585" s="372">
        <v>1.0029999999999999</v>
      </c>
      <c r="O1585" s="704">
        <v>59.877803612334802</v>
      </c>
      <c r="P1585" s="375" t="s">
        <v>619</v>
      </c>
      <c r="Q1585" s="372" t="s">
        <v>619</v>
      </c>
      <c r="R1585" s="696">
        <v>20020111</v>
      </c>
      <c r="S1585" s="375" t="s">
        <v>10480</v>
      </c>
      <c r="T1585" s="697">
        <v>0.20900000000000002</v>
      </c>
      <c r="U1585" s="372" t="s">
        <v>10481</v>
      </c>
      <c r="V1585" s="722">
        <v>0</v>
      </c>
      <c r="W1585" s="722">
        <v>0</v>
      </c>
      <c r="X1585" s="722">
        <v>0</v>
      </c>
      <c r="Y1585" s="722">
        <v>0</v>
      </c>
      <c r="Z1585" s="382" t="s">
        <v>924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10482</v>
      </c>
      <c r="B1586" s="373" t="s">
        <v>10483</v>
      </c>
      <c r="C1586" s="372" t="s">
        <v>10484</v>
      </c>
      <c r="D1586" s="374">
        <v>1101110319320</v>
      </c>
      <c r="E1586" s="372" t="s">
        <v>10485</v>
      </c>
      <c r="F1586" s="375" t="s">
        <v>1534</v>
      </c>
      <c r="G1586" s="375" t="s">
        <v>3638</v>
      </c>
      <c r="H1586" s="375" t="s">
        <v>1536</v>
      </c>
      <c r="I1586" s="375" t="s">
        <v>751</v>
      </c>
      <c r="J1586" s="375">
        <v>269999.94316999998</v>
      </c>
      <c r="K1586" s="375">
        <v>21197.816449999998</v>
      </c>
      <c r="L1586" s="375">
        <v>27010.487580000001</v>
      </c>
      <c r="M1586" s="375">
        <v>267656.98518999998</v>
      </c>
      <c r="N1586" s="372">
        <v>0.65200000000000002</v>
      </c>
      <c r="O1586" s="704">
        <v>3.3024269975778884</v>
      </c>
      <c r="P1586" s="375" t="s">
        <v>619</v>
      </c>
      <c r="Q1586" s="375" t="s">
        <v>619</v>
      </c>
      <c r="R1586" s="696">
        <v>19900920</v>
      </c>
      <c r="S1586" s="375" t="s">
        <v>10486</v>
      </c>
      <c r="T1586" s="697">
        <v>0.23100000000000001</v>
      </c>
      <c r="U1586" s="375" t="s">
        <v>10487</v>
      </c>
      <c r="V1586" s="722">
        <v>0</v>
      </c>
      <c r="W1586" s="722">
        <v>0</v>
      </c>
      <c r="X1586" s="722">
        <v>0</v>
      </c>
      <c r="Y1586" s="722">
        <v>0</v>
      </c>
      <c r="Z1586" s="382" t="s">
        <v>924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10488</v>
      </c>
      <c r="B1587" s="373" t="s">
        <v>10489</v>
      </c>
      <c r="C1587" s="372" t="s">
        <v>10490</v>
      </c>
      <c r="D1587" s="374">
        <v>1101112463654</v>
      </c>
      <c r="E1587" s="372" t="s">
        <v>10491</v>
      </c>
      <c r="F1587" s="375" t="s">
        <v>5511</v>
      </c>
      <c r="G1587" s="375" t="s">
        <v>5511</v>
      </c>
      <c r="H1587" s="375" t="s">
        <v>858</v>
      </c>
      <c r="I1587" s="375" t="s">
        <v>859</v>
      </c>
      <c r="J1587" s="375">
        <v>29623.211480000002</v>
      </c>
      <c r="K1587" s="375">
        <v>2283.4323899999999</v>
      </c>
      <c r="L1587" s="375">
        <v>6977.5205100000003</v>
      </c>
      <c r="M1587" s="375">
        <v>38726.490949999999</v>
      </c>
      <c r="N1587" s="372">
        <v>1.069</v>
      </c>
      <c r="O1587" s="704">
        <v>42.470446481453429</v>
      </c>
      <c r="P1587" s="375" t="s">
        <v>619</v>
      </c>
      <c r="Q1587" s="375" t="s">
        <v>619</v>
      </c>
      <c r="R1587" s="696">
        <v>20211103</v>
      </c>
      <c r="S1587" s="375" t="s">
        <v>10492</v>
      </c>
      <c r="T1587" s="697">
        <v>0.20900000000000002</v>
      </c>
      <c r="U1587" s="372" t="s">
        <v>10493</v>
      </c>
      <c r="V1587" s="722">
        <v>0</v>
      </c>
      <c r="W1587" s="722">
        <v>0</v>
      </c>
      <c r="X1587" s="722">
        <v>0</v>
      </c>
      <c r="Y1587" s="722">
        <v>0</v>
      </c>
      <c r="Z1587" s="382" t="s">
        <v>924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10494</v>
      </c>
      <c r="B1588" s="373" t="s">
        <v>10495</v>
      </c>
      <c r="C1588" s="372" t="s">
        <v>10496</v>
      </c>
      <c r="D1588" s="374">
        <v>1345110031382</v>
      </c>
      <c r="E1588" s="372" t="s">
        <v>10497</v>
      </c>
      <c r="F1588" s="375" t="s">
        <v>1246</v>
      </c>
      <c r="G1588" s="375" t="s">
        <v>1246</v>
      </c>
      <c r="H1588" s="375" t="s">
        <v>858</v>
      </c>
      <c r="I1588" s="375" t="s">
        <v>859</v>
      </c>
      <c r="J1588" s="375">
        <v>36951.429369999998</v>
      </c>
      <c r="K1588" s="375">
        <v>-708.57622000000003</v>
      </c>
      <c r="L1588" s="375">
        <v>-10089.29405</v>
      </c>
      <c r="M1588" s="375">
        <v>95528.806320000003</v>
      </c>
      <c r="N1588" s="372">
        <v>1.0780000000000001</v>
      </c>
      <c r="O1588" s="704">
        <v>58.587072694217248</v>
      </c>
      <c r="P1588" s="375" t="s">
        <v>619</v>
      </c>
      <c r="Q1588" s="375" t="s">
        <v>619</v>
      </c>
      <c r="R1588" s="696">
        <v>20141124</v>
      </c>
      <c r="S1588" s="375" t="s">
        <v>10498</v>
      </c>
      <c r="T1588" s="697" t="s">
        <v>768</v>
      </c>
      <c r="U1588" s="372" t="s">
        <v>10499</v>
      </c>
      <c r="V1588" s="722">
        <v>28.76</v>
      </c>
      <c r="W1588" s="722">
        <v>0.75</v>
      </c>
      <c r="X1588" s="722">
        <v>1.93</v>
      </c>
      <c r="Y1588" s="722" t="s">
        <v>770</v>
      </c>
      <c r="Z1588" s="382" t="s">
        <v>924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10500</v>
      </c>
      <c r="B1589" s="373" t="s">
        <v>10501</v>
      </c>
      <c r="C1589" s="372" t="s">
        <v>10502</v>
      </c>
      <c r="D1589" s="374">
        <v>1341110002307</v>
      </c>
      <c r="E1589" s="372" t="s">
        <v>10503</v>
      </c>
      <c r="F1589" s="375" t="s">
        <v>1320</v>
      </c>
      <c r="G1589" s="375" t="s">
        <v>16103</v>
      </c>
      <c r="H1589" s="375" t="s">
        <v>781</v>
      </c>
      <c r="I1589" s="375" t="s">
        <v>751</v>
      </c>
      <c r="J1589" s="375">
        <v>134789.93177</v>
      </c>
      <c r="K1589" s="375">
        <v>12247.76463</v>
      </c>
      <c r="L1589" s="375">
        <v>10801.225130000001</v>
      </c>
      <c r="M1589" s="375">
        <v>131251.29665999999</v>
      </c>
      <c r="N1589" s="372">
        <v>0.623</v>
      </c>
      <c r="O1589" s="704">
        <v>49.830898599404243</v>
      </c>
      <c r="P1589" s="375" t="s">
        <v>619</v>
      </c>
      <c r="Q1589" s="372" t="s">
        <v>619</v>
      </c>
      <c r="R1589" s="696">
        <v>19751118</v>
      </c>
      <c r="S1589" s="372" t="s">
        <v>10504</v>
      </c>
      <c r="T1589" s="697">
        <v>0.20900000000000002</v>
      </c>
      <c r="U1589" s="372" t="s">
        <v>10505</v>
      </c>
      <c r="V1589" s="722">
        <v>5.75</v>
      </c>
      <c r="W1589" s="722">
        <v>0.71</v>
      </c>
      <c r="X1589" s="722">
        <v>0.67</v>
      </c>
      <c r="Y1589" s="722">
        <v>10.79</v>
      </c>
      <c r="Z1589" s="382" t="s">
        <v>924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10506</v>
      </c>
      <c r="B1590" s="373" t="s">
        <v>10507</v>
      </c>
      <c r="C1590" s="372" t="s">
        <v>10508</v>
      </c>
      <c r="D1590" s="374">
        <v>2850110153481</v>
      </c>
      <c r="E1590" s="372" t="s">
        <v>10509</v>
      </c>
      <c r="F1590" s="375" t="s">
        <v>1707</v>
      </c>
      <c r="G1590" s="375" t="s">
        <v>3266</v>
      </c>
      <c r="H1590" s="375" t="s">
        <v>858</v>
      </c>
      <c r="I1590" s="375" t="s">
        <v>859</v>
      </c>
      <c r="J1590" s="375">
        <v>9808.2169699999995</v>
      </c>
      <c r="K1590" s="375">
        <v>-5721.8715199999997</v>
      </c>
      <c r="L1590" s="375">
        <v>-25964.874070000002</v>
      </c>
      <c r="M1590" s="375">
        <v>27776.41373</v>
      </c>
      <c r="N1590" s="372">
        <v>1.0820000000000001</v>
      </c>
      <c r="O1590" s="704">
        <v>68.052780353628862</v>
      </c>
      <c r="P1590" s="375" t="s">
        <v>619</v>
      </c>
      <c r="Q1590" s="375" t="s">
        <v>619</v>
      </c>
      <c r="R1590" s="696">
        <v>20160906</v>
      </c>
      <c r="S1590" s="375" t="s">
        <v>10510</v>
      </c>
      <c r="T1590" s="697" t="s">
        <v>768</v>
      </c>
      <c r="U1590" s="372" t="s">
        <v>10511</v>
      </c>
      <c r="V1590" s="722">
        <v>0</v>
      </c>
      <c r="W1590" s="722">
        <v>0</v>
      </c>
      <c r="X1590" s="722">
        <v>0</v>
      </c>
      <c r="Y1590" s="722">
        <v>0</v>
      </c>
      <c r="Z1590" s="382" t="s">
        <v>924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10512</v>
      </c>
      <c r="B1591" s="373" t="s">
        <v>10513</v>
      </c>
      <c r="C1591" s="372" t="s">
        <v>10514</v>
      </c>
      <c r="D1591" s="374">
        <v>1101111955008</v>
      </c>
      <c r="E1591" s="372" t="s">
        <v>10515</v>
      </c>
      <c r="F1591" s="375" t="s">
        <v>1793</v>
      </c>
      <c r="G1591" s="375" t="s">
        <v>1794</v>
      </c>
      <c r="H1591" s="375" t="s">
        <v>858</v>
      </c>
      <c r="I1591" s="375" t="s">
        <v>859</v>
      </c>
      <c r="J1591" s="375">
        <v>15024.83152</v>
      </c>
      <c r="K1591" s="375">
        <v>-4447.9431599999998</v>
      </c>
      <c r="L1591" s="375">
        <v>-4048.5295000000001</v>
      </c>
      <c r="M1591" s="375">
        <v>10013.939350000001</v>
      </c>
      <c r="N1591" s="372">
        <v>0.13800000000000001</v>
      </c>
      <c r="O1591" s="704">
        <v>6.1300339162968323</v>
      </c>
      <c r="P1591" s="375" t="s">
        <v>619</v>
      </c>
      <c r="Q1591" s="372" t="s">
        <v>619</v>
      </c>
      <c r="R1591" s="696">
        <v>20230130</v>
      </c>
      <c r="S1591" s="372" t="s">
        <v>10516</v>
      </c>
      <c r="T1591" s="697" t="s">
        <v>768</v>
      </c>
      <c r="U1591" s="372" t="s">
        <v>10517</v>
      </c>
      <c r="V1591" s="722">
        <v>0</v>
      </c>
      <c r="W1591" s="722">
        <v>0</v>
      </c>
      <c r="X1591" s="722">
        <v>0</v>
      </c>
      <c r="Y1591" s="722">
        <v>0</v>
      </c>
      <c r="Z1591" s="382" t="s">
        <v>924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10518</v>
      </c>
      <c r="B1592" s="373" t="s">
        <v>10519</v>
      </c>
      <c r="C1592" s="372" t="s">
        <v>10520</v>
      </c>
      <c r="D1592" s="374">
        <v>1101110660830</v>
      </c>
      <c r="E1592" s="372" t="s">
        <v>10521</v>
      </c>
      <c r="F1592" s="372" t="s">
        <v>1753</v>
      </c>
      <c r="G1592" s="375" t="s">
        <v>6496</v>
      </c>
      <c r="H1592" s="375" t="s">
        <v>858</v>
      </c>
      <c r="I1592" s="375" t="s">
        <v>859</v>
      </c>
      <c r="J1592" s="375">
        <v>18418.78846</v>
      </c>
      <c r="K1592" s="375">
        <v>-1941.94877</v>
      </c>
      <c r="L1592" s="375">
        <v>-663.38088000000005</v>
      </c>
      <c r="M1592" s="375">
        <v>57178.772279999997</v>
      </c>
      <c r="N1592" s="372">
        <v>0.29499999999999998</v>
      </c>
      <c r="O1592" s="704">
        <v>1.3689385035688548</v>
      </c>
      <c r="P1592" s="375" t="s">
        <v>619</v>
      </c>
      <c r="Q1592" s="375" t="s">
        <v>619</v>
      </c>
      <c r="R1592" s="696">
        <v>20011026</v>
      </c>
      <c r="S1592" s="375" t="s">
        <v>10522</v>
      </c>
      <c r="T1592" s="697" t="s">
        <v>768</v>
      </c>
      <c r="U1592" s="372" t="s">
        <v>10523</v>
      </c>
      <c r="V1592" s="722" t="s">
        <v>770</v>
      </c>
      <c r="W1592" s="722">
        <v>1.04</v>
      </c>
      <c r="X1592" s="722">
        <v>3.34</v>
      </c>
      <c r="Y1592" s="722" t="s">
        <v>770</v>
      </c>
      <c r="Z1592" s="382" t="s">
        <v>924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10524</v>
      </c>
      <c r="B1593" s="373" t="s">
        <v>10525</v>
      </c>
      <c r="C1593" s="372" t="s">
        <v>10526</v>
      </c>
      <c r="D1593" s="374">
        <v>1701110205600</v>
      </c>
      <c r="E1593" s="372" t="s">
        <v>10527</v>
      </c>
      <c r="F1593" s="375" t="s">
        <v>1868</v>
      </c>
      <c r="G1593" s="375" t="s">
        <v>7527</v>
      </c>
      <c r="H1593" s="375" t="s">
        <v>858</v>
      </c>
      <c r="I1593" s="375" t="s">
        <v>859</v>
      </c>
      <c r="J1593" s="375">
        <v>93380.868109999996</v>
      </c>
      <c r="K1593" s="375">
        <v>-8543.18138</v>
      </c>
      <c r="L1593" s="375">
        <v>-13226.15424</v>
      </c>
      <c r="M1593" s="375">
        <v>69547.259739999994</v>
      </c>
      <c r="N1593" s="372">
        <v>0.95299999999999996</v>
      </c>
      <c r="O1593" s="704">
        <v>187.79997870152764</v>
      </c>
      <c r="P1593" s="375" t="s">
        <v>619</v>
      </c>
      <c r="Q1593" s="372" t="s">
        <v>619</v>
      </c>
      <c r="R1593" s="696">
        <v>20220822</v>
      </c>
      <c r="S1593" s="372" t="s">
        <v>10528</v>
      </c>
      <c r="T1593" s="697" t="s">
        <v>768</v>
      </c>
      <c r="U1593" s="372" t="s">
        <v>10529</v>
      </c>
      <c r="V1593" s="722" t="s">
        <v>770</v>
      </c>
      <c r="W1593" s="722">
        <v>0.92</v>
      </c>
      <c r="X1593" s="722">
        <v>0.69</v>
      </c>
      <c r="Y1593" s="722" t="s">
        <v>770</v>
      </c>
      <c r="Z1593" s="382">
        <v>9.3330820736100772E-2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1023</v>
      </c>
      <c r="AF1593" s="372">
        <v>1183</v>
      </c>
      <c r="AG1593" s="372">
        <v>1326</v>
      </c>
      <c r="AH1593" s="372">
        <v>0</v>
      </c>
    </row>
    <row r="1594" spans="1:34">
      <c r="A1594" s="372" t="s">
        <v>10530</v>
      </c>
      <c r="B1594" s="373" t="s">
        <v>10531</v>
      </c>
      <c r="C1594" s="372" t="s">
        <v>16022</v>
      </c>
      <c r="D1594" s="374">
        <v>1101113200360</v>
      </c>
      <c r="E1594" s="372" t="s">
        <v>10532</v>
      </c>
      <c r="F1594" s="375" t="s">
        <v>1793</v>
      </c>
      <c r="G1594" s="375" t="s">
        <v>1793</v>
      </c>
      <c r="H1594" s="375" t="s">
        <v>858</v>
      </c>
      <c r="I1594" s="375" t="s">
        <v>859</v>
      </c>
      <c r="J1594" s="375">
        <v>30571.966410000001</v>
      </c>
      <c r="K1594" s="375">
        <v>1234.96965</v>
      </c>
      <c r="L1594" s="375">
        <v>2017.3222000000001</v>
      </c>
      <c r="M1594" s="375">
        <v>29064.732110000001</v>
      </c>
      <c r="N1594" s="372" t="s">
        <v>1023</v>
      </c>
      <c r="O1594" s="704">
        <v>1.8979098192667871</v>
      </c>
      <c r="P1594" s="375" t="s">
        <v>619</v>
      </c>
      <c r="Q1594" s="375" t="s">
        <v>619</v>
      </c>
      <c r="R1594" s="696">
        <v>20231109</v>
      </c>
      <c r="S1594" s="375" t="s">
        <v>10533</v>
      </c>
      <c r="T1594" s="697">
        <v>0.20900000000000002</v>
      </c>
      <c r="U1594" s="375" t="s">
        <v>10534</v>
      </c>
      <c r="V1594" s="722">
        <v>0</v>
      </c>
      <c r="W1594" s="722">
        <v>0</v>
      </c>
      <c r="X1594" s="722">
        <v>0</v>
      </c>
      <c r="Y1594" s="722">
        <v>0</v>
      </c>
      <c r="Z1594" s="382" t="s">
        <v>924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10535</v>
      </c>
      <c r="B1595" s="373" t="s">
        <v>10536</v>
      </c>
      <c r="C1595" s="372" t="s">
        <v>10537</v>
      </c>
      <c r="D1595" s="374">
        <v>1101116416683</v>
      </c>
      <c r="E1595" s="372" t="s">
        <v>10538</v>
      </c>
      <c r="F1595" s="375" t="s">
        <v>2100</v>
      </c>
      <c r="G1595" s="375" t="s">
        <v>2100</v>
      </c>
      <c r="H1595" s="375" t="s">
        <v>892</v>
      </c>
      <c r="I1595" s="375" t="s">
        <v>859</v>
      </c>
      <c r="J1595" s="375">
        <v>0</v>
      </c>
      <c r="K1595" s="375">
        <v>0</v>
      </c>
      <c r="L1595" s="375">
        <v>0</v>
      </c>
      <c r="M1595" s="375">
        <v>0</v>
      </c>
      <c r="N1595" s="372">
        <v>0.92</v>
      </c>
      <c r="O1595" s="704" t="s">
        <v>16298</v>
      </c>
      <c r="P1595" s="375" t="s">
        <v>619</v>
      </c>
      <c r="Q1595" s="375" t="s">
        <v>619</v>
      </c>
      <c r="R1595" s="696">
        <v>20220225</v>
      </c>
      <c r="S1595" s="375" t="s">
        <v>10539</v>
      </c>
      <c r="T1595" s="697" t="s">
        <v>768</v>
      </c>
      <c r="U1595" s="372" t="s">
        <v>15915</v>
      </c>
      <c r="V1595" s="722">
        <v>0</v>
      </c>
      <c r="W1595" s="722">
        <v>0</v>
      </c>
      <c r="X1595" s="722">
        <v>0</v>
      </c>
      <c r="Y1595" s="722">
        <v>0</v>
      </c>
      <c r="Z1595" s="382" t="s">
        <v>924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10540</v>
      </c>
      <c r="B1596" s="373" t="s">
        <v>10541</v>
      </c>
      <c r="C1596" s="372" t="s">
        <v>10542</v>
      </c>
      <c r="D1596" s="374">
        <v>1801110828129</v>
      </c>
      <c r="E1596" s="372" t="s">
        <v>10543</v>
      </c>
      <c r="F1596" s="375" t="s">
        <v>8811</v>
      </c>
      <c r="G1596" s="375" t="s">
        <v>8812</v>
      </c>
      <c r="H1596" s="375" t="s">
        <v>823</v>
      </c>
      <c r="I1596" s="375" t="s">
        <v>751</v>
      </c>
      <c r="J1596" s="375">
        <v>343576.55343000003</v>
      </c>
      <c r="K1596" s="375">
        <v>8284.9737999999998</v>
      </c>
      <c r="L1596" s="375">
        <v>4023.2248500000001</v>
      </c>
      <c r="M1596" s="375">
        <v>225012.94558</v>
      </c>
      <c r="N1596" s="372">
        <v>0.61899999999999999</v>
      </c>
      <c r="O1596" s="704">
        <v>52.968020332768532</v>
      </c>
      <c r="P1596" s="375" t="s">
        <v>619</v>
      </c>
      <c r="Q1596" s="372" t="s">
        <v>619</v>
      </c>
      <c r="R1596" s="696">
        <v>20121019</v>
      </c>
      <c r="S1596" s="372" t="s">
        <v>10544</v>
      </c>
      <c r="T1596" s="697">
        <v>0.20900000000000002</v>
      </c>
      <c r="U1596" s="372" t="s">
        <v>15916</v>
      </c>
      <c r="V1596" s="722">
        <v>8.17</v>
      </c>
      <c r="W1596" s="722">
        <v>0.48</v>
      </c>
      <c r="X1596" s="722">
        <v>0.31</v>
      </c>
      <c r="Y1596" s="722">
        <v>32.159999999999997</v>
      </c>
      <c r="Z1596" s="382" t="s">
        <v>924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10545</v>
      </c>
      <c r="B1597" s="373" t="s">
        <v>10546</v>
      </c>
      <c r="C1597" s="372" t="s">
        <v>10547</v>
      </c>
      <c r="D1597" s="374">
        <v>1101117588506</v>
      </c>
      <c r="E1597" s="372" t="s">
        <v>10548</v>
      </c>
      <c r="F1597" s="375" t="s">
        <v>7027</v>
      </c>
      <c r="G1597" s="375" t="s">
        <v>7027</v>
      </c>
      <c r="H1597" s="375" t="s">
        <v>1334</v>
      </c>
      <c r="I1597" s="375" t="s">
        <v>859</v>
      </c>
      <c r="J1597" s="375">
        <v>36383.957739999998</v>
      </c>
      <c r="K1597" s="375">
        <v>-1339.1835000000001</v>
      </c>
      <c r="L1597" s="375">
        <v>-2837.1226799999999</v>
      </c>
      <c r="M1597" s="375">
        <v>46961.26801</v>
      </c>
      <c r="N1597" s="372">
        <v>1.161</v>
      </c>
      <c r="O1597" s="704">
        <v>22.758059600884657</v>
      </c>
      <c r="P1597" s="375" t="s">
        <v>619</v>
      </c>
      <c r="Q1597" s="375" t="s">
        <v>619</v>
      </c>
      <c r="R1597" s="696">
        <v>20210210</v>
      </c>
      <c r="S1597" s="375" t="s">
        <v>9015</v>
      </c>
      <c r="T1597" s="697" t="s">
        <v>768</v>
      </c>
      <c r="U1597" s="372" t="s">
        <v>10549</v>
      </c>
      <c r="V1597" s="722" t="s">
        <v>770</v>
      </c>
      <c r="W1597" s="722">
        <v>1.5</v>
      </c>
      <c r="X1597" s="722">
        <v>1.59</v>
      </c>
      <c r="Y1597" s="722" t="s">
        <v>770</v>
      </c>
      <c r="Z1597" s="382" t="s">
        <v>924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10550</v>
      </c>
      <c r="B1598" s="373" t="s">
        <v>10551</v>
      </c>
      <c r="C1598" s="372" t="s">
        <v>10552</v>
      </c>
      <c r="D1598" s="374">
        <v>2801110086726</v>
      </c>
      <c r="E1598" s="372" t="s">
        <v>10553</v>
      </c>
      <c r="F1598" s="375" t="s">
        <v>2159</v>
      </c>
      <c r="G1598" s="375" t="s">
        <v>2160</v>
      </c>
      <c r="H1598" s="375" t="s">
        <v>858</v>
      </c>
      <c r="I1598" s="375" t="s">
        <v>859</v>
      </c>
      <c r="J1598" s="375">
        <v>96879.093420000005</v>
      </c>
      <c r="K1598" s="375">
        <v>8625.4882400000006</v>
      </c>
      <c r="L1598" s="375">
        <v>8074.5477199999996</v>
      </c>
      <c r="M1598" s="375">
        <v>99575.364199999996</v>
      </c>
      <c r="N1598" s="372">
        <v>0.82099999999999995</v>
      </c>
      <c r="O1598" s="704">
        <v>143.96297313605788</v>
      </c>
      <c r="P1598" s="375" t="s">
        <v>619</v>
      </c>
      <c r="Q1598" s="372" t="s">
        <v>619</v>
      </c>
      <c r="R1598" s="696">
        <v>20150807</v>
      </c>
      <c r="S1598" s="372" t="s">
        <v>10554</v>
      </c>
      <c r="T1598" s="697">
        <v>0.20900000000000002</v>
      </c>
      <c r="U1598" s="372" t="s">
        <v>10555</v>
      </c>
      <c r="V1598" s="722">
        <v>9.57</v>
      </c>
      <c r="W1598" s="722">
        <v>0.69</v>
      </c>
      <c r="X1598" s="722">
        <v>0.76</v>
      </c>
      <c r="Y1598" s="722">
        <v>10.71</v>
      </c>
      <c r="Z1598" s="382" t="s">
        <v>924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1049.5</v>
      </c>
      <c r="AF1598" s="372">
        <v>1120</v>
      </c>
      <c r="AG1598" s="372">
        <v>0</v>
      </c>
      <c r="AH1598" s="372">
        <v>0</v>
      </c>
    </row>
    <row r="1599" spans="1:34">
      <c r="A1599" s="372" t="s">
        <v>10556</v>
      </c>
      <c r="B1599" s="373" t="s">
        <v>10557</v>
      </c>
      <c r="C1599" s="372" t="s">
        <v>16023</v>
      </c>
      <c r="D1599" s="374">
        <v>1101110730732</v>
      </c>
      <c r="E1599" s="372" t="s">
        <v>15917</v>
      </c>
      <c r="F1599" s="375" t="s">
        <v>1573</v>
      </c>
      <c r="G1599" s="375" t="s">
        <v>6313</v>
      </c>
      <c r="H1599" s="375" t="s">
        <v>858</v>
      </c>
      <c r="I1599" s="375" t="s">
        <v>859</v>
      </c>
      <c r="J1599" s="375">
        <v>169343.08504000001</v>
      </c>
      <c r="K1599" s="375">
        <v>21108.70577</v>
      </c>
      <c r="L1599" s="375">
        <v>22385.25777</v>
      </c>
      <c r="M1599" s="375">
        <v>125630.30376</v>
      </c>
      <c r="N1599" s="372">
        <v>0.70299999999999996</v>
      </c>
      <c r="O1599" s="704">
        <v>17.243912177944992</v>
      </c>
      <c r="P1599" s="375" t="s">
        <v>619</v>
      </c>
      <c r="Q1599" s="375" t="s">
        <v>619</v>
      </c>
      <c r="R1599" s="696">
        <v>20140801</v>
      </c>
      <c r="S1599" s="375" t="s">
        <v>10558</v>
      </c>
      <c r="T1599" s="697">
        <v>0.23100000000000001</v>
      </c>
      <c r="U1599" s="372" t="s">
        <v>10559</v>
      </c>
      <c r="V1599" s="722">
        <v>2.69</v>
      </c>
      <c r="W1599" s="722">
        <v>0.53</v>
      </c>
      <c r="X1599" s="722">
        <v>0.39</v>
      </c>
      <c r="Y1599" s="722">
        <v>3.6</v>
      </c>
      <c r="Z1599" s="382" t="s">
        <v>924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10560</v>
      </c>
      <c r="B1600" s="373" t="s">
        <v>10561</v>
      </c>
      <c r="C1600" s="372" t="s">
        <v>10562</v>
      </c>
      <c r="D1600" s="374">
        <v>1352110032202</v>
      </c>
      <c r="E1600" s="372" t="s">
        <v>10563</v>
      </c>
      <c r="F1600" s="375" t="s">
        <v>10564</v>
      </c>
      <c r="G1600" s="375" t="s">
        <v>10564</v>
      </c>
      <c r="H1600" s="375" t="s">
        <v>3096</v>
      </c>
      <c r="I1600" s="375" t="s">
        <v>859</v>
      </c>
      <c r="J1600" s="375">
        <v>58605.295539999999</v>
      </c>
      <c r="K1600" s="375">
        <v>-2407.9606100000001</v>
      </c>
      <c r="L1600" s="375">
        <v>-1715.0444600000001</v>
      </c>
      <c r="M1600" s="375">
        <v>27375.959510000001</v>
      </c>
      <c r="N1600" s="372">
        <v>0.502</v>
      </c>
      <c r="O1600" s="704">
        <v>28.52886457867308</v>
      </c>
      <c r="P1600" s="375" t="s">
        <v>619</v>
      </c>
      <c r="Q1600" s="372" t="s">
        <v>619</v>
      </c>
      <c r="R1600" s="696">
        <v>20220120</v>
      </c>
      <c r="S1600" s="372" t="s">
        <v>10565</v>
      </c>
      <c r="T1600" s="697" t="s">
        <v>768</v>
      </c>
      <c r="U1600" s="372" t="s">
        <v>10566</v>
      </c>
      <c r="V1600" s="722" t="s">
        <v>770</v>
      </c>
      <c r="W1600" s="722">
        <v>2.82</v>
      </c>
      <c r="X1600" s="722">
        <v>1.32</v>
      </c>
      <c r="Y1600" s="722" t="s">
        <v>770</v>
      </c>
      <c r="Z1600" s="382" t="s">
        <v>924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10567</v>
      </c>
      <c r="B1601" s="373" t="s">
        <v>10568</v>
      </c>
      <c r="C1601" s="372" t="s">
        <v>10569</v>
      </c>
      <c r="D1601" s="374">
        <v>1101113856618</v>
      </c>
      <c r="E1601" s="372" t="s">
        <v>10570</v>
      </c>
      <c r="F1601" s="375" t="s">
        <v>5475</v>
      </c>
      <c r="G1601" s="375" t="s">
        <v>10571</v>
      </c>
      <c r="H1601" s="375" t="s">
        <v>858</v>
      </c>
      <c r="I1601" s="375" t="s">
        <v>859</v>
      </c>
      <c r="J1601" s="375">
        <v>187562.55280999999</v>
      </c>
      <c r="K1601" s="375">
        <v>1727.8215</v>
      </c>
      <c r="L1601" s="375">
        <v>717.00174000000004</v>
      </c>
      <c r="M1601" s="375">
        <v>135220.61395999999</v>
      </c>
      <c r="N1601" s="372">
        <v>0.77300000000000002</v>
      </c>
      <c r="O1601" s="704">
        <v>91.892479079381971</v>
      </c>
      <c r="P1601" s="375" t="s">
        <v>619</v>
      </c>
      <c r="Q1601" s="372" t="s">
        <v>619</v>
      </c>
      <c r="R1601" s="696">
        <v>20191118</v>
      </c>
      <c r="S1601" s="372" t="s">
        <v>10572</v>
      </c>
      <c r="T1601" s="697">
        <v>0.20900000000000002</v>
      </c>
      <c r="U1601" s="372" t="s">
        <v>10573</v>
      </c>
      <c r="V1601" s="722">
        <v>6.73</v>
      </c>
      <c r="W1601" s="722">
        <v>0.48</v>
      </c>
      <c r="X1601" s="722">
        <v>0.36</v>
      </c>
      <c r="Y1601" s="722">
        <v>88.33</v>
      </c>
      <c r="Z1601" s="382" t="s">
        <v>924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10574</v>
      </c>
      <c r="B1602" s="373" t="s">
        <v>10575</v>
      </c>
      <c r="C1602" s="372" t="s">
        <v>10576</v>
      </c>
      <c r="D1602" s="374">
        <v>1101110217607</v>
      </c>
      <c r="E1602" s="372" t="s">
        <v>10577</v>
      </c>
      <c r="F1602" s="375" t="s">
        <v>10578</v>
      </c>
      <c r="G1602" s="375" t="s">
        <v>10578</v>
      </c>
      <c r="H1602" s="375" t="s">
        <v>8015</v>
      </c>
      <c r="I1602" s="375" t="s">
        <v>859</v>
      </c>
      <c r="J1602" s="375">
        <v>186706.82511000001</v>
      </c>
      <c r="K1602" s="375">
        <v>2822.5001699999998</v>
      </c>
      <c r="L1602" s="375">
        <v>90189.749939999994</v>
      </c>
      <c r="M1602" s="375">
        <v>524081.35911000002</v>
      </c>
      <c r="N1602" s="372">
        <v>0.68400000000000005</v>
      </c>
      <c r="O1602" s="704">
        <v>125.40273011205822</v>
      </c>
      <c r="P1602" s="375" t="s">
        <v>619</v>
      </c>
      <c r="Q1602" s="375" t="s">
        <v>619</v>
      </c>
      <c r="R1602" s="696">
        <v>19991208</v>
      </c>
      <c r="S1602" s="375" t="s">
        <v>10579</v>
      </c>
      <c r="T1602" s="697">
        <v>0.23100000000000001</v>
      </c>
      <c r="U1602" s="372" t="s">
        <v>10580</v>
      </c>
      <c r="V1602" s="722">
        <v>44.61</v>
      </c>
      <c r="W1602" s="722">
        <v>0.15</v>
      </c>
      <c r="X1602" s="722">
        <v>0.39</v>
      </c>
      <c r="Y1602" s="722">
        <v>1.1499999999999999</v>
      </c>
      <c r="Z1602" s="382" t="s">
        <v>924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10581</v>
      </c>
      <c r="B1603" s="373" t="s">
        <v>10582</v>
      </c>
      <c r="C1603" s="372" t="s">
        <v>10583</v>
      </c>
      <c r="D1603" s="374">
        <v>1101114361161</v>
      </c>
      <c r="E1603" s="372" t="s">
        <v>10584</v>
      </c>
      <c r="F1603" s="375" t="s">
        <v>1793</v>
      </c>
      <c r="G1603" s="375" t="s">
        <v>2794</v>
      </c>
      <c r="H1603" s="375" t="s">
        <v>858</v>
      </c>
      <c r="I1603" s="375" t="s">
        <v>859</v>
      </c>
      <c r="J1603" s="375">
        <v>14682.491749999999</v>
      </c>
      <c r="K1603" s="375">
        <v>-11583.22741</v>
      </c>
      <c r="L1603" s="375">
        <v>-6566.5167700000002</v>
      </c>
      <c r="M1603" s="375">
        <v>12786.78558</v>
      </c>
      <c r="N1603" s="372" t="s">
        <v>1023</v>
      </c>
      <c r="O1603" s="704">
        <v>32.721341524615674</v>
      </c>
      <c r="P1603" s="375" t="s">
        <v>619</v>
      </c>
      <c r="Q1603" s="375" t="s">
        <v>619</v>
      </c>
      <c r="R1603" s="696">
        <v>20230519</v>
      </c>
      <c r="S1603" s="375" t="s">
        <v>10585</v>
      </c>
      <c r="T1603" s="697" t="s">
        <v>768</v>
      </c>
      <c r="U1603" s="372" t="s">
        <v>10586</v>
      </c>
      <c r="V1603" s="722" t="s">
        <v>770</v>
      </c>
      <c r="W1603" s="722">
        <v>2.79</v>
      </c>
      <c r="X1603" s="722">
        <v>2.39</v>
      </c>
      <c r="Y1603" s="722" t="s">
        <v>770</v>
      </c>
      <c r="Z1603" s="382" t="s">
        <v>924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10587</v>
      </c>
      <c r="B1604" s="373" t="s">
        <v>10588</v>
      </c>
      <c r="C1604" s="372" t="s">
        <v>10589</v>
      </c>
      <c r="D1604" s="374">
        <v>1101110200579</v>
      </c>
      <c r="E1604" s="372" t="s">
        <v>10590</v>
      </c>
      <c r="F1604" s="372" t="s">
        <v>1463</v>
      </c>
      <c r="G1604" s="375" t="s">
        <v>1464</v>
      </c>
      <c r="H1604" s="375" t="s">
        <v>1465</v>
      </c>
      <c r="I1604" s="375" t="s">
        <v>751</v>
      </c>
      <c r="J1604" s="375">
        <v>220793.01209999999</v>
      </c>
      <c r="K1604" s="375">
        <v>-3732.9284699999998</v>
      </c>
      <c r="L1604" s="375">
        <v>-39948.107479999999</v>
      </c>
      <c r="M1604" s="375">
        <v>151908.39426999999</v>
      </c>
      <c r="N1604" s="372">
        <v>0.58199999999999996</v>
      </c>
      <c r="O1604" s="704">
        <v>197.26642554419209</v>
      </c>
      <c r="P1604" s="375" t="s">
        <v>619</v>
      </c>
      <c r="Q1604" s="372" t="s">
        <v>619</v>
      </c>
      <c r="R1604" s="696">
        <v>19960703</v>
      </c>
      <c r="S1604" s="372" t="s">
        <v>10591</v>
      </c>
      <c r="T1604" s="697" t="s">
        <v>768</v>
      </c>
      <c r="U1604" s="372" t="s">
        <v>10592</v>
      </c>
      <c r="V1604" s="722">
        <v>32.11</v>
      </c>
      <c r="W1604" s="722">
        <v>0.59</v>
      </c>
      <c r="X1604" s="722">
        <v>0.28999999999999998</v>
      </c>
      <c r="Y1604" s="722" t="s">
        <v>770</v>
      </c>
      <c r="Z1604" s="382" t="s">
        <v>924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10593</v>
      </c>
      <c r="B1605" s="373" t="s">
        <v>10594</v>
      </c>
      <c r="C1605" s="372" t="s">
        <v>10595</v>
      </c>
      <c r="D1605" s="374">
        <v>1101117471470</v>
      </c>
      <c r="E1605" s="372" t="s">
        <v>10596</v>
      </c>
      <c r="F1605" s="375" t="s">
        <v>3233</v>
      </c>
      <c r="G1605" s="375" t="s">
        <v>3233</v>
      </c>
      <c r="H1605" s="375" t="s">
        <v>858</v>
      </c>
      <c r="I1605" s="375" t="s">
        <v>859</v>
      </c>
      <c r="J1605" s="375">
        <v>14242.13478</v>
      </c>
      <c r="K1605" s="375">
        <v>-926.08870000000002</v>
      </c>
      <c r="L1605" s="375">
        <v>-1454.93469</v>
      </c>
      <c r="M1605" s="375">
        <v>24397.641729999999</v>
      </c>
      <c r="N1605" s="372">
        <v>0.63900000000000001</v>
      </c>
      <c r="O1605" s="704">
        <v>20.55259771782486</v>
      </c>
      <c r="P1605" s="375" t="s">
        <v>619</v>
      </c>
      <c r="Q1605" s="372" t="s">
        <v>619</v>
      </c>
      <c r="R1605" s="696">
        <v>20200918</v>
      </c>
      <c r="S1605" s="372" t="s">
        <v>10597</v>
      </c>
      <c r="T1605" s="697" t="s">
        <v>768</v>
      </c>
      <c r="U1605" s="372" t="s">
        <v>10598</v>
      </c>
      <c r="V1605" s="722">
        <v>0</v>
      </c>
      <c r="W1605" s="722">
        <v>0</v>
      </c>
      <c r="X1605" s="722">
        <v>0</v>
      </c>
      <c r="Y1605" s="722">
        <v>0</v>
      </c>
      <c r="Z1605" s="382" t="s">
        <v>924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10599</v>
      </c>
      <c r="B1606" s="373" t="s">
        <v>10600</v>
      </c>
      <c r="C1606" s="372" t="s">
        <v>10601</v>
      </c>
      <c r="D1606" s="374">
        <v>1701110020397</v>
      </c>
      <c r="E1606" s="372" t="s">
        <v>10602</v>
      </c>
      <c r="F1606" s="375" t="s">
        <v>10603</v>
      </c>
      <c r="G1606" s="375" t="s">
        <v>10604</v>
      </c>
      <c r="H1606" s="375" t="s">
        <v>858</v>
      </c>
      <c r="I1606" s="375" t="s">
        <v>859</v>
      </c>
      <c r="J1606" s="375">
        <v>94766.000190000006</v>
      </c>
      <c r="K1606" s="375">
        <v>3077.13933</v>
      </c>
      <c r="L1606" s="375">
        <v>10375.062019999999</v>
      </c>
      <c r="M1606" s="375">
        <v>154856.75339999999</v>
      </c>
      <c r="N1606" s="372">
        <v>0.81100000000000005</v>
      </c>
      <c r="O1606" s="704">
        <v>14.300097459930889</v>
      </c>
      <c r="P1606" s="375" t="s">
        <v>619</v>
      </c>
      <c r="Q1606" s="375" t="s">
        <v>619</v>
      </c>
      <c r="R1606" s="696">
        <v>20090728</v>
      </c>
      <c r="S1606" s="375" t="s">
        <v>10605</v>
      </c>
      <c r="T1606" s="697">
        <v>0.20900000000000002</v>
      </c>
      <c r="U1606" s="372" t="s">
        <v>10606</v>
      </c>
      <c r="V1606" s="722">
        <v>14.14</v>
      </c>
      <c r="W1606" s="722">
        <v>0.51</v>
      </c>
      <c r="X1606" s="722">
        <v>0.87</v>
      </c>
      <c r="Y1606" s="722">
        <v>10.66</v>
      </c>
      <c r="Z1606" s="382" t="s">
        <v>924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10607</v>
      </c>
      <c r="B1607" s="373" t="s">
        <v>10608</v>
      </c>
      <c r="C1607" s="372" t="s">
        <v>10609</v>
      </c>
      <c r="D1607" s="374">
        <v>1101114097518</v>
      </c>
      <c r="E1607" s="372" t="s">
        <v>10610</v>
      </c>
      <c r="F1607" s="375" t="s">
        <v>10611</v>
      </c>
      <c r="G1607" s="375" t="s">
        <v>10611</v>
      </c>
      <c r="H1607" s="375" t="s">
        <v>858</v>
      </c>
      <c r="I1607" s="375" t="s">
        <v>859</v>
      </c>
      <c r="J1607" s="375">
        <v>86117.432920000007</v>
      </c>
      <c r="K1607" s="375">
        <v>326.70738</v>
      </c>
      <c r="L1607" s="375">
        <v>-4885.1701599999997</v>
      </c>
      <c r="M1607" s="375">
        <v>32202.211589999999</v>
      </c>
      <c r="N1607" s="372">
        <v>0.43099999999999999</v>
      </c>
      <c r="O1607" s="704">
        <v>97.881753831350466</v>
      </c>
      <c r="P1607" s="375" t="s">
        <v>619</v>
      </c>
      <c r="Q1607" s="372" t="s">
        <v>619</v>
      </c>
      <c r="R1607" s="696">
        <v>20170822</v>
      </c>
      <c r="S1607" s="372" t="s">
        <v>10612</v>
      </c>
      <c r="T1607" s="697" t="s">
        <v>768</v>
      </c>
      <c r="U1607" s="372" t="s">
        <v>10613</v>
      </c>
      <c r="V1607" s="722">
        <v>20.03</v>
      </c>
      <c r="W1607" s="722">
        <v>1.76</v>
      </c>
      <c r="X1607" s="722">
        <v>0.65</v>
      </c>
      <c r="Y1607" s="722" t="s">
        <v>770</v>
      </c>
      <c r="Z1607" s="382" t="s">
        <v>924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10614</v>
      </c>
      <c r="B1608" s="373" t="s">
        <v>10615</v>
      </c>
      <c r="C1608" s="372" t="s">
        <v>10616</v>
      </c>
      <c r="D1608" s="374">
        <v>1311110115054</v>
      </c>
      <c r="E1608" s="372" t="s">
        <v>10617</v>
      </c>
      <c r="F1608" s="375" t="s">
        <v>1367</v>
      </c>
      <c r="G1608" s="375" t="s">
        <v>1367</v>
      </c>
      <c r="H1608" s="375" t="s">
        <v>858</v>
      </c>
      <c r="I1608" s="375" t="s">
        <v>859</v>
      </c>
      <c r="J1608" s="375">
        <v>34908.080479999997</v>
      </c>
      <c r="K1608" s="375">
        <v>615.64385000000004</v>
      </c>
      <c r="L1608" s="375">
        <v>22.337779999999999</v>
      </c>
      <c r="M1608" s="375">
        <v>47069.539949999998</v>
      </c>
      <c r="N1608" s="372">
        <v>0.81599999999999995</v>
      </c>
      <c r="O1608" s="704">
        <v>21.210672090759747</v>
      </c>
      <c r="P1608" s="375" t="s">
        <v>619</v>
      </c>
      <c r="Q1608" s="372" t="s">
        <v>619</v>
      </c>
      <c r="R1608" s="696">
        <v>20170224</v>
      </c>
      <c r="S1608" s="375" t="s">
        <v>10618</v>
      </c>
      <c r="T1608" s="697">
        <v>9.9000000000000005E-2</v>
      </c>
      <c r="U1608" s="372" t="s">
        <v>10619</v>
      </c>
      <c r="V1608" s="722">
        <v>36.85</v>
      </c>
      <c r="W1608" s="722">
        <v>1.74</v>
      </c>
      <c r="X1608" s="722">
        <v>2.35</v>
      </c>
      <c r="Y1608" s="722">
        <v>233.7</v>
      </c>
      <c r="Z1608" s="382" t="s">
        <v>924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10620</v>
      </c>
      <c r="B1609" s="373" t="s">
        <v>10621</v>
      </c>
      <c r="C1609" s="372" t="s">
        <v>10622</v>
      </c>
      <c r="D1609" s="374">
        <v>1101111626063</v>
      </c>
      <c r="E1609" s="372" t="s">
        <v>10623</v>
      </c>
      <c r="F1609" s="372" t="s">
        <v>10624</v>
      </c>
      <c r="G1609" s="375" t="s">
        <v>10624</v>
      </c>
      <c r="H1609" s="375" t="s">
        <v>858</v>
      </c>
      <c r="I1609" s="375" t="s">
        <v>859</v>
      </c>
      <c r="J1609" s="375">
        <v>42317.734170000003</v>
      </c>
      <c r="K1609" s="375">
        <v>3012.8984799999998</v>
      </c>
      <c r="L1609" s="375">
        <v>5476.2154399999999</v>
      </c>
      <c r="M1609" s="375">
        <v>60678.358209999999</v>
      </c>
      <c r="N1609" s="372">
        <v>0.872</v>
      </c>
      <c r="O1609" s="704">
        <v>1.4356770184723555</v>
      </c>
      <c r="P1609" s="375" t="s">
        <v>619</v>
      </c>
      <c r="Q1609" s="372" t="s">
        <v>619</v>
      </c>
      <c r="R1609" s="696">
        <v>20020528</v>
      </c>
      <c r="S1609" s="372" t="s">
        <v>10625</v>
      </c>
      <c r="T1609" s="697">
        <v>0.20900000000000002</v>
      </c>
      <c r="U1609" s="372" t="s">
        <v>10626</v>
      </c>
      <c r="V1609" s="722">
        <v>17.489999999999998</v>
      </c>
      <c r="W1609" s="722">
        <v>1.04</v>
      </c>
      <c r="X1609" s="722">
        <v>1.49</v>
      </c>
      <c r="Y1609" s="722">
        <v>11.88</v>
      </c>
      <c r="Z1609" s="382" t="s">
        <v>924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10627</v>
      </c>
      <c r="B1610" s="373" t="s">
        <v>10628</v>
      </c>
      <c r="C1610" s="372" t="s">
        <v>10629</v>
      </c>
      <c r="D1610" s="374">
        <v>1101117042271</v>
      </c>
      <c r="E1610" s="372" t="s">
        <v>10630</v>
      </c>
      <c r="F1610" s="375" t="s">
        <v>3233</v>
      </c>
      <c r="G1610" s="375" t="s">
        <v>3233</v>
      </c>
      <c r="H1610" s="375" t="s">
        <v>858</v>
      </c>
      <c r="I1610" s="375" t="s">
        <v>859</v>
      </c>
      <c r="J1610" s="375">
        <v>36952.6276</v>
      </c>
      <c r="K1610" s="375">
        <v>1028.4997599999999</v>
      </c>
      <c r="L1610" s="375">
        <v>2338.5573899999999</v>
      </c>
      <c r="M1610" s="375">
        <v>39629.195590000003</v>
      </c>
      <c r="N1610" s="372">
        <v>0.91600000000000004</v>
      </c>
      <c r="O1610" s="704">
        <v>0.55287117308214884</v>
      </c>
      <c r="P1610" s="375" t="s">
        <v>619</v>
      </c>
      <c r="Q1610" s="372" t="s">
        <v>619</v>
      </c>
      <c r="R1610" s="696">
        <v>20190531</v>
      </c>
      <c r="S1610" s="372" t="s">
        <v>10631</v>
      </c>
      <c r="T1610" s="697">
        <v>0.20900000000000002</v>
      </c>
      <c r="U1610" s="372" t="s">
        <v>10632</v>
      </c>
      <c r="V1610" s="722">
        <v>28.68</v>
      </c>
      <c r="W1610" s="722">
        <v>1.61</v>
      </c>
      <c r="X1610" s="722">
        <v>1.74</v>
      </c>
      <c r="Y1610" s="722">
        <v>27.71</v>
      </c>
      <c r="Z1610" s="382" t="s">
        <v>924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397</v>
      </c>
      <c r="AF1610" s="372">
        <v>427</v>
      </c>
      <c r="AG1610" s="372">
        <v>0</v>
      </c>
      <c r="AH1610" s="372">
        <v>0</v>
      </c>
    </row>
    <row r="1611" spans="1:34">
      <c r="A1611" s="372" t="s">
        <v>10633</v>
      </c>
      <c r="B1611" s="373" t="s">
        <v>10634</v>
      </c>
      <c r="C1611" s="372" t="s">
        <v>10635</v>
      </c>
      <c r="D1611" s="374">
        <v>1760110032132</v>
      </c>
      <c r="E1611" s="372" t="s">
        <v>10636</v>
      </c>
      <c r="F1611" s="375" t="s">
        <v>972</v>
      </c>
      <c r="G1611" s="375" t="s">
        <v>973</v>
      </c>
      <c r="H1611" s="375" t="s">
        <v>1334</v>
      </c>
      <c r="I1611" s="375" t="s">
        <v>859</v>
      </c>
      <c r="J1611" s="375">
        <v>25680.863379999999</v>
      </c>
      <c r="K1611" s="375">
        <v>1980.30672</v>
      </c>
      <c r="L1611" s="375">
        <v>2184.4514199999999</v>
      </c>
      <c r="M1611" s="375">
        <v>18223.807690000001</v>
      </c>
      <c r="N1611" s="372">
        <v>0.40200000000000002</v>
      </c>
      <c r="O1611" s="704">
        <v>1.8176320562770563</v>
      </c>
      <c r="P1611" s="375" t="s">
        <v>619</v>
      </c>
      <c r="Q1611" s="375" t="s">
        <v>619</v>
      </c>
      <c r="R1611" s="696">
        <v>20100414</v>
      </c>
      <c r="S1611" s="372" t="s">
        <v>10637</v>
      </c>
      <c r="T1611" s="697">
        <v>0.20900000000000002</v>
      </c>
      <c r="U1611" s="372" t="s">
        <v>10638</v>
      </c>
      <c r="V1611" s="722">
        <v>0</v>
      </c>
      <c r="W1611" s="722">
        <v>0</v>
      </c>
      <c r="X1611" s="722">
        <v>0</v>
      </c>
      <c r="Y1611" s="722">
        <v>0</v>
      </c>
      <c r="Z1611" s="382" t="s">
        <v>924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10639</v>
      </c>
      <c r="B1612" s="373" t="s">
        <v>10640</v>
      </c>
      <c r="C1612" s="372" t="s">
        <v>10641</v>
      </c>
      <c r="D1612" s="374">
        <v>1101110250136</v>
      </c>
      <c r="E1612" s="372" t="s">
        <v>10642</v>
      </c>
      <c r="F1612" s="375" t="s">
        <v>10643</v>
      </c>
      <c r="G1612" s="375" t="s">
        <v>10644</v>
      </c>
      <c r="H1612" s="375" t="s">
        <v>3096</v>
      </c>
      <c r="I1612" s="375" t="s">
        <v>859</v>
      </c>
      <c r="J1612" s="375">
        <v>165375.29568000001</v>
      </c>
      <c r="K1612" s="375">
        <v>-1362.6244300000001</v>
      </c>
      <c r="L1612" s="375">
        <v>-2596.7814800000001</v>
      </c>
      <c r="M1612" s="375">
        <v>157170.76650999999</v>
      </c>
      <c r="N1612" s="372">
        <v>0.71899999999999997</v>
      </c>
      <c r="O1612" s="704">
        <v>95.411929242730537</v>
      </c>
      <c r="P1612" s="375" t="s">
        <v>619</v>
      </c>
      <c r="Q1612" s="375" t="s">
        <v>619</v>
      </c>
      <c r="R1612" s="696">
        <v>19941228</v>
      </c>
      <c r="S1612" s="372" t="s">
        <v>10645</v>
      </c>
      <c r="T1612" s="697" t="s">
        <v>768</v>
      </c>
      <c r="U1612" s="372" t="s">
        <v>10646</v>
      </c>
      <c r="V1612" s="722">
        <v>45.36</v>
      </c>
      <c r="W1612" s="722">
        <v>0.53</v>
      </c>
      <c r="X1612" s="722">
        <v>0.34</v>
      </c>
      <c r="Y1612" s="722" t="s">
        <v>770</v>
      </c>
      <c r="Z1612" s="382" t="s">
        <v>924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10647</v>
      </c>
      <c r="B1613" s="373" t="s">
        <v>10648</v>
      </c>
      <c r="C1613" s="372" t="s">
        <v>10649</v>
      </c>
      <c r="D1613" s="374">
        <v>1644110000820</v>
      </c>
      <c r="E1613" s="372" t="s">
        <v>10650</v>
      </c>
      <c r="F1613" s="375" t="s">
        <v>9239</v>
      </c>
      <c r="G1613" s="375" t="s">
        <v>9239</v>
      </c>
      <c r="H1613" s="375" t="s">
        <v>858</v>
      </c>
      <c r="I1613" s="375" t="s">
        <v>859</v>
      </c>
      <c r="J1613" s="375">
        <v>182786.15153999999</v>
      </c>
      <c r="K1613" s="375">
        <v>-403.64069999999998</v>
      </c>
      <c r="L1613" s="375">
        <v>-4209.9512599999998</v>
      </c>
      <c r="M1613" s="375">
        <v>42722.161070000002</v>
      </c>
      <c r="N1613" s="372">
        <v>0.996</v>
      </c>
      <c r="O1613" s="704">
        <v>106.08101104997007</v>
      </c>
      <c r="P1613" s="375" t="s">
        <v>619</v>
      </c>
      <c r="Q1613" s="375" t="s">
        <v>619</v>
      </c>
      <c r="R1613" s="696">
        <v>20191120</v>
      </c>
      <c r="S1613" s="375" t="s">
        <v>10651</v>
      </c>
      <c r="T1613" s="697" t="s">
        <v>768</v>
      </c>
      <c r="U1613" s="372" t="s">
        <v>10652</v>
      </c>
      <c r="V1613" s="722">
        <v>0</v>
      </c>
      <c r="W1613" s="722">
        <v>0</v>
      </c>
      <c r="X1613" s="722">
        <v>0</v>
      </c>
      <c r="Y1613" s="722">
        <v>0</v>
      </c>
      <c r="Z1613" s="382" t="s">
        <v>924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10653</v>
      </c>
      <c r="B1614" s="373" t="s">
        <v>10654</v>
      </c>
      <c r="C1614" s="372" t="s">
        <v>10655</v>
      </c>
      <c r="D1614" s="374">
        <v>1101110094964</v>
      </c>
      <c r="E1614" s="372" t="s">
        <v>10656</v>
      </c>
      <c r="F1614" s="375" t="s">
        <v>5275</v>
      </c>
      <c r="G1614" s="375" t="s">
        <v>5275</v>
      </c>
      <c r="H1614" s="375" t="s">
        <v>1536</v>
      </c>
      <c r="I1614" s="375" t="s">
        <v>751</v>
      </c>
      <c r="J1614" s="375">
        <v>198594.50492000001</v>
      </c>
      <c r="K1614" s="375">
        <v>1255.96786</v>
      </c>
      <c r="L1614" s="375">
        <v>4055.7108199999998</v>
      </c>
      <c r="M1614" s="375">
        <v>370217.94892</v>
      </c>
      <c r="N1614" s="372">
        <v>0.45900000000000002</v>
      </c>
      <c r="O1614" s="704">
        <v>5.6890727539420611</v>
      </c>
      <c r="P1614" s="375" t="s">
        <v>619</v>
      </c>
      <c r="Q1614" s="372" t="s">
        <v>619</v>
      </c>
      <c r="R1614" s="696">
        <v>19761228</v>
      </c>
      <c r="S1614" s="372" t="s">
        <v>10657</v>
      </c>
      <c r="T1614" s="697">
        <v>0.20900000000000002</v>
      </c>
      <c r="U1614" s="372" t="s">
        <v>10658</v>
      </c>
      <c r="V1614" s="722">
        <v>15.13</v>
      </c>
      <c r="W1614" s="722">
        <v>0.23</v>
      </c>
      <c r="X1614" s="722">
        <v>0.42</v>
      </c>
      <c r="Y1614" s="722">
        <v>31.33</v>
      </c>
      <c r="Z1614" s="382" t="s">
        <v>924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10659</v>
      </c>
      <c r="B1615" s="373" t="s">
        <v>10660</v>
      </c>
      <c r="C1615" s="372" t="s">
        <v>10661</v>
      </c>
      <c r="D1615" s="374">
        <v>1201110780818</v>
      </c>
      <c r="E1615" s="372" t="s">
        <v>10662</v>
      </c>
      <c r="F1615" s="375" t="s">
        <v>1793</v>
      </c>
      <c r="G1615" s="375" t="s">
        <v>2794</v>
      </c>
      <c r="H1615" s="375" t="s">
        <v>858</v>
      </c>
      <c r="I1615" s="375" t="s">
        <v>859</v>
      </c>
      <c r="J1615" s="375">
        <v>1493.45063</v>
      </c>
      <c r="K1615" s="375">
        <v>-7401.7695599999997</v>
      </c>
      <c r="L1615" s="375">
        <v>-7099.8629799999999</v>
      </c>
      <c r="M1615" s="375">
        <v>11685.605610000001</v>
      </c>
      <c r="N1615" s="372" t="s">
        <v>1023</v>
      </c>
      <c r="O1615" s="704">
        <v>2.4361608320798158</v>
      </c>
      <c r="P1615" s="375" t="s">
        <v>16112</v>
      </c>
      <c r="Q1615" s="372" t="s">
        <v>16113</v>
      </c>
      <c r="R1615" s="696">
        <v>20230824</v>
      </c>
      <c r="S1615" s="372" t="s">
        <v>10663</v>
      </c>
      <c r="T1615" s="697" t="s">
        <v>768</v>
      </c>
      <c r="U1615" s="372" t="s">
        <v>10664</v>
      </c>
      <c r="V1615" s="722">
        <v>0</v>
      </c>
      <c r="W1615" s="722">
        <v>0</v>
      </c>
      <c r="X1615" s="722">
        <v>0</v>
      </c>
      <c r="Y1615" s="722">
        <v>0</v>
      </c>
      <c r="Z1615" s="382" t="s">
        <v>924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10665</v>
      </c>
      <c r="B1616" s="373" t="s">
        <v>10666</v>
      </c>
      <c r="C1616" s="372" t="s">
        <v>10667</v>
      </c>
      <c r="D1616" s="374">
        <v>1101113820738</v>
      </c>
      <c r="E1616" s="372" t="s">
        <v>10668</v>
      </c>
      <c r="F1616" s="372" t="s">
        <v>1367</v>
      </c>
      <c r="G1616" s="375" t="s">
        <v>1367</v>
      </c>
      <c r="H1616" s="375" t="s">
        <v>858</v>
      </c>
      <c r="I1616" s="375" t="s">
        <v>859</v>
      </c>
      <c r="J1616" s="375">
        <v>82436.596309999994</v>
      </c>
      <c r="K1616" s="375">
        <v>-2164.88256</v>
      </c>
      <c r="L1616" s="375">
        <v>-1804.03512</v>
      </c>
      <c r="M1616" s="375">
        <v>31723.42958</v>
      </c>
      <c r="N1616" s="372">
        <v>0.97099999999999997</v>
      </c>
      <c r="O1616" s="704">
        <v>7.703366131764608</v>
      </c>
      <c r="P1616" s="375" t="s">
        <v>619</v>
      </c>
      <c r="Q1616" s="375" t="s">
        <v>619</v>
      </c>
      <c r="R1616" s="696">
        <v>20210618</v>
      </c>
      <c r="S1616" s="375" t="s">
        <v>10669</v>
      </c>
      <c r="T1616" s="697" t="s">
        <v>768</v>
      </c>
      <c r="U1616" s="372" t="s">
        <v>10670</v>
      </c>
      <c r="V1616" s="722">
        <v>114.5</v>
      </c>
      <c r="W1616" s="722">
        <v>1.65</v>
      </c>
      <c r="X1616" s="722">
        <v>0.7</v>
      </c>
      <c r="Y1616" s="722" t="s">
        <v>770</v>
      </c>
      <c r="Z1616" s="382" t="s">
        <v>924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10671</v>
      </c>
      <c r="B1617" s="373" t="s">
        <v>10672</v>
      </c>
      <c r="C1617" s="372" t="s">
        <v>10673</v>
      </c>
      <c r="D1617" s="374">
        <v>1152110000790</v>
      </c>
      <c r="E1617" s="372" t="s">
        <v>10674</v>
      </c>
      <c r="F1617" s="375" t="s">
        <v>1320</v>
      </c>
      <c r="G1617" s="375" t="s">
        <v>16103</v>
      </c>
      <c r="H1617" s="375" t="s">
        <v>858</v>
      </c>
      <c r="I1617" s="375" t="s">
        <v>859</v>
      </c>
      <c r="J1617" s="375">
        <v>91699.141369999998</v>
      </c>
      <c r="K1617" s="375">
        <v>15085.71492</v>
      </c>
      <c r="L1617" s="375">
        <v>17395.182400000002</v>
      </c>
      <c r="M1617" s="375">
        <v>143317.13706000001</v>
      </c>
      <c r="N1617" s="372">
        <v>0.68400000000000005</v>
      </c>
      <c r="O1617" s="704">
        <v>0.56486157264584314</v>
      </c>
      <c r="P1617" s="375" t="s">
        <v>619</v>
      </c>
      <c r="Q1617" s="375" t="s">
        <v>619</v>
      </c>
      <c r="R1617" s="696">
        <v>19990811</v>
      </c>
      <c r="S1617" s="372" t="s">
        <v>10675</v>
      </c>
      <c r="T1617" s="697">
        <v>0.20900000000000002</v>
      </c>
      <c r="U1617" s="372" t="s">
        <v>10676</v>
      </c>
      <c r="V1617" s="722">
        <v>0</v>
      </c>
      <c r="W1617" s="722">
        <v>0</v>
      </c>
      <c r="X1617" s="722">
        <v>0</v>
      </c>
      <c r="Y1617" s="722">
        <v>0</v>
      </c>
      <c r="Z1617" s="382" t="s">
        <v>924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10677</v>
      </c>
      <c r="B1618" s="373" t="s">
        <v>10678</v>
      </c>
      <c r="C1618" s="372" t="s">
        <v>10679</v>
      </c>
      <c r="D1618" s="374">
        <v>1201110230277</v>
      </c>
      <c r="E1618" s="372" t="s">
        <v>10680</v>
      </c>
      <c r="F1618" s="375" t="s">
        <v>2831</v>
      </c>
      <c r="G1618" s="375" t="s">
        <v>2831</v>
      </c>
      <c r="H1618" s="375" t="s">
        <v>858</v>
      </c>
      <c r="I1618" s="375" t="s">
        <v>859</v>
      </c>
      <c r="J1618" s="375">
        <v>139635.27235000001</v>
      </c>
      <c r="K1618" s="375">
        <v>815.24645999999996</v>
      </c>
      <c r="L1618" s="375">
        <v>4282.0802000000003</v>
      </c>
      <c r="M1618" s="375">
        <v>103205.60073000001</v>
      </c>
      <c r="N1618" s="372">
        <v>0.93500000000000005</v>
      </c>
      <c r="O1618" s="704">
        <v>22.439098423400232</v>
      </c>
      <c r="P1618" s="375" t="s">
        <v>619</v>
      </c>
      <c r="Q1618" s="375" t="s">
        <v>619</v>
      </c>
      <c r="R1618" s="696">
        <v>20181214</v>
      </c>
      <c r="S1618" s="372" t="s">
        <v>10681</v>
      </c>
      <c r="T1618" s="697">
        <v>0.20900000000000002</v>
      </c>
      <c r="U1618" s="372" t="s">
        <v>10682</v>
      </c>
      <c r="V1618" s="722">
        <v>15.91</v>
      </c>
      <c r="W1618" s="722">
        <v>0.54</v>
      </c>
      <c r="X1618" s="722">
        <v>0.39</v>
      </c>
      <c r="Y1618" s="722">
        <v>13.63</v>
      </c>
      <c r="Z1618" s="382" t="s">
        <v>924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10683</v>
      </c>
      <c r="B1619" s="373" t="s">
        <v>10684</v>
      </c>
      <c r="C1619" s="372" t="s">
        <v>10685</v>
      </c>
      <c r="D1619" s="374">
        <v>1101110075683</v>
      </c>
      <c r="E1619" s="372" t="s">
        <v>10686</v>
      </c>
      <c r="F1619" s="375" t="s">
        <v>1846</v>
      </c>
      <c r="G1619" s="375" t="s">
        <v>1847</v>
      </c>
      <c r="H1619" s="375" t="s">
        <v>1383</v>
      </c>
      <c r="I1619" s="375" t="s">
        <v>751</v>
      </c>
      <c r="J1619" s="375">
        <v>1327495.8953499999</v>
      </c>
      <c r="K1619" s="375">
        <v>41376.930840000001</v>
      </c>
      <c r="L1619" s="375">
        <v>48170.138229999997</v>
      </c>
      <c r="M1619" s="375">
        <v>778606.86805000005</v>
      </c>
      <c r="N1619" s="372">
        <v>0.85199999999999998</v>
      </c>
      <c r="O1619" s="704">
        <v>1237.3765065261218</v>
      </c>
      <c r="P1619" s="375" t="s">
        <v>619</v>
      </c>
      <c r="Q1619" s="372" t="s">
        <v>619</v>
      </c>
      <c r="R1619" s="696">
        <v>19760707</v>
      </c>
      <c r="S1619" s="372" t="s">
        <v>10687</v>
      </c>
      <c r="T1619" s="697">
        <v>0.23100000000000001</v>
      </c>
      <c r="U1619" s="372" t="s">
        <v>10688</v>
      </c>
      <c r="V1619" s="722">
        <v>13.06</v>
      </c>
      <c r="W1619" s="722">
        <v>0.1</v>
      </c>
      <c r="X1619" s="722">
        <v>0.06</v>
      </c>
      <c r="Y1619" s="722">
        <v>1.65</v>
      </c>
      <c r="Z1619" s="382" t="s">
        <v>924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10689</v>
      </c>
      <c r="B1620" s="373" t="s">
        <v>10690</v>
      </c>
      <c r="C1620" s="372" t="s">
        <v>10691</v>
      </c>
      <c r="D1620" s="374">
        <v>1101110889836</v>
      </c>
      <c r="E1620" s="372" t="s">
        <v>10692</v>
      </c>
      <c r="F1620" s="375" t="s">
        <v>972</v>
      </c>
      <c r="G1620" s="375" t="s">
        <v>973</v>
      </c>
      <c r="H1620" s="375" t="s">
        <v>1334</v>
      </c>
      <c r="I1620" s="375" t="s">
        <v>859</v>
      </c>
      <c r="J1620" s="375">
        <v>215427.93887000001</v>
      </c>
      <c r="K1620" s="375">
        <v>5913.0875299999998</v>
      </c>
      <c r="L1620" s="375">
        <v>4668.6666999999998</v>
      </c>
      <c r="M1620" s="375">
        <v>89688.974279999995</v>
      </c>
      <c r="N1620" s="372">
        <v>0.751</v>
      </c>
      <c r="O1620" s="704">
        <v>37.240322804747805</v>
      </c>
      <c r="P1620" s="375" t="s">
        <v>619</v>
      </c>
      <c r="Q1620" s="372" t="s">
        <v>619</v>
      </c>
      <c r="R1620" s="696">
        <v>20010105</v>
      </c>
      <c r="S1620" s="372" t="s">
        <v>10693</v>
      </c>
      <c r="T1620" s="697">
        <v>0.20900000000000002</v>
      </c>
      <c r="U1620" s="372" t="s">
        <v>10694</v>
      </c>
      <c r="V1620" s="722">
        <v>8.59</v>
      </c>
      <c r="W1620" s="722">
        <v>0.9</v>
      </c>
      <c r="X1620" s="722">
        <v>0.33</v>
      </c>
      <c r="Y1620" s="722">
        <v>26.77</v>
      </c>
      <c r="Z1620" s="382" t="s">
        <v>924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10695</v>
      </c>
      <c r="B1621" s="373" t="s">
        <v>10696</v>
      </c>
      <c r="C1621" s="372" t="s">
        <v>10697</v>
      </c>
      <c r="D1621" s="374">
        <v>1101112005018</v>
      </c>
      <c r="E1621" s="372" t="s">
        <v>10698</v>
      </c>
      <c r="F1621" s="375" t="s">
        <v>1113</v>
      </c>
      <c r="G1621" s="375" t="s">
        <v>1333</v>
      </c>
      <c r="H1621" s="375" t="s">
        <v>1334</v>
      </c>
      <c r="I1621" s="375" t="s">
        <v>859</v>
      </c>
      <c r="J1621" s="375">
        <v>3257.8398699999998</v>
      </c>
      <c r="K1621" s="375">
        <v>-14617.466560000001</v>
      </c>
      <c r="L1621" s="375">
        <v>-15229.60845</v>
      </c>
      <c r="M1621" s="375">
        <v>53401.018949999998</v>
      </c>
      <c r="N1621" s="372">
        <v>1.0489999999999999</v>
      </c>
      <c r="O1621" s="704">
        <v>5.0476652617758164</v>
      </c>
      <c r="P1621" s="375" t="s">
        <v>619</v>
      </c>
      <c r="Q1621" s="372" t="s">
        <v>619</v>
      </c>
      <c r="R1621" s="696">
        <v>20131128</v>
      </c>
      <c r="S1621" s="372" t="s">
        <v>10699</v>
      </c>
      <c r="T1621" s="697" t="s">
        <v>768</v>
      </c>
      <c r="U1621" s="372" t="s">
        <v>10700</v>
      </c>
      <c r="V1621" s="722" t="s">
        <v>770</v>
      </c>
      <c r="W1621" s="722">
        <v>1.55</v>
      </c>
      <c r="X1621" s="722">
        <v>24.1</v>
      </c>
      <c r="Y1621" s="722" t="s">
        <v>770</v>
      </c>
      <c r="Z1621" s="382" t="s">
        <v>924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10701</v>
      </c>
      <c r="B1622" s="373" t="s">
        <v>10702</v>
      </c>
      <c r="C1622" s="372" t="s">
        <v>10703</v>
      </c>
      <c r="D1622" s="374">
        <v>1101115542497</v>
      </c>
      <c r="E1622" s="372" t="s">
        <v>10704</v>
      </c>
      <c r="F1622" s="375" t="s">
        <v>9516</v>
      </c>
      <c r="G1622" s="375" t="s">
        <v>9516</v>
      </c>
      <c r="H1622" s="375" t="s">
        <v>858</v>
      </c>
      <c r="I1622" s="375" t="s">
        <v>859</v>
      </c>
      <c r="J1622" s="375">
        <v>186640.16083000001</v>
      </c>
      <c r="K1622" s="375">
        <v>17962.478790000001</v>
      </c>
      <c r="L1622" s="375">
        <v>19750.948670000002</v>
      </c>
      <c r="M1622" s="375">
        <v>123904.03711999999</v>
      </c>
      <c r="N1622" s="372">
        <v>0.64700000000000002</v>
      </c>
      <c r="O1622" s="704">
        <v>76.837797458692719</v>
      </c>
      <c r="P1622" s="375" t="s">
        <v>619</v>
      </c>
      <c r="Q1622" s="372" t="s">
        <v>619</v>
      </c>
      <c r="R1622" s="696">
        <v>20141217</v>
      </c>
      <c r="S1622" s="375" t="s">
        <v>10705</v>
      </c>
      <c r="T1622" s="697">
        <v>0.20900000000000002</v>
      </c>
      <c r="U1622" s="375" t="s">
        <v>10706</v>
      </c>
      <c r="V1622" s="722">
        <v>3.33</v>
      </c>
      <c r="W1622" s="722">
        <v>0.67</v>
      </c>
      <c r="X1622" s="722">
        <v>0.44</v>
      </c>
      <c r="Y1622" s="722">
        <v>4.47</v>
      </c>
      <c r="Z1622" s="382" t="s">
        <v>924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10707</v>
      </c>
      <c r="B1623" s="373" t="s">
        <v>10708</v>
      </c>
      <c r="C1623" s="372" t="s">
        <v>10709</v>
      </c>
      <c r="D1623" s="374">
        <v>1244110001008</v>
      </c>
      <c r="E1623" s="372" t="s">
        <v>10710</v>
      </c>
      <c r="F1623" s="375" t="s">
        <v>2278</v>
      </c>
      <c r="G1623" s="375" t="s">
        <v>16277</v>
      </c>
      <c r="H1623" s="375" t="s">
        <v>858</v>
      </c>
      <c r="I1623" s="375" t="s">
        <v>859</v>
      </c>
      <c r="J1623" s="375">
        <v>80354.141199999998</v>
      </c>
      <c r="K1623" s="375">
        <v>15243.831190000001</v>
      </c>
      <c r="L1623" s="375">
        <v>17844.342499999999</v>
      </c>
      <c r="M1623" s="375">
        <v>122176.71997999999</v>
      </c>
      <c r="N1623" s="372">
        <v>0.77800000000000002</v>
      </c>
      <c r="O1623" s="704">
        <v>2.6039032869148793</v>
      </c>
      <c r="P1623" s="375" t="s">
        <v>619</v>
      </c>
      <c r="Q1623" s="375" t="s">
        <v>619</v>
      </c>
      <c r="R1623" s="696">
        <v>20000526</v>
      </c>
      <c r="S1623" s="375" t="s">
        <v>10711</v>
      </c>
      <c r="T1623" s="697">
        <v>0.20900000000000002</v>
      </c>
      <c r="U1623" s="372" t="s">
        <v>10712</v>
      </c>
      <c r="V1623" s="722">
        <v>5.23</v>
      </c>
      <c r="W1623" s="722">
        <v>0.71</v>
      </c>
      <c r="X1623" s="722">
        <v>1.08</v>
      </c>
      <c r="Y1623" s="722">
        <v>6.01</v>
      </c>
      <c r="Z1623" s="382">
        <v>4.6627259839528978E-2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845</v>
      </c>
      <c r="AF1623" s="372">
        <v>892</v>
      </c>
      <c r="AG1623" s="372">
        <v>938</v>
      </c>
      <c r="AH1623" s="372">
        <v>0</v>
      </c>
    </row>
    <row r="1624" spans="1:34">
      <c r="A1624" s="372" t="s">
        <v>10713</v>
      </c>
      <c r="B1624" s="373" t="s">
        <v>10714</v>
      </c>
      <c r="C1624" s="372" t="s">
        <v>10715</v>
      </c>
      <c r="D1624" s="374">
        <v>1201110607278</v>
      </c>
      <c r="E1624" s="372" t="s">
        <v>10716</v>
      </c>
      <c r="F1624" s="372" t="s">
        <v>7027</v>
      </c>
      <c r="G1624" s="375" t="s">
        <v>7027</v>
      </c>
      <c r="H1624" s="375" t="s">
        <v>1334</v>
      </c>
      <c r="I1624" s="375" t="s">
        <v>859</v>
      </c>
      <c r="J1624" s="375">
        <v>81299.961580000003</v>
      </c>
      <c r="K1624" s="375">
        <v>-4323.7801099999997</v>
      </c>
      <c r="L1624" s="375">
        <v>-15788.678529999999</v>
      </c>
      <c r="M1624" s="375">
        <v>66664.036760000003</v>
      </c>
      <c r="N1624" s="372">
        <v>1.415</v>
      </c>
      <c r="O1624" s="704">
        <v>98.471919683861216</v>
      </c>
      <c r="P1624" s="375" t="s">
        <v>619</v>
      </c>
      <c r="Q1624" s="372" t="s">
        <v>619</v>
      </c>
      <c r="R1624" s="696">
        <v>20180328</v>
      </c>
      <c r="S1624" s="372" t="s">
        <v>10717</v>
      </c>
      <c r="T1624" s="697" t="s">
        <v>768</v>
      </c>
      <c r="U1624" s="372" t="s">
        <v>10718</v>
      </c>
      <c r="V1624" s="722" t="s">
        <v>770</v>
      </c>
      <c r="W1624" s="722">
        <v>1.02</v>
      </c>
      <c r="X1624" s="722">
        <v>0.75</v>
      </c>
      <c r="Y1624" s="722" t="s">
        <v>770</v>
      </c>
      <c r="Z1624" s="382" t="s">
        <v>924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10719</v>
      </c>
      <c r="B1625" s="373" t="s">
        <v>10720</v>
      </c>
      <c r="C1625" s="372" t="s">
        <v>10721</v>
      </c>
      <c r="D1625" s="374">
        <v>1101114382878</v>
      </c>
      <c r="E1625" s="372" t="s">
        <v>10722</v>
      </c>
      <c r="F1625" s="375" t="s">
        <v>8716</v>
      </c>
      <c r="G1625" s="375" t="s">
        <v>8716</v>
      </c>
      <c r="H1625" s="375" t="s">
        <v>858</v>
      </c>
      <c r="I1625" s="375" t="s">
        <v>859</v>
      </c>
      <c r="J1625" s="375">
        <v>239055.28878</v>
      </c>
      <c r="K1625" s="375">
        <v>8596.4316199999994</v>
      </c>
      <c r="L1625" s="375">
        <v>8786.6716799999995</v>
      </c>
      <c r="M1625" s="375">
        <v>74024.729869999996</v>
      </c>
      <c r="N1625" s="372">
        <v>0.70399999999999996</v>
      </c>
      <c r="O1625" s="704">
        <v>56.379608922150013</v>
      </c>
      <c r="P1625" s="375" t="s">
        <v>619</v>
      </c>
      <c r="Q1625" s="372" t="s">
        <v>619</v>
      </c>
      <c r="R1625" s="696">
        <v>20101213</v>
      </c>
      <c r="S1625" s="372" t="s">
        <v>10723</v>
      </c>
      <c r="T1625" s="697">
        <v>0.20900000000000002</v>
      </c>
      <c r="U1625" s="372" t="s">
        <v>10724</v>
      </c>
      <c r="V1625" s="722">
        <v>10.43</v>
      </c>
      <c r="W1625" s="722">
        <v>1.0900000000000001</v>
      </c>
      <c r="X1625" s="722">
        <v>0.32</v>
      </c>
      <c r="Y1625" s="722">
        <v>10.31</v>
      </c>
      <c r="Z1625" s="382" t="s">
        <v>924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10725</v>
      </c>
      <c r="B1626" s="373" t="s">
        <v>10726</v>
      </c>
      <c r="C1626" s="372" t="s">
        <v>10727</v>
      </c>
      <c r="D1626" s="374">
        <v>1801110102359</v>
      </c>
      <c r="E1626" s="372" t="s">
        <v>10728</v>
      </c>
      <c r="F1626" s="375" t="s">
        <v>2744</v>
      </c>
      <c r="G1626" s="375" t="s">
        <v>6509</v>
      </c>
      <c r="H1626" s="375" t="s">
        <v>858</v>
      </c>
      <c r="I1626" s="375" t="s">
        <v>859</v>
      </c>
      <c r="J1626" s="375">
        <v>227267.13192000001</v>
      </c>
      <c r="K1626" s="375">
        <v>2608.41527</v>
      </c>
      <c r="L1626" s="375">
        <v>-4306.9318400000002</v>
      </c>
      <c r="M1626" s="375">
        <v>145987.26665999999</v>
      </c>
      <c r="N1626" s="372">
        <v>1.095</v>
      </c>
      <c r="O1626" s="704">
        <v>140.51595942906602</v>
      </c>
      <c r="P1626" s="375" t="s">
        <v>619</v>
      </c>
      <c r="Q1626" s="372" t="s">
        <v>619</v>
      </c>
      <c r="R1626" s="696">
        <v>19950612</v>
      </c>
      <c r="S1626" s="372" t="s">
        <v>10729</v>
      </c>
      <c r="T1626" s="697" t="s">
        <v>768</v>
      </c>
      <c r="U1626" s="372" t="s">
        <v>8277</v>
      </c>
      <c r="V1626" s="722">
        <v>22.6</v>
      </c>
      <c r="W1626" s="722">
        <v>0.56000000000000005</v>
      </c>
      <c r="X1626" s="722">
        <v>0.31</v>
      </c>
      <c r="Y1626" s="722" t="s">
        <v>770</v>
      </c>
      <c r="Z1626" s="382" t="s">
        <v>924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10730</v>
      </c>
      <c r="B1627" s="373" t="s">
        <v>10731</v>
      </c>
      <c r="C1627" s="372" t="s">
        <v>10732</v>
      </c>
      <c r="D1627" s="374">
        <v>1101110093552</v>
      </c>
      <c r="E1627" s="372" t="s">
        <v>10733</v>
      </c>
      <c r="F1627" s="375" t="s">
        <v>890</v>
      </c>
      <c r="G1627" s="375" t="s">
        <v>891</v>
      </c>
      <c r="H1627" s="375" t="s">
        <v>852</v>
      </c>
      <c r="I1627" s="375" t="s">
        <v>751</v>
      </c>
      <c r="J1627" s="375">
        <v>1046979.7143</v>
      </c>
      <c r="K1627" s="375">
        <v>75127.931410000005</v>
      </c>
      <c r="L1627" s="375">
        <v>58399.223839999999</v>
      </c>
      <c r="M1627" s="375">
        <v>573917.27266999998</v>
      </c>
      <c r="N1627" s="372">
        <v>0.76200000000000001</v>
      </c>
      <c r="O1627" s="704">
        <v>328.40421030825496</v>
      </c>
      <c r="P1627" s="375" t="s">
        <v>619</v>
      </c>
      <c r="Q1627" s="372" t="s">
        <v>619</v>
      </c>
      <c r="R1627" s="696">
        <v>19760630</v>
      </c>
      <c r="S1627" s="372" t="s">
        <v>10734</v>
      </c>
      <c r="T1627" s="697">
        <v>0.23100000000000001</v>
      </c>
      <c r="U1627" s="372" t="s">
        <v>9559</v>
      </c>
      <c r="V1627" s="722">
        <v>4.7699999999999996</v>
      </c>
      <c r="W1627" s="722">
        <v>0.28000000000000003</v>
      </c>
      <c r="X1627" s="722">
        <v>0.09</v>
      </c>
      <c r="Y1627" s="722">
        <v>4.13</v>
      </c>
      <c r="Z1627" s="382" t="s">
        <v>924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10735</v>
      </c>
      <c r="B1628" s="373" t="s">
        <v>10736</v>
      </c>
      <c r="C1628" s="372" t="s">
        <v>10737</v>
      </c>
      <c r="D1628" s="374">
        <v>2013110000107</v>
      </c>
      <c r="E1628" s="372" t="s">
        <v>10738</v>
      </c>
      <c r="F1628" s="375" t="s">
        <v>1951</v>
      </c>
      <c r="G1628" s="375" t="s">
        <v>7831</v>
      </c>
      <c r="H1628" s="375" t="s">
        <v>858</v>
      </c>
      <c r="I1628" s="375" t="s">
        <v>859</v>
      </c>
      <c r="J1628" s="375">
        <v>137697.88198999999</v>
      </c>
      <c r="K1628" s="375">
        <v>18488.159319999999</v>
      </c>
      <c r="L1628" s="375">
        <v>15155.453740000001</v>
      </c>
      <c r="M1628" s="375">
        <v>135022.08861999999</v>
      </c>
      <c r="N1628" s="372">
        <v>0.65700000000000003</v>
      </c>
      <c r="O1628" s="704">
        <v>53.539565104372343</v>
      </c>
      <c r="P1628" s="375" t="s">
        <v>619</v>
      </c>
      <c r="Q1628" s="375" t="s">
        <v>619</v>
      </c>
      <c r="R1628" s="696">
        <v>20140730</v>
      </c>
      <c r="S1628" s="375" t="s">
        <v>10739</v>
      </c>
      <c r="T1628" s="697">
        <v>0.20900000000000002</v>
      </c>
      <c r="U1628" s="372" t="s">
        <v>10740</v>
      </c>
      <c r="V1628" s="722">
        <v>5.03</v>
      </c>
      <c r="W1628" s="722">
        <v>0.6</v>
      </c>
      <c r="X1628" s="722">
        <v>0.63</v>
      </c>
      <c r="Y1628" s="722">
        <v>7.66</v>
      </c>
      <c r="Z1628" s="382" t="s">
        <v>924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10741</v>
      </c>
      <c r="B1629" s="373" t="s">
        <v>10742</v>
      </c>
      <c r="C1629" s="372" t="s">
        <v>10743</v>
      </c>
      <c r="D1629" s="374">
        <v>1101111727853</v>
      </c>
      <c r="E1629" s="372" t="s">
        <v>10744</v>
      </c>
      <c r="F1629" s="375" t="s">
        <v>2647</v>
      </c>
      <c r="G1629" s="375" t="s">
        <v>2647</v>
      </c>
      <c r="H1629" s="375" t="s">
        <v>858</v>
      </c>
      <c r="I1629" s="375" t="s">
        <v>859</v>
      </c>
      <c r="J1629" s="375">
        <v>57053.245730000002</v>
      </c>
      <c r="K1629" s="375">
        <v>2605.0340200000001</v>
      </c>
      <c r="L1629" s="375">
        <v>1412.1790100000001</v>
      </c>
      <c r="M1629" s="375">
        <v>97247.333029999994</v>
      </c>
      <c r="N1629" s="372">
        <v>0.96399999999999997</v>
      </c>
      <c r="O1629" s="704">
        <v>38.6494630565725</v>
      </c>
      <c r="P1629" s="375" t="s">
        <v>619</v>
      </c>
      <c r="Q1629" s="372" t="s">
        <v>619</v>
      </c>
      <c r="R1629" s="696">
        <v>20051118</v>
      </c>
      <c r="S1629" s="372" t="s">
        <v>10745</v>
      </c>
      <c r="T1629" s="697">
        <v>0.20900000000000002</v>
      </c>
      <c r="U1629" s="372" t="s">
        <v>10746</v>
      </c>
      <c r="V1629" s="722">
        <v>16.63</v>
      </c>
      <c r="W1629" s="722">
        <v>0.84</v>
      </c>
      <c r="X1629" s="722">
        <v>1.0900000000000001</v>
      </c>
      <c r="Y1629" s="722">
        <v>34.68</v>
      </c>
      <c r="Z1629" s="382" t="s">
        <v>924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10747</v>
      </c>
      <c r="B1630" s="373" t="s">
        <v>10748</v>
      </c>
      <c r="C1630" s="372" t="s">
        <v>15918</v>
      </c>
      <c r="D1630" s="374">
        <v>1101110313728</v>
      </c>
      <c r="E1630" s="372" t="s">
        <v>15919</v>
      </c>
      <c r="F1630" s="375" t="s">
        <v>1900</v>
      </c>
      <c r="G1630" s="375" t="s">
        <v>9646</v>
      </c>
      <c r="H1630" s="375" t="s">
        <v>858</v>
      </c>
      <c r="I1630" s="375" t="s">
        <v>859</v>
      </c>
      <c r="J1630" s="375">
        <v>51497.275690000002</v>
      </c>
      <c r="K1630" s="375">
        <v>-3188</v>
      </c>
      <c r="L1630" s="375">
        <v>6655.9393499999996</v>
      </c>
      <c r="M1630" s="375">
        <v>81742.380120000002</v>
      </c>
      <c r="N1630" s="372">
        <v>0.626</v>
      </c>
      <c r="O1630" s="704">
        <v>55.485455759223122</v>
      </c>
      <c r="P1630" s="375" t="s">
        <v>619</v>
      </c>
      <c r="Q1630" s="372" t="s">
        <v>619</v>
      </c>
      <c r="R1630" s="696">
        <v>20051216</v>
      </c>
      <c r="S1630" s="372" t="s">
        <v>10749</v>
      </c>
      <c r="T1630" s="697">
        <v>0.20900000000000002</v>
      </c>
      <c r="U1630" s="372" t="s">
        <v>10750</v>
      </c>
      <c r="V1630" s="722" t="s">
        <v>770</v>
      </c>
      <c r="W1630" s="722">
        <v>0.9</v>
      </c>
      <c r="X1630" s="722">
        <v>1.35</v>
      </c>
      <c r="Y1630" s="722">
        <v>8.8800000000000008</v>
      </c>
      <c r="Z1630" s="382" t="s">
        <v>924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10751</v>
      </c>
      <c r="B1631" s="373" t="s">
        <v>10752</v>
      </c>
      <c r="C1631" s="372" t="s">
        <v>10753</v>
      </c>
      <c r="D1631" s="374">
        <v>1345110005858</v>
      </c>
      <c r="E1631" s="372" t="s">
        <v>10754</v>
      </c>
      <c r="F1631" s="375" t="s">
        <v>1707</v>
      </c>
      <c r="G1631" s="375" t="s">
        <v>1708</v>
      </c>
      <c r="H1631" s="375" t="s">
        <v>858</v>
      </c>
      <c r="I1631" s="375" t="s">
        <v>859</v>
      </c>
      <c r="J1631" s="375">
        <v>209668.91458000001</v>
      </c>
      <c r="K1631" s="375">
        <v>10369.75099</v>
      </c>
      <c r="L1631" s="375">
        <v>13656.757659999999</v>
      </c>
      <c r="M1631" s="375">
        <v>129512.51753</v>
      </c>
      <c r="N1631" s="372">
        <v>0.50600000000000001</v>
      </c>
      <c r="O1631" s="704">
        <v>0.37938853147785839</v>
      </c>
      <c r="P1631" s="375" t="s">
        <v>619</v>
      </c>
      <c r="Q1631" s="372" t="s">
        <v>619</v>
      </c>
      <c r="R1631" s="696">
        <v>20000711</v>
      </c>
      <c r="S1631" s="372" t="s">
        <v>10755</v>
      </c>
      <c r="T1631" s="697">
        <v>0.20900000000000002</v>
      </c>
      <c r="U1631" s="372" t="s">
        <v>10756</v>
      </c>
      <c r="V1631" s="722">
        <v>5.61</v>
      </c>
      <c r="W1631" s="722">
        <v>0.56000000000000005</v>
      </c>
      <c r="X1631" s="722">
        <v>0.34</v>
      </c>
      <c r="Y1631" s="722">
        <v>7.44</v>
      </c>
      <c r="Z1631" s="382" t="s">
        <v>924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10757</v>
      </c>
      <c r="B1632" s="373" t="s">
        <v>10758</v>
      </c>
      <c r="C1632" s="372" t="s">
        <v>10759</v>
      </c>
      <c r="D1632" s="374">
        <v>1101110562896</v>
      </c>
      <c r="E1632" s="372" t="s">
        <v>10760</v>
      </c>
      <c r="F1632" s="375" t="s">
        <v>10761</v>
      </c>
      <c r="G1632" s="375" t="s">
        <v>10761</v>
      </c>
      <c r="H1632" s="375" t="s">
        <v>1334</v>
      </c>
      <c r="I1632" s="375" t="s">
        <v>859</v>
      </c>
      <c r="J1632" s="375">
        <v>119831.60327000001</v>
      </c>
      <c r="K1632" s="375">
        <v>340.55754000000002</v>
      </c>
      <c r="L1632" s="375">
        <v>21624.29853</v>
      </c>
      <c r="M1632" s="375">
        <v>144025.19197000001</v>
      </c>
      <c r="N1632" s="372">
        <v>0.64500000000000002</v>
      </c>
      <c r="O1632" s="704">
        <v>12.577516455215967</v>
      </c>
      <c r="P1632" s="375" t="s">
        <v>619</v>
      </c>
      <c r="Q1632" s="372" t="s">
        <v>619</v>
      </c>
      <c r="R1632" s="696">
        <v>19990811</v>
      </c>
      <c r="S1632" s="372" t="s">
        <v>10762</v>
      </c>
      <c r="T1632" s="697">
        <v>0.23100000000000001</v>
      </c>
      <c r="U1632" s="372" t="s">
        <v>10763</v>
      </c>
      <c r="V1632" s="722">
        <v>24.65</v>
      </c>
      <c r="W1632" s="722">
        <v>0.52</v>
      </c>
      <c r="X1632" s="722">
        <v>0.65</v>
      </c>
      <c r="Y1632" s="722">
        <v>4.3899999999999997</v>
      </c>
      <c r="Z1632" s="382" t="s">
        <v>924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10764</v>
      </c>
      <c r="B1633" s="373" t="s">
        <v>10765</v>
      </c>
      <c r="C1633" s="372" t="s">
        <v>10766</v>
      </c>
      <c r="D1633" s="374">
        <v>1355110186996</v>
      </c>
      <c r="E1633" s="372" t="s">
        <v>10767</v>
      </c>
      <c r="F1633" s="375" t="s">
        <v>1273</v>
      </c>
      <c r="G1633" s="375" t="s">
        <v>1449</v>
      </c>
      <c r="H1633" s="375" t="s">
        <v>858</v>
      </c>
      <c r="I1633" s="375" t="s">
        <v>859</v>
      </c>
      <c r="J1633" s="375">
        <v>43329.585800000001</v>
      </c>
      <c r="K1633" s="375">
        <v>-1120.9242099999999</v>
      </c>
      <c r="L1633" s="375">
        <v>-866.19451000000004</v>
      </c>
      <c r="M1633" s="375">
        <v>58898.51657</v>
      </c>
      <c r="N1633" s="372">
        <v>0.71899999999999997</v>
      </c>
      <c r="O1633" s="704">
        <v>30.25571490801136</v>
      </c>
      <c r="P1633" s="375" t="s">
        <v>619</v>
      </c>
      <c r="Q1633" s="372" t="s">
        <v>619</v>
      </c>
      <c r="R1633" s="696">
        <v>20191224</v>
      </c>
      <c r="S1633" s="372" t="s">
        <v>10768</v>
      </c>
      <c r="T1633" s="697" t="s">
        <v>768</v>
      </c>
      <c r="U1633" s="372" t="s">
        <v>15920</v>
      </c>
      <c r="V1633" s="722">
        <v>36.25</v>
      </c>
      <c r="W1633" s="722">
        <v>1.34</v>
      </c>
      <c r="X1633" s="722">
        <v>1.32</v>
      </c>
      <c r="Y1633" s="722" t="s">
        <v>770</v>
      </c>
      <c r="Z1633" s="382" t="s">
        <v>924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10769</v>
      </c>
      <c r="B1634" s="373" t="s">
        <v>10770</v>
      </c>
      <c r="C1634" s="372" t="s">
        <v>10771</v>
      </c>
      <c r="D1634" s="374">
        <v>1801110021806</v>
      </c>
      <c r="E1634" s="372" t="s">
        <v>10772</v>
      </c>
      <c r="F1634" s="372" t="s">
        <v>2167</v>
      </c>
      <c r="G1634" s="375" t="s">
        <v>10773</v>
      </c>
      <c r="H1634" s="375" t="s">
        <v>1465</v>
      </c>
      <c r="I1634" s="375" t="s">
        <v>751</v>
      </c>
      <c r="J1634" s="375">
        <v>82494.310230000003</v>
      </c>
      <c r="K1634" s="375">
        <v>6696.9683100000002</v>
      </c>
      <c r="L1634" s="375">
        <v>7851.8810599999997</v>
      </c>
      <c r="M1634" s="375">
        <v>98853.823390000005</v>
      </c>
      <c r="N1634" s="372">
        <v>0.32900000000000001</v>
      </c>
      <c r="O1634" s="704">
        <v>6.8331962283478404E-2</v>
      </c>
      <c r="P1634" s="375" t="s">
        <v>619</v>
      </c>
      <c r="Q1634" s="375" t="s">
        <v>619</v>
      </c>
      <c r="R1634" s="696">
        <v>20051209</v>
      </c>
      <c r="S1634" s="372" t="s">
        <v>10774</v>
      </c>
      <c r="T1634" s="697">
        <v>0.20900000000000002</v>
      </c>
      <c r="U1634" s="372" t="s">
        <v>10775</v>
      </c>
      <c r="V1634" s="722">
        <v>8.86</v>
      </c>
      <c r="W1634" s="722">
        <v>0.69</v>
      </c>
      <c r="X1634" s="722">
        <v>1.01</v>
      </c>
      <c r="Y1634" s="722">
        <v>13.38</v>
      </c>
      <c r="Z1634" s="382" t="s">
        <v>924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10776</v>
      </c>
      <c r="B1635" s="373" t="s">
        <v>10777</v>
      </c>
      <c r="C1635" s="372" t="s">
        <v>10778</v>
      </c>
      <c r="D1635" s="374">
        <v>1101115373933</v>
      </c>
      <c r="E1635" s="372" t="s">
        <v>10779</v>
      </c>
      <c r="F1635" s="375" t="s">
        <v>1793</v>
      </c>
      <c r="G1635" s="375" t="s">
        <v>1794</v>
      </c>
      <c r="H1635" s="375" t="s">
        <v>858</v>
      </c>
      <c r="I1635" s="375" t="s">
        <v>859</v>
      </c>
      <c r="J1635" s="375">
        <v>25651.612290000001</v>
      </c>
      <c r="K1635" s="375">
        <v>-814.81901000000005</v>
      </c>
      <c r="L1635" s="375">
        <v>-882.86194</v>
      </c>
      <c r="M1635" s="375">
        <v>37868.262499999997</v>
      </c>
      <c r="N1635" s="372">
        <v>0.73399999999999999</v>
      </c>
      <c r="O1635" s="704">
        <v>63.502128409293469</v>
      </c>
      <c r="P1635" s="375" t="s">
        <v>619</v>
      </c>
      <c r="Q1635" s="375" t="s">
        <v>619</v>
      </c>
      <c r="R1635" s="696">
        <v>20220310</v>
      </c>
      <c r="S1635" s="372" t="s">
        <v>10780</v>
      </c>
      <c r="T1635" s="697" t="s">
        <v>768</v>
      </c>
      <c r="U1635" s="372" t="s">
        <v>10781</v>
      </c>
      <c r="V1635" s="722">
        <v>32.409999999999997</v>
      </c>
      <c r="W1635" s="722">
        <v>1.47</v>
      </c>
      <c r="X1635" s="722">
        <v>2.1</v>
      </c>
      <c r="Y1635" s="722" t="s">
        <v>770</v>
      </c>
      <c r="Z1635" s="382" t="s">
        <v>924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10782</v>
      </c>
      <c r="B1636" s="373" t="s">
        <v>10783</v>
      </c>
      <c r="C1636" s="372" t="s">
        <v>10784</v>
      </c>
      <c r="D1636" s="374">
        <v>1101111942485</v>
      </c>
      <c r="E1636" s="372" t="s">
        <v>10785</v>
      </c>
      <c r="F1636" s="372" t="s">
        <v>1003</v>
      </c>
      <c r="G1636" s="375" t="s">
        <v>1003</v>
      </c>
      <c r="H1636" s="375" t="s">
        <v>858</v>
      </c>
      <c r="I1636" s="375" t="s">
        <v>859</v>
      </c>
      <c r="J1636" s="375">
        <v>53817.29651</v>
      </c>
      <c r="K1636" s="375">
        <v>7337.3587299999999</v>
      </c>
      <c r="L1636" s="375">
        <v>6574.2225399999998</v>
      </c>
      <c r="M1636" s="375">
        <v>103323.75683</v>
      </c>
      <c r="N1636" s="372">
        <v>0.70199999999999996</v>
      </c>
      <c r="O1636" s="704">
        <v>5.6687636894262923</v>
      </c>
      <c r="P1636" s="375" t="s">
        <v>619</v>
      </c>
      <c r="Q1636" s="372" t="s">
        <v>619</v>
      </c>
      <c r="R1636" s="696">
        <v>20221117</v>
      </c>
      <c r="S1636" s="372" t="s">
        <v>10786</v>
      </c>
      <c r="T1636" s="697">
        <v>0.20900000000000002</v>
      </c>
      <c r="U1636" s="372" t="s">
        <v>10787</v>
      </c>
      <c r="V1636" s="722">
        <v>10.81</v>
      </c>
      <c r="W1636" s="722">
        <v>0.83</v>
      </c>
      <c r="X1636" s="722">
        <v>1.62</v>
      </c>
      <c r="Y1636" s="722">
        <v>23.41</v>
      </c>
      <c r="Z1636" s="382" t="s">
        <v>924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10788</v>
      </c>
      <c r="B1637" s="373" t="s">
        <v>10789</v>
      </c>
      <c r="C1637" s="372" t="s">
        <v>10790</v>
      </c>
      <c r="D1637" s="374">
        <v>1942110039934</v>
      </c>
      <c r="E1637" s="372" t="s">
        <v>10791</v>
      </c>
      <c r="F1637" s="372" t="s">
        <v>5407</v>
      </c>
      <c r="G1637" s="375" t="s">
        <v>10792</v>
      </c>
      <c r="H1637" s="375" t="s">
        <v>858</v>
      </c>
      <c r="I1637" s="375" t="s">
        <v>859</v>
      </c>
      <c r="J1637" s="375">
        <v>73694.024839999998</v>
      </c>
      <c r="K1637" s="375">
        <v>3320.60023</v>
      </c>
      <c r="L1637" s="375">
        <v>4121.5642399999997</v>
      </c>
      <c r="M1637" s="375">
        <v>90984.269929999995</v>
      </c>
      <c r="N1637" s="372">
        <v>1.18</v>
      </c>
      <c r="O1637" s="704">
        <v>0.4569991190338305</v>
      </c>
      <c r="P1637" s="375" t="s">
        <v>619</v>
      </c>
      <c r="Q1637" s="372" t="s">
        <v>619</v>
      </c>
      <c r="R1637" s="696">
        <v>20090428</v>
      </c>
      <c r="S1637" s="375" t="s">
        <v>10793</v>
      </c>
      <c r="T1637" s="697">
        <v>0.20900000000000002</v>
      </c>
      <c r="U1637" s="372" t="s">
        <v>10794</v>
      </c>
      <c r="V1637" s="722">
        <v>10.14</v>
      </c>
      <c r="W1637" s="722">
        <v>0.82</v>
      </c>
      <c r="X1637" s="722">
        <v>1.02</v>
      </c>
      <c r="Y1637" s="722">
        <v>14.73</v>
      </c>
      <c r="Z1637" s="382" t="s">
        <v>924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10795</v>
      </c>
      <c r="B1638" s="373" t="s">
        <v>10796</v>
      </c>
      <c r="C1638" s="372" t="s">
        <v>10797</v>
      </c>
      <c r="D1638" s="374">
        <v>1243110005359</v>
      </c>
      <c r="E1638" s="372" t="s">
        <v>10798</v>
      </c>
      <c r="F1638" s="372" t="s">
        <v>6607</v>
      </c>
      <c r="G1638" s="375" t="s">
        <v>6607</v>
      </c>
      <c r="H1638" s="375" t="s">
        <v>858</v>
      </c>
      <c r="I1638" s="375" t="s">
        <v>859</v>
      </c>
      <c r="J1638" s="375">
        <v>95939.420939999996</v>
      </c>
      <c r="K1638" s="375">
        <v>1027.0345500000001</v>
      </c>
      <c r="L1638" s="375">
        <v>1187.9368400000001</v>
      </c>
      <c r="M1638" s="375">
        <v>123724.42862999999</v>
      </c>
      <c r="N1638" s="372">
        <v>0.64600000000000002</v>
      </c>
      <c r="O1638" s="704">
        <v>0.28496041758520652</v>
      </c>
      <c r="P1638" s="375" t="s">
        <v>619</v>
      </c>
      <c r="Q1638" s="372" t="s">
        <v>619</v>
      </c>
      <c r="R1638" s="696">
        <v>19970930</v>
      </c>
      <c r="S1638" s="372" t="s">
        <v>10799</v>
      </c>
      <c r="T1638" s="697">
        <v>0.20900000000000002</v>
      </c>
      <c r="U1638" s="372" t="s">
        <v>10800</v>
      </c>
      <c r="V1638" s="722">
        <v>0</v>
      </c>
      <c r="W1638" s="722">
        <v>0</v>
      </c>
      <c r="X1638" s="722">
        <v>0</v>
      </c>
      <c r="Y1638" s="722">
        <v>0</v>
      </c>
      <c r="Z1638" s="382" t="s">
        <v>924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10801</v>
      </c>
      <c r="B1639" s="373" t="s">
        <v>10802</v>
      </c>
      <c r="C1639" s="372" t="s">
        <v>10803</v>
      </c>
      <c r="D1639" s="374">
        <v>1101113569865</v>
      </c>
      <c r="E1639" s="372" t="s">
        <v>10804</v>
      </c>
      <c r="F1639" s="375" t="s">
        <v>972</v>
      </c>
      <c r="G1639" s="375" t="s">
        <v>973</v>
      </c>
      <c r="H1639" s="375" t="s">
        <v>1334</v>
      </c>
      <c r="I1639" s="375" t="s">
        <v>859</v>
      </c>
      <c r="J1639" s="375">
        <v>75992.921589999998</v>
      </c>
      <c r="K1639" s="375">
        <v>-3193.8781600000002</v>
      </c>
      <c r="L1639" s="375">
        <v>-3381.44794</v>
      </c>
      <c r="M1639" s="375">
        <v>45198.211479999998</v>
      </c>
      <c r="N1639" s="372">
        <v>0.88200000000000001</v>
      </c>
      <c r="O1639" s="704">
        <v>7.583354620689577</v>
      </c>
      <c r="P1639" s="375" t="s">
        <v>619</v>
      </c>
      <c r="Q1639" s="375" t="s">
        <v>619</v>
      </c>
      <c r="R1639" s="696">
        <v>20210421</v>
      </c>
      <c r="S1639" s="375" t="s">
        <v>10805</v>
      </c>
      <c r="T1639" s="697" t="s">
        <v>768</v>
      </c>
      <c r="U1639" s="372" t="s">
        <v>10806</v>
      </c>
      <c r="V1639" s="722" t="s">
        <v>770</v>
      </c>
      <c r="W1639" s="722">
        <v>1.67</v>
      </c>
      <c r="X1639" s="722">
        <v>0.99</v>
      </c>
      <c r="Y1639" s="722" t="s">
        <v>770</v>
      </c>
      <c r="Z1639" s="382" t="s">
        <v>924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10807</v>
      </c>
      <c r="B1640" s="373" t="s">
        <v>10808</v>
      </c>
      <c r="C1640" s="372" t="s">
        <v>10809</v>
      </c>
      <c r="D1640" s="374">
        <v>1301110050847</v>
      </c>
      <c r="E1640" s="372" t="s">
        <v>10810</v>
      </c>
      <c r="F1640" s="375" t="s">
        <v>1354</v>
      </c>
      <c r="G1640" s="375" t="s">
        <v>1354</v>
      </c>
      <c r="H1640" s="375" t="s">
        <v>858</v>
      </c>
      <c r="I1640" s="375" t="s">
        <v>859</v>
      </c>
      <c r="J1640" s="375">
        <v>78602.072029999996</v>
      </c>
      <c r="K1640" s="375">
        <v>4.4221599999999999</v>
      </c>
      <c r="L1640" s="375">
        <v>-6784.54781</v>
      </c>
      <c r="M1640" s="375">
        <v>39940.988140000001</v>
      </c>
      <c r="N1640" s="372">
        <v>0.51100000000000001</v>
      </c>
      <c r="O1640" s="704">
        <v>44.23302451888447</v>
      </c>
      <c r="P1640" s="375" t="s">
        <v>619</v>
      </c>
      <c r="Q1640" s="372" t="s">
        <v>619</v>
      </c>
      <c r="R1640" s="696">
        <v>20100105</v>
      </c>
      <c r="S1640" s="372" t="s">
        <v>15921</v>
      </c>
      <c r="T1640" s="697" t="s">
        <v>768</v>
      </c>
      <c r="U1640" s="372" t="s">
        <v>10811</v>
      </c>
      <c r="V1640" s="722">
        <v>17.22</v>
      </c>
      <c r="W1640" s="722">
        <v>1.8</v>
      </c>
      <c r="X1640" s="722">
        <v>0.81</v>
      </c>
      <c r="Y1640" s="722" t="s">
        <v>770</v>
      </c>
      <c r="Z1640" s="382" t="s">
        <v>924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10812</v>
      </c>
      <c r="B1641" s="373" t="s">
        <v>10813</v>
      </c>
      <c r="C1641" s="372" t="s">
        <v>10814</v>
      </c>
      <c r="D1641" s="374">
        <v>1101110048002</v>
      </c>
      <c r="E1641" s="372" t="s">
        <v>10815</v>
      </c>
      <c r="F1641" s="372" t="s">
        <v>1740</v>
      </c>
      <c r="G1641" s="375" t="s">
        <v>1740</v>
      </c>
      <c r="H1641" s="375" t="s">
        <v>843</v>
      </c>
      <c r="I1641" s="375" t="s">
        <v>751</v>
      </c>
      <c r="J1641" s="375">
        <v>139630.55348999999</v>
      </c>
      <c r="K1641" s="375">
        <v>-1916.3793700000001</v>
      </c>
      <c r="L1641" s="375">
        <v>13862.737880000001</v>
      </c>
      <c r="M1641" s="375">
        <v>270785.56433000002</v>
      </c>
      <c r="N1641" s="372">
        <v>0.60499999999999998</v>
      </c>
      <c r="O1641" s="704">
        <v>28.506866084775222</v>
      </c>
      <c r="P1641" s="375" t="s">
        <v>619</v>
      </c>
      <c r="Q1641" s="372" t="s">
        <v>619</v>
      </c>
      <c r="R1641" s="696">
        <v>19760419</v>
      </c>
      <c r="S1641" s="372" t="s">
        <v>10816</v>
      </c>
      <c r="T1641" s="697">
        <v>0.20900000000000002</v>
      </c>
      <c r="U1641" s="372" t="s">
        <v>10817</v>
      </c>
      <c r="V1641" s="722">
        <v>63.31</v>
      </c>
      <c r="W1641" s="722">
        <v>0.27</v>
      </c>
      <c r="X1641" s="722">
        <v>0.53</v>
      </c>
      <c r="Y1641" s="722">
        <v>8.11</v>
      </c>
      <c r="Z1641" s="382" t="s">
        <v>924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10818</v>
      </c>
      <c r="B1642" s="373" t="s">
        <v>10819</v>
      </c>
      <c r="C1642" s="372" t="s">
        <v>10820</v>
      </c>
      <c r="D1642" s="374">
        <v>1301110008052</v>
      </c>
      <c r="E1642" s="372" t="s">
        <v>10821</v>
      </c>
      <c r="F1642" s="375" t="s">
        <v>2989</v>
      </c>
      <c r="G1642" s="375" t="s">
        <v>2989</v>
      </c>
      <c r="H1642" s="375" t="s">
        <v>789</v>
      </c>
      <c r="I1642" s="375" t="s">
        <v>751</v>
      </c>
      <c r="J1642" s="375">
        <v>548650.37720999995</v>
      </c>
      <c r="K1642" s="375">
        <v>22949.990580000002</v>
      </c>
      <c r="L1642" s="375">
        <v>19603.195790000002</v>
      </c>
      <c r="M1642" s="375">
        <v>161645.78894999999</v>
      </c>
      <c r="N1642" s="372">
        <v>0.94299999999999995</v>
      </c>
      <c r="O1642" s="704">
        <v>342.90382600286529</v>
      </c>
      <c r="P1642" s="375" t="s">
        <v>619</v>
      </c>
      <c r="Q1642" s="372" t="s">
        <v>619</v>
      </c>
      <c r="R1642" s="696">
        <v>19941031</v>
      </c>
      <c r="S1642" s="372" t="s">
        <v>10822</v>
      </c>
      <c r="T1642" s="697">
        <v>0.20900000000000002</v>
      </c>
      <c r="U1642" s="372" t="s">
        <v>10823</v>
      </c>
      <c r="V1642" s="722">
        <v>7.25</v>
      </c>
      <c r="W1642" s="722">
        <v>0.63</v>
      </c>
      <c r="X1642" s="722">
        <v>0.15</v>
      </c>
      <c r="Y1642" s="722">
        <v>9.0299999999999994</v>
      </c>
      <c r="Z1642" s="382" t="s">
        <v>924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10824</v>
      </c>
      <c r="B1643" s="373" t="s">
        <v>10825</v>
      </c>
      <c r="C1643" s="372" t="s">
        <v>10826</v>
      </c>
      <c r="D1643" s="374">
        <v>1341110095394</v>
      </c>
      <c r="E1643" s="372" t="s">
        <v>10827</v>
      </c>
      <c r="F1643" s="375" t="s">
        <v>10828</v>
      </c>
      <c r="G1643" s="375" t="s">
        <v>10829</v>
      </c>
      <c r="H1643" s="375" t="s">
        <v>858</v>
      </c>
      <c r="I1643" s="375" t="s">
        <v>859</v>
      </c>
      <c r="J1643" s="375">
        <v>70520.493879999995</v>
      </c>
      <c r="K1643" s="375">
        <v>-12975.605320000001</v>
      </c>
      <c r="L1643" s="375">
        <v>-39567.970509999999</v>
      </c>
      <c r="M1643" s="375">
        <v>137246.60376999999</v>
      </c>
      <c r="N1643" s="372">
        <v>0.432</v>
      </c>
      <c r="O1643" s="704">
        <v>160.19904121667415</v>
      </c>
      <c r="P1643" s="375" t="s">
        <v>619</v>
      </c>
      <c r="Q1643" s="375" t="s">
        <v>619</v>
      </c>
      <c r="R1643" s="696">
        <v>20101201</v>
      </c>
      <c r="S1643" s="375" t="s">
        <v>10830</v>
      </c>
      <c r="T1643" s="697" t="s">
        <v>768</v>
      </c>
      <c r="U1643" s="372" t="s">
        <v>10831</v>
      </c>
      <c r="V1643" s="722" t="s">
        <v>770</v>
      </c>
      <c r="W1643" s="722">
        <v>0.34</v>
      </c>
      <c r="X1643" s="722">
        <v>0.62</v>
      </c>
      <c r="Y1643" s="722" t="s">
        <v>770</v>
      </c>
      <c r="Z1643" s="382" t="s">
        <v>924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10832</v>
      </c>
      <c r="B1644" s="373" t="s">
        <v>10833</v>
      </c>
      <c r="C1644" s="372" t="s">
        <v>10834</v>
      </c>
      <c r="D1644" s="374">
        <v>1350110038048</v>
      </c>
      <c r="E1644" s="372" t="s">
        <v>10835</v>
      </c>
      <c r="F1644" s="375" t="s">
        <v>1052</v>
      </c>
      <c r="G1644" s="375" t="s">
        <v>16101</v>
      </c>
      <c r="H1644" s="375" t="s">
        <v>858</v>
      </c>
      <c r="I1644" s="375" t="s">
        <v>859</v>
      </c>
      <c r="J1644" s="375">
        <v>182557.94114000001</v>
      </c>
      <c r="K1644" s="375">
        <v>-9345.2719400000005</v>
      </c>
      <c r="L1644" s="375">
        <v>-8482.9911300000003</v>
      </c>
      <c r="M1644" s="375">
        <v>83655.649789999996</v>
      </c>
      <c r="N1644" s="372">
        <v>0.63600000000000001</v>
      </c>
      <c r="O1644" s="704">
        <v>80.231450592285185</v>
      </c>
      <c r="P1644" s="375" t="s">
        <v>619</v>
      </c>
      <c r="Q1644" s="375" t="s">
        <v>619</v>
      </c>
      <c r="R1644" s="696">
        <v>20180212</v>
      </c>
      <c r="S1644" s="375" t="s">
        <v>10836</v>
      </c>
      <c r="T1644" s="697" t="s">
        <v>768</v>
      </c>
      <c r="U1644" s="372" t="s">
        <v>10837</v>
      </c>
      <c r="V1644" s="722">
        <v>0</v>
      </c>
      <c r="W1644" s="722">
        <v>0</v>
      </c>
      <c r="X1644" s="722">
        <v>0</v>
      </c>
      <c r="Y1644" s="722">
        <v>0</v>
      </c>
      <c r="Z1644" s="382" t="s">
        <v>924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10838</v>
      </c>
      <c r="B1645" s="373" t="s">
        <v>10839</v>
      </c>
      <c r="C1645" s="372" t="s">
        <v>10840</v>
      </c>
      <c r="D1645" s="374">
        <v>1101114399906</v>
      </c>
      <c r="E1645" s="372" t="s">
        <v>10841</v>
      </c>
      <c r="F1645" s="375" t="s">
        <v>1320</v>
      </c>
      <c r="G1645" s="375" t="s">
        <v>16103</v>
      </c>
      <c r="H1645" s="375" t="s">
        <v>858</v>
      </c>
      <c r="I1645" s="375" t="s">
        <v>859</v>
      </c>
      <c r="J1645" s="375">
        <v>78804.343649999995</v>
      </c>
      <c r="K1645" s="375">
        <v>7469.8819700000004</v>
      </c>
      <c r="L1645" s="375">
        <v>11345.74265</v>
      </c>
      <c r="M1645" s="375">
        <v>139482.99444000001</v>
      </c>
      <c r="N1645" s="372">
        <v>0.80700000000000005</v>
      </c>
      <c r="O1645" s="704">
        <v>1.6830386222548128</v>
      </c>
      <c r="P1645" s="375" t="s">
        <v>619</v>
      </c>
      <c r="Q1645" s="372" t="s">
        <v>619</v>
      </c>
      <c r="R1645" s="696">
        <v>20101203</v>
      </c>
      <c r="S1645" s="372" t="s">
        <v>10842</v>
      </c>
      <c r="T1645" s="697">
        <v>0.20900000000000002</v>
      </c>
      <c r="U1645" s="372" t="s">
        <v>15922</v>
      </c>
      <c r="V1645" s="722">
        <v>0</v>
      </c>
      <c r="W1645" s="722">
        <v>0</v>
      </c>
      <c r="X1645" s="722">
        <v>0</v>
      </c>
      <c r="Y1645" s="722">
        <v>0</v>
      </c>
      <c r="Z1645" s="382" t="s">
        <v>924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10843</v>
      </c>
      <c r="B1646" s="373" t="s">
        <v>10844</v>
      </c>
      <c r="C1646" s="372" t="s">
        <v>10845</v>
      </c>
      <c r="D1646" s="374">
        <v>1101111628928</v>
      </c>
      <c r="E1646" s="372" t="s">
        <v>10846</v>
      </c>
      <c r="F1646" s="375" t="s">
        <v>1003</v>
      </c>
      <c r="G1646" s="375" t="s">
        <v>1212</v>
      </c>
      <c r="H1646" s="375" t="s">
        <v>858</v>
      </c>
      <c r="I1646" s="375" t="s">
        <v>859</v>
      </c>
      <c r="J1646" s="375">
        <v>29461.121520000001</v>
      </c>
      <c r="K1646" s="375">
        <v>-2281.19121</v>
      </c>
      <c r="L1646" s="375">
        <v>-460.44747999999998</v>
      </c>
      <c r="M1646" s="375">
        <v>18576.274939999999</v>
      </c>
      <c r="N1646" s="372">
        <v>0.97</v>
      </c>
      <c r="O1646" s="704">
        <v>15.626578958200238</v>
      </c>
      <c r="P1646" s="375" t="s">
        <v>619</v>
      </c>
      <c r="Q1646" s="372" t="s">
        <v>619</v>
      </c>
      <c r="R1646" s="696">
        <v>20020108</v>
      </c>
      <c r="S1646" s="372" t="s">
        <v>10847</v>
      </c>
      <c r="T1646" s="697" t="s">
        <v>768</v>
      </c>
      <c r="U1646" s="372" t="s">
        <v>10848</v>
      </c>
      <c r="V1646" s="722" t="s">
        <v>770</v>
      </c>
      <c r="W1646" s="722">
        <v>2.95</v>
      </c>
      <c r="X1646" s="722">
        <v>1.3</v>
      </c>
      <c r="Y1646" s="722" t="s">
        <v>770</v>
      </c>
      <c r="Z1646" s="382" t="s">
        <v>924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10849</v>
      </c>
      <c r="B1647" s="373" t="s">
        <v>10850</v>
      </c>
      <c r="C1647" s="372" t="s">
        <v>10851</v>
      </c>
      <c r="D1647" s="374">
        <v>1101110070881</v>
      </c>
      <c r="E1647" s="372" t="s">
        <v>10852</v>
      </c>
      <c r="F1647" s="375" t="s">
        <v>1272</v>
      </c>
      <c r="G1647" s="375" t="s">
        <v>1272</v>
      </c>
      <c r="H1647" s="375" t="s">
        <v>750</v>
      </c>
      <c r="I1647" s="375" t="s">
        <v>751</v>
      </c>
      <c r="J1647" s="375">
        <v>11820.35598</v>
      </c>
      <c r="K1647" s="375">
        <v>1708.0173500000001</v>
      </c>
      <c r="L1647" s="375">
        <v>4479.9684699999998</v>
      </c>
      <c r="M1647" s="375">
        <v>82605.966639999999</v>
      </c>
      <c r="N1647" s="372">
        <v>0.79200000000000004</v>
      </c>
      <c r="O1647" s="704">
        <v>0.75595084519446132</v>
      </c>
      <c r="P1647" s="375" t="s">
        <v>619</v>
      </c>
      <c r="Q1647" s="372" t="s">
        <v>619</v>
      </c>
      <c r="R1647" s="696">
        <v>19870422</v>
      </c>
      <c r="S1647" s="372" t="s">
        <v>10853</v>
      </c>
      <c r="T1647" s="697">
        <v>0.20900000000000002</v>
      </c>
      <c r="U1647" s="372" t="s">
        <v>10854</v>
      </c>
      <c r="V1647" s="722">
        <v>0</v>
      </c>
      <c r="W1647" s="722">
        <v>0</v>
      </c>
      <c r="X1647" s="722">
        <v>0</v>
      </c>
      <c r="Y1647" s="722">
        <v>0</v>
      </c>
      <c r="Z1647" s="382" t="s">
        <v>924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10855</v>
      </c>
      <c r="B1648" s="373" t="s">
        <v>10856</v>
      </c>
      <c r="C1648" s="372" t="s">
        <v>10857</v>
      </c>
      <c r="D1648" s="374">
        <v>1101113173351</v>
      </c>
      <c r="E1648" s="372" t="s">
        <v>10858</v>
      </c>
      <c r="F1648" s="375" t="s">
        <v>1793</v>
      </c>
      <c r="G1648" s="375" t="s">
        <v>2794</v>
      </c>
      <c r="H1648" s="375" t="s">
        <v>858</v>
      </c>
      <c r="I1648" s="375" t="s">
        <v>859</v>
      </c>
      <c r="J1648" s="375">
        <v>14215.24186</v>
      </c>
      <c r="K1648" s="375">
        <v>-551.90395999999998</v>
      </c>
      <c r="L1648" s="375">
        <v>678.06025999999997</v>
      </c>
      <c r="M1648" s="375">
        <v>36053.634899999997</v>
      </c>
      <c r="N1648" s="372" t="s">
        <v>1023</v>
      </c>
      <c r="O1648" s="704">
        <v>4.5300278962188312</v>
      </c>
      <c r="P1648" s="375" t="s">
        <v>619</v>
      </c>
      <c r="Q1648" s="375" t="s">
        <v>619</v>
      </c>
      <c r="R1648" s="696">
        <v>20230519</v>
      </c>
      <c r="S1648" s="375" t="s">
        <v>10859</v>
      </c>
      <c r="T1648" s="697">
        <v>0.20900000000000002</v>
      </c>
      <c r="U1648" s="372" t="s">
        <v>10860</v>
      </c>
      <c r="V1648" s="722">
        <v>2491</v>
      </c>
      <c r="W1648" s="722">
        <v>1.64</v>
      </c>
      <c r="X1648" s="722">
        <v>4.1900000000000004</v>
      </c>
      <c r="Y1648" s="722">
        <v>49.96</v>
      </c>
      <c r="Z1648" s="382" t="s">
        <v>924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10861</v>
      </c>
      <c r="B1649" s="373" t="s">
        <v>10862</v>
      </c>
      <c r="C1649" s="372" t="s">
        <v>10863</v>
      </c>
      <c r="D1649" s="374">
        <v>1101116908870</v>
      </c>
      <c r="E1649" s="372" t="s">
        <v>10864</v>
      </c>
      <c r="F1649" s="375" t="s">
        <v>1793</v>
      </c>
      <c r="G1649" s="375" t="s">
        <v>1794</v>
      </c>
      <c r="H1649" s="375" t="s">
        <v>858</v>
      </c>
      <c r="I1649" s="375" t="s">
        <v>859</v>
      </c>
      <c r="J1649" s="375">
        <v>15035.52349</v>
      </c>
      <c r="K1649" s="375">
        <v>1701.6238000000001</v>
      </c>
      <c r="L1649" s="375">
        <v>2118.7769600000001</v>
      </c>
      <c r="M1649" s="375">
        <v>53067.227449999998</v>
      </c>
      <c r="N1649" s="372">
        <v>0.55800000000000005</v>
      </c>
      <c r="O1649" s="704">
        <v>25.791453054095818</v>
      </c>
      <c r="P1649" s="375" t="s">
        <v>619</v>
      </c>
      <c r="Q1649" s="375" t="s">
        <v>619</v>
      </c>
      <c r="R1649" s="696">
        <v>20221027</v>
      </c>
      <c r="S1649" s="375" t="s">
        <v>10865</v>
      </c>
      <c r="T1649" s="697">
        <v>0.20900000000000002</v>
      </c>
      <c r="U1649" s="372" t="s">
        <v>10866</v>
      </c>
      <c r="V1649" s="722">
        <v>19.32</v>
      </c>
      <c r="W1649" s="722">
        <v>0.92</v>
      </c>
      <c r="X1649" s="722">
        <v>3.53</v>
      </c>
      <c r="Y1649" s="722">
        <v>22.72</v>
      </c>
      <c r="Z1649" s="382" t="s">
        <v>924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10867</v>
      </c>
      <c r="B1650" s="373" t="s">
        <v>10868</v>
      </c>
      <c r="C1650" s="372" t="s">
        <v>10869</v>
      </c>
      <c r="D1650" s="374">
        <v>1101111448128</v>
      </c>
      <c r="E1650" s="372" t="s">
        <v>10870</v>
      </c>
      <c r="F1650" s="375" t="s">
        <v>16124</v>
      </c>
      <c r="G1650" s="375" t="s">
        <v>16124</v>
      </c>
      <c r="H1650" s="375" t="s">
        <v>1334</v>
      </c>
      <c r="I1650" s="375" t="s">
        <v>859</v>
      </c>
      <c r="J1650" s="375">
        <v>16189.852730000001</v>
      </c>
      <c r="K1650" s="375">
        <v>-4565.0891099999999</v>
      </c>
      <c r="L1650" s="375">
        <v>2856.7540800000002</v>
      </c>
      <c r="M1650" s="375">
        <v>86003.448730000004</v>
      </c>
      <c r="N1650" s="372">
        <v>1.151</v>
      </c>
      <c r="O1650" s="704">
        <v>54.069502744527334</v>
      </c>
      <c r="P1650" s="375" t="s">
        <v>619</v>
      </c>
      <c r="Q1650" s="372" t="s">
        <v>619</v>
      </c>
      <c r="R1650" s="696">
        <v>20010525</v>
      </c>
      <c r="S1650" s="372" t="s">
        <v>10871</v>
      </c>
      <c r="T1650" s="697">
        <v>0.20900000000000002</v>
      </c>
      <c r="U1650" s="372" t="s">
        <v>10872</v>
      </c>
      <c r="V1650" s="722" t="s">
        <v>770</v>
      </c>
      <c r="W1650" s="722">
        <v>0.69</v>
      </c>
      <c r="X1650" s="722">
        <v>3.56</v>
      </c>
      <c r="Y1650" s="722">
        <v>13.12</v>
      </c>
      <c r="Z1650" s="382" t="s">
        <v>924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10873</v>
      </c>
      <c r="B1651" s="373" t="s">
        <v>10874</v>
      </c>
      <c r="C1651" s="372" t="s">
        <v>10875</v>
      </c>
      <c r="D1651" s="374">
        <v>1101110038061</v>
      </c>
      <c r="E1651" s="372" t="s">
        <v>10876</v>
      </c>
      <c r="F1651" s="375" t="s">
        <v>16125</v>
      </c>
      <c r="G1651" s="375" t="s">
        <v>10877</v>
      </c>
      <c r="H1651" s="375" t="s">
        <v>843</v>
      </c>
      <c r="I1651" s="375" t="s">
        <v>751</v>
      </c>
      <c r="J1651" s="375">
        <v>164914.49137</v>
      </c>
      <c r="K1651" s="375">
        <v>7782.8068400000002</v>
      </c>
      <c r="L1651" s="375">
        <v>9786.4387800000004</v>
      </c>
      <c r="M1651" s="375">
        <v>102720.264</v>
      </c>
      <c r="N1651" s="372">
        <v>0.88500000000000001</v>
      </c>
      <c r="O1651" s="704">
        <v>112.68430370081342</v>
      </c>
      <c r="P1651" s="375" t="s">
        <v>619</v>
      </c>
      <c r="Q1651" s="372" t="s">
        <v>619</v>
      </c>
      <c r="R1651" s="696">
        <v>20131121</v>
      </c>
      <c r="S1651" s="372" t="s">
        <v>10878</v>
      </c>
      <c r="T1651" s="697">
        <v>0.20900000000000002</v>
      </c>
      <c r="U1651" s="372" t="s">
        <v>10879</v>
      </c>
      <c r="V1651" s="722">
        <v>16.5</v>
      </c>
      <c r="W1651" s="722">
        <v>0.78</v>
      </c>
      <c r="X1651" s="722">
        <v>0.5</v>
      </c>
      <c r="Y1651" s="722">
        <v>9.2200000000000006</v>
      </c>
      <c r="Z1651" s="382" t="s">
        <v>924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10880</v>
      </c>
      <c r="B1652" s="373" t="s">
        <v>10881</v>
      </c>
      <c r="C1652" s="372" t="s">
        <v>10882</v>
      </c>
      <c r="D1652" s="374">
        <v>1101110998124</v>
      </c>
      <c r="E1652" s="372" t="s">
        <v>10883</v>
      </c>
      <c r="F1652" s="375" t="s">
        <v>842</v>
      </c>
      <c r="G1652" s="375" t="s">
        <v>842</v>
      </c>
      <c r="H1652" s="375" t="s">
        <v>3096</v>
      </c>
      <c r="I1652" s="375" t="s">
        <v>859</v>
      </c>
      <c r="J1652" s="375">
        <v>82093.027979999999</v>
      </c>
      <c r="K1652" s="375">
        <v>737.12611000000004</v>
      </c>
      <c r="L1652" s="375">
        <v>-2614.53071</v>
      </c>
      <c r="M1652" s="375">
        <v>84883.948839999997</v>
      </c>
      <c r="N1652" s="372">
        <v>0.78700000000000003</v>
      </c>
      <c r="O1652" s="704">
        <v>2.8872045280455132</v>
      </c>
      <c r="P1652" s="375" t="s">
        <v>619</v>
      </c>
      <c r="Q1652" s="375" t="s">
        <v>619</v>
      </c>
      <c r="R1652" s="696">
        <v>20051025</v>
      </c>
      <c r="S1652" s="375" t="s">
        <v>10884</v>
      </c>
      <c r="T1652" s="697" t="s">
        <v>768</v>
      </c>
      <c r="U1652" s="372" t="s">
        <v>10885</v>
      </c>
      <c r="V1652" s="722">
        <v>33.799999999999997</v>
      </c>
      <c r="W1652" s="722">
        <v>0.77</v>
      </c>
      <c r="X1652" s="722">
        <v>0.83</v>
      </c>
      <c r="Y1652" s="722" t="s">
        <v>770</v>
      </c>
      <c r="Z1652" s="382" t="s">
        <v>924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10886</v>
      </c>
      <c r="B1653" s="373" t="s">
        <v>10887</v>
      </c>
      <c r="C1653" s="372" t="s">
        <v>10888</v>
      </c>
      <c r="D1653" s="374">
        <v>1101115972652</v>
      </c>
      <c r="E1653" s="372" t="s">
        <v>10889</v>
      </c>
      <c r="F1653" s="375" t="s">
        <v>1272</v>
      </c>
      <c r="G1653" s="375" t="s">
        <v>1272</v>
      </c>
      <c r="H1653" s="375" t="s">
        <v>858</v>
      </c>
      <c r="I1653" s="375" t="s">
        <v>859</v>
      </c>
      <c r="J1653" s="375">
        <v>43285.537270000001</v>
      </c>
      <c r="K1653" s="375">
        <v>-7432.7818600000001</v>
      </c>
      <c r="L1653" s="375">
        <v>-10095.22899</v>
      </c>
      <c r="M1653" s="375">
        <v>15208.125179999999</v>
      </c>
      <c r="N1653" s="372" t="s">
        <v>1023</v>
      </c>
      <c r="O1653" s="704">
        <v>53.205094341539116</v>
      </c>
      <c r="P1653" s="375" t="s">
        <v>619</v>
      </c>
      <c r="Q1653" s="372" t="s">
        <v>619</v>
      </c>
      <c r="R1653" s="696">
        <v>20231201</v>
      </c>
      <c r="S1653" s="372" t="s">
        <v>10890</v>
      </c>
      <c r="T1653" s="697" t="s">
        <v>768</v>
      </c>
      <c r="U1653" s="372" t="s">
        <v>10891</v>
      </c>
      <c r="V1653" s="722" t="s">
        <v>770</v>
      </c>
      <c r="W1653" s="722">
        <v>4.4800000000000004</v>
      </c>
      <c r="X1653" s="722">
        <v>1.34</v>
      </c>
      <c r="Y1653" s="722" t="s">
        <v>770</v>
      </c>
      <c r="Z1653" s="382" t="s">
        <v>924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10892</v>
      </c>
      <c r="B1654" s="373" t="s">
        <v>10893</v>
      </c>
      <c r="C1654" s="372" t="s">
        <v>10894</v>
      </c>
      <c r="D1654" s="374">
        <v>1358110127754</v>
      </c>
      <c r="E1654" s="372" t="s">
        <v>10895</v>
      </c>
      <c r="F1654" s="375" t="s">
        <v>2219</v>
      </c>
      <c r="G1654" s="375" t="s">
        <v>2219</v>
      </c>
      <c r="H1654" s="375" t="s">
        <v>858</v>
      </c>
      <c r="I1654" s="375" t="s">
        <v>859</v>
      </c>
      <c r="J1654" s="375">
        <v>66832.480729999996</v>
      </c>
      <c r="K1654" s="375">
        <v>-22537.233199999999</v>
      </c>
      <c r="L1654" s="375">
        <v>-23023.778610000001</v>
      </c>
      <c r="M1654" s="375">
        <v>61113.527049999997</v>
      </c>
      <c r="N1654" s="372">
        <v>0.55400000000000005</v>
      </c>
      <c r="O1654" s="704">
        <v>44.166452784234487</v>
      </c>
      <c r="P1654" s="375" t="s">
        <v>619</v>
      </c>
      <c r="Q1654" s="375" t="s">
        <v>619</v>
      </c>
      <c r="R1654" s="696">
        <v>20210928</v>
      </c>
      <c r="S1654" s="375" t="s">
        <v>10896</v>
      </c>
      <c r="T1654" s="697" t="s">
        <v>768</v>
      </c>
      <c r="U1654" s="372" t="s">
        <v>15923</v>
      </c>
      <c r="V1654" s="722" t="s">
        <v>770</v>
      </c>
      <c r="W1654" s="722">
        <v>1.05</v>
      </c>
      <c r="X1654" s="722">
        <v>0.98</v>
      </c>
      <c r="Y1654" s="722" t="s">
        <v>770</v>
      </c>
      <c r="Z1654" s="382" t="s">
        <v>924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10897</v>
      </c>
      <c r="B1655" s="373" t="s">
        <v>10898</v>
      </c>
      <c r="C1655" s="372" t="s">
        <v>10899</v>
      </c>
      <c r="D1655" s="374">
        <v>1101116859099</v>
      </c>
      <c r="E1655" s="372" t="s">
        <v>10900</v>
      </c>
      <c r="F1655" s="372" t="s">
        <v>10901</v>
      </c>
      <c r="G1655" s="375" t="s">
        <v>10901</v>
      </c>
      <c r="H1655" s="375" t="s">
        <v>858</v>
      </c>
      <c r="I1655" s="375" t="s">
        <v>859</v>
      </c>
      <c r="J1655" s="375">
        <v>74194.101219999997</v>
      </c>
      <c r="K1655" s="375">
        <v>-6674.0394100000003</v>
      </c>
      <c r="L1655" s="375">
        <v>-5939.3362699999998</v>
      </c>
      <c r="M1655" s="375">
        <v>20183.550309999999</v>
      </c>
      <c r="N1655" s="372">
        <v>0.88</v>
      </c>
      <c r="O1655" s="704">
        <v>99.861800962048946</v>
      </c>
      <c r="P1655" s="375" t="s">
        <v>619</v>
      </c>
      <c r="Q1655" s="372" t="s">
        <v>619</v>
      </c>
      <c r="R1655" s="696">
        <v>20181221</v>
      </c>
      <c r="S1655" s="372" t="s">
        <v>10902</v>
      </c>
      <c r="T1655" s="697" t="s">
        <v>768</v>
      </c>
      <c r="U1655" s="372" t="s">
        <v>10903</v>
      </c>
      <c r="V1655" s="722" t="s">
        <v>770</v>
      </c>
      <c r="W1655" s="722">
        <v>6.41</v>
      </c>
      <c r="X1655" s="722">
        <v>1.2</v>
      </c>
      <c r="Y1655" s="722" t="s">
        <v>770</v>
      </c>
      <c r="Z1655" s="382" t="s">
        <v>924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10904</v>
      </c>
      <c r="B1656" s="373" t="s">
        <v>10905</v>
      </c>
      <c r="C1656" s="372" t="s">
        <v>10906</v>
      </c>
      <c r="D1656" s="374">
        <v>1545110045488</v>
      </c>
      <c r="E1656" s="372" t="s">
        <v>10907</v>
      </c>
      <c r="F1656" s="372" t="s">
        <v>2508</v>
      </c>
      <c r="G1656" s="375" t="s">
        <v>2508</v>
      </c>
      <c r="H1656" s="375" t="s">
        <v>858</v>
      </c>
      <c r="I1656" s="375" t="s">
        <v>859</v>
      </c>
      <c r="J1656" s="375">
        <v>50092.242030000001</v>
      </c>
      <c r="K1656" s="375">
        <v>-5598.9662500000004</v>
      </c>
      <c r="L1656" s="375">
        <v>-17138.523430000001</v>
      </c>
      <c r="M1656" s="375">
        <v>110784.25328</v>
      </c>
      <c r="N1656" s="372">
        <v>0.874</v>
      </c>
      <c r="O1656" s="704">
        <v>8.2041360710280209</v>
      </c>
      <c r="P1656" s="375" t="s">
        <v>619</v>
      </c>
      <c r="Q1656" s="372" t="s">
        <v>619</v>
      </c>
      <c r="R1656" s="696">
        <v>20161012</v>
      </c>
      <c r="S1656" s="375" t="s">
        <v>10908</v>
      </c>
      <c r="T1656" s="697" t="s">
        <v>768</v>
      </c>
      <c r="U1656" s="372" t="s">
        <v>10909</v>
      </c>
      <c r="V1656" s="722" t="s">
        <v>770</v>
      </c>
      <c r="W1656" s="722">
        <v>0.96</v>
      </c>
      <c r="X1656" s="722">
        <v>2.19</v>
      </c>
      <c r="Y1656" s="722" t="s">
        <v>770</v>
      </c>
      <c r="Z1656" s="382" t="s">
        <v>924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10910</v>
      </c>
      <c r="B1657" s="373" t="s">
        <v>10911</v>
      </c>
      <c r="C1657" s="372" t="s">
        <v>10912</v>
      </c>
      <c r="D1657" s="374">
        <v>1701110007733</v>
      </c>
      <c r="E1657" s="372" t="s">
        <v>10913</v>
      </c>
      <c r="F1657" s="375" t="s">
        <v>9195</v>
      </c>
      <c r="G1657" s="375" t="s">
        <v>9196</v>
      </c>
      <c r="H1657" s="375" t="s">
        <v>858</v>
      </c>
      <c r="I1657" s="375" t="s">
        <v>859</v>
      </c>
      <c r="J1657" s="375">
        <v>658895.72294000001</v>
      </c>
      <c r="K1657" s="375">
        <v>12603.432559999999</v>
      </c>
      <c r="L1657" s="375">
        <v>3136.0299</v>
      </c>
      <c r="M1657" s="375">
        <v>138112.49562999999</v>
      </c>
      <c r="N1657" s="372">
        <v>1.038</v>
      </c>
      <c r="O1657" s="704">
        <v>270.10123007745563</v>
      </c>
      <c r="P1657" s="375" t="s">
        <v>619</v>
      </c>
      <c r="Q1657" s="372" t="s">
        <v>619</v>
      </c>
      <c r="R1657" s="696">
        <v>19941222</v>
      </c>
      <c r="S1657" s="372" t="s">
        <v>10914</v>
      </c>
      <c r="T1657" s="697">
        <v>0.20900000000000002</v>
      </c>
      <c r="U1657" s="372" t="s">
        <v>10915</v>
      </c>
      <c r="V1657" s="722">
        <v>6.6</v>
      </c>
      <c r="W1657" s="722">
        <v>0.65</v>
      </c>
      <c r="X1657" s="722">
        <v>0.13</v>
      </c>
      <c r="Y1657" s="722">
        <v>146.97999999999999</v>
      </c>
      <c r="Z1657" s="382" t="s">
        <v>924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10916</v>
      </c>
      <c r="B1658" s="373" t="s">
        <v>10917</v>
      </c>
      <c r="C1658" s="372" t="s">
        <v>10918</v>
      </c>
      <c r="D1658" s="374">
        <v>1942110006090</v>
      </c>
      <c r="E1658" s="372" t="s">
        <v>10919</v>
      </c>
      <c r="F1658" s="375" t="s">
        <v>2086</v>
      </c>
      <c r="G1658" s="375" t="s">
        <v>2431</v>
      </c>
      <c r="H1658" s="375" t="s">
        <v>858</v>
      </c>
      <c r="I1658" s="375" t="s">
        <v>859</v>
      </c>
      <c r="J1658" s="375">
        <v>387599.56471000001</v>
      </c>
      <c r="K1658" s="375">
        <v>6170.7055200000004</v>
      </c>
      <c r="L1658" s="375">
        <v>5756.4607999999998</v>
      </c>
      <c r="M1658" s="375">
        <v>108201.75949</v>
      </c>
      <c r="N1658" s="372">
        <v>0.80500000000000005</v>
      </c>
      <c r="O1658" s="704">
        <v>38.467545874485573</v>
      </c>
      <c r="P1658" s="375" t="s">
        <v>619</v>
      </c>
      <c r="Q1658" s="372" t="s">
        <v>619</v>
      </c>
      <c r="R1658" s="696">
        <v>20000303</v>
      </c>
      <c r="S1658" s="372" t="s">
        <v>10920</v>
      </c>
      <c r="T1658" s="697">
        <v>0.20900000000000002</v>
      </c>
      <c r="U1658" s="372" t="s">
        <v>10921</v>
      </c>
      <c r="V1658" s="722">
        <v>0</v>
      </c>
      <c r="W1658" s="722">
        <v>0</v>
      </c>
      <c r="X1658" s="722">
        <v>0</v>
      </c>
      <c r="Y1658" s="722">
        <v>0</v>
      </c>
      <c r="Z1658" s="382" t="s">
        <v>924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10922</v>
      </c>
      <c r="B1659" s="373" t="s">
        <v>10923</v>
      </c>
      <c r="C1659" s="372" t="s">
        <v>10924</v>
      </c>
      <c r="D1659" s="374">
        <v>1341110077704</v>
      </c>
      <c r="E1659" s="372" t="s">
        <v>10925</v>
      </c>
      <c r="F1659" s="375" t="s">
        <v>2219</v>
      </c>
      <c r="G1659" s="375" t="s">
        <v>2219</v>
      </c>
      <c r="H1659" s="375" t="s">
        <v>858</v>
      </c>
      <c r="I1659" s="375" t="s">
        <v>859</v>
      </c>
      <c r="J1659" s="375">
        <v>19695.410100000001</v>
      </c>
      <c r="K1659" s="375">
        <v>-7258.6122599999999</v>
      </c>
      <c r="L1659" s="375">
        <v>-5664.9187599999996</v>
      </c>
      <c r="M1659" s="375">
        <v>98614.073810000002</v>
      </c>
      <c r="N1659" s="372">
        <v>0.89400000000000002</v>
      </c>
      <c r="O1659" s="704">
        <v>0.58360249622993632</v>
      </c>
      <c r="P1659" s="375" t="s">
        <v>619</v>
      </c>
      <c r="Q1659" s="375" t="s">
        <v>619</v>
      </c>
      <c r="R1659" s="696">
        <v>20161028</v>
      </c>
      <c r="S1659" s="375" t="s">
        <v>10926</v>
      </c>
      <c r="T1659" s="697" t="s">
        <v>768</v>
      </c>
      <c r="U1659" s="372" t="s">
        <v>10927</v>
      </c>
      <c r="V1659" s="722" t="s">
        <v>770</v>
      </c>
      <c r="W1659" s="722">
        <v>0.97</v>
      </c>
      <c r="X1659" s="722">
        <v>5.26</v>
      </c>
      <c r="Y1659" s="722" t="s">
        <v>770</v>
      </c>
      <c r="Z1659" s="382" t="s">
        <v>924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10928</v>
      </c>
      <c r="B1660" s="373" t="s">
        <v>10929</v>
      </c>
      <c r="C1660" s="372" t="s">
        <v>10930</v>
      </c>
      <c r="D1660" s="374">
        <v>1101110145860</v>
      </c>
      <c r="E1660" s="372" t="s">
        <v>10931</v>
      </c>
      <c r="F1660" s="375" t="s">
        <v>1273</v>
      </c>
      <c r="G1660" s="375" t="s">
        <v>1715</v>
      </c>
      <c r="H1660" s="375" t="s">
        <v>858</v>
      </c>
      <c r="I1660" s="375" t="s">
        <v>859</v>
      </c>
      <c r="J1660" s="375">
        <v>243341.15659</v>
      </c>
      <c r="K1660" s="375">
        <v>35910.09274</v>
      </c>
      <c r="L1660" s="375">
        <v>33455.314749999998</v>
      </c>
      <c r="M1660" s="375">
        <v>142355.57074</v>
      </c>
      <c r="N1660" s="372">
        <v>0.79200000000000004</v>
      </c>
      <c r="O1660" s="704">
        <v>132.01658517231095</v>
      </c>
      <c r="P1660" s="375" t="s">
        <v>619</v>
      </c>
      <c r="Q1660" s="372" t="s">
        <v>619</v>
      </c>
      <c r="R1660" s="696">
        <v>20011127</v>
      </c>
      <c r="S1660" s="372" t="s">
        <v>10932</v>
      </c>
      <c r="T1660" s="697">
        <v>0.23100000000000001</v>
      </c>
      <c r="U1660" s="372" t="s">
        <v>10933</v>
      </c>
      <c r="V1660" s="722">
        <v>4.1900000000000004</v>
      </c>
      <c r="W1660" s="722">
        <v>0.69</v>
      </c>
      <c r="X1660" s="722">
        <v>0.4</v>
      </c>
      <c r="Y1660" s="722">
        <v>3.59</v>
      </c>
      <c r="Z1660" s="382" t="s">
        <v>924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10934</v>
      </c>
      <c r="B1661" s="373" t="s">
        <v>10935</v>
      </c>
      <c r="C1661" s="372" t="s">
        <v>10936</v>
      </c>
      <c r="D1661" s="374">
        <v>1801110121507</v>
      </c>
      <c r="E1661" s="372" t="s">
        <v>10937</v>
      </c>
      <c r="F1661" s="375" t="s">
        <v>7041</v>
      </c>
      <c r="G1661" s="375" t="s">
        <v>8264</v>
      </c>
      <c r="H1661" s="375" t="s">
        <v>858</v>
      </c>
      <c r="I1661" s="375" t="s">
        <v>859</v>
      </c>
      <c r="J1661" s="375">
        <v>97663.672200000001</v>
      </c>
      <c r="K1661" s="375">
        <v>529.34590000000003</v>
      </c>
      <c r="L1661" s="375">
        <v>-1607.07583</v>
      </c>
      <c r="M1661" s="375">
        <v>129547.96348000001</v>
      </c>
      <c r="N1661" s="372">
        <v>0.747</v>
      </c>
      <c r="O1661" s="704">
        <v>48.34922755706512</v>
      </c>
      <c r="P1661" s="375" t="s">
        <v>619</v>
      </c>
      <c r="Q1661" s="375" t="s">
        <v>619</v>
      </c>
      <c r="R1661" s="696">
        <v>20101112</v>
      </c>
      <c r="S1661" s="375" t="s">
        <v>10938</v>
      </c>
      <c r="T1661" s="697" t="s">
        <v>768</v>
      </c>
      <c r="U1661" s="372" t="s">
        <v>10939</v>
      </c>
      <c r="V1661" s="722">
        <v>24.05</v>
      </c>
      <c r="W1661" s="722">
        <v>0.64</v>
      </c>
      <c r="X1661" s="722">
        <v>0.85</v>
      </c>
      <c r="Y1661" s="722" t="s">
        <v>770</v>
      </c>
      <c r="Z1661" s="382" t="s">
        <v>924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10940</v>
      </c>
      <c r="B1662" s="373" t="s">
        <v>10941</v>
      </c>
      <c r="C1662" s="372" t="s">
        <v>10942</v>
      </c>
      <c r="D1662" s="374">
        <v>1101110190340</v>
      </c>
      <c r="E1662" s="372" t="s">
        <v>10943</v>
      </c>
      <c r="F1662" s="375" t="s">
        <v>6232</v>
      </c>
      <c r="G1662" s="375" t="s">
        <v>10944</v>
      </c>
      <c r="H1662" s="375" t="s">
        <v>1383</v>
      </c>
      <c r="I1662" s="375" t="s">
        <v>751</v>
      </c>
      <c r="J1662" s="375">
        <v>392244.78233999998</v>
      </c>
      <c r="K1662" s="375">
        <v>330.10831999999999</v>
      </c>
      <c r="L1662" s="375">
        <v>8058.9012899999998</v>
      </c>
      <c r="M1662" s="375">
        <v>228235.37195999999</v>
      </c>
      <c r="N1662" s="372">
        <v>0.58599999999999997</v>
      </c>
      <c r="O1662" s="704">
        <v>14.508774896596519</v>
      </c>
      <c r="P1662" s="375" t="s">
        <v>619</v>
      </c>
      <c r="Q1662" s="372" t="s">
        <v>619</v>
      </c>
      <c r="R1662" s="696">
        <v>20020712</v>
      </c>
      <c r="S1662" s="372" t="s">
        <v>10945</v>
      </c>
      <c r="T1662" s="697">
        <v>0.20900000000000002</v>
      </c>
      <c r="U1662" s="372" t="s">
        <v>10946</v>
      </c>
      <c r="V1662" s="722">
        <v>35.43</v>
      </c>
      <c r="W1662" s="722">
        <v>0.34</v>
      </c>
      <c r="X1662" s="722">
        <v>0.21</v>
      </c>
      <c r="Y1662" s="722">
        <v>12.84</v>
      </c>
      <c r="Z1662" s="382" t="s">
        <v>924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10947</v>
      </c>
      <c r="B1663" s="373" t="s">
        <v>10948</v>
      </c>
      <c r="C1663" s="372" t="s">
        <v>10949</v>
      </c>
      <c r="D1663" s="374">
        <v>1244110011884</v>
      </c>
      <c r="E1663" s="372" t="s">
        <v>10950</v>
      </c>
      <c r="F1663" s="375" t="s">
        <v>1093</v>
      </c>
      <c r="G1663" s="375" t="s">
        <v>5851</v>
      </c>
      <c r="H1663" s="375" t="s">
        <v>858</v>
      </c>
      <c r="I1663" s="375" t="s">
        <v>859</v>
      </c>
      <c r="J1663" s="375">
        <v>109319.48161</v>
      </c>
      <c r="K1663" s="375">
        <v>15275.2284</v>
      </c>
      <c r="L1663" s="375">
        <v>16451.809740000001</v>
      </c>
      <c r="M1663" s="375">
        <v>115263.53835</v>
      </c>
      <c r="N1663" s="372">
        <v>0.62</v>
      </c>
      <c r="O1663" s="704">
        <v>1.398284338115783</v>
      </c>
      <c r="P1663" s="375" t="s">
        <v>619</v>
      </c>
      <c r="Q1663" s="372" t="s">
        <v>619</v>
      </c>
      <c r="R1663" s="696">
        <v>20001229</v>
      </c>
      <c r="S1663" s="372" t="s">
        <v>10951</v>
      </c>
      <c r="T1663" s="697">
        <v>0.20900000000000002</v>
      </c>
      <c r="U1663" s="372" t="s">
        <v>10952</v>
      </c>
      <c r="V1663" s="722">
        <v>0</v>
      </c>
      <c r="W1663" s="722">
        <v>0</v>
      </c>
      <c r="X1663" s="722">
        <v>0</v>
      </c>
      <c r="Y1663" s="722">
        <v>0</v>
      </c>
      <c r="Z1663" s="382" t="s">
        <v>924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10953</v>
      </c>
      <c r="B1664" s="373" t="s">
        <v>10954</v>
      </c>
      <c r="C1664" s="372" t="s">
        <v>10955</v>
      </c>
      <c r="D1664" s="374">
        <v>1350110036315</v>
      </c>
      <c r="E1664" s="372" t="s">
        <v>10956</v>
      </c>
      <c r="F1664" s="375" t="s">
        <v>1174</v>
      </c>
      <c r="G1664" s="375" t="s">
        <v>1175</v>
      </c>
      <c r="H1664" s="375" t="s">
        <v>858</v>
      </c>
      <c r="I1664" s="375" t="s">
        <v>859</v>
      </c>
      <c r="J1664" s="375">
        <v>718333.52677999996</v>
      </c>
      <c r="K1664" s="375">
        <v>4791.7816599999996</v>
      </c>
      <c r="L1664" s="375">
        <v>-4575.1026599999996</v>
      </c>
      <c r="M1664" s="375">
        <v>219654.68264000001</v>
      </c>
      <c r="N1664" s="372">
        <v>0.6</v>
      </c>
      <c r="O1664" s="704">
        <v>278.67405854508303</v>
      </c>
      <c r="P1664" s="375" t="s">
        <v>619</v>
      </c>
      <c r="Q1664" s="372" t="s">
        <v>619</v>
      </c>
      <c r="R1664" s="696">
        <v>19991211</v>
      </c>
      <c r="S1664" s="372" t="s">
        <v>10957</v>
      </c>
      <c r="T1664" s="697" t="s">
        <v>768</v>
      </c>
      <c r="U1664" s="372" t="s">
        <v>10958</v>
      </c>
      <c r="V1664" s="722">
        <v>6.03</v>
      </c>
      <c r="W1664" s="722">
        <v>0.35</v>
      </c>
      <c r="X1664" s="722">
        <v>0.1</v>
      </c>
      <c r="Y1664" s="722">
        <v>84.56</v>
      </c>
      <c r="Z1664" s="382" t="s">
        <v>924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10959</v>
      </c>
      <c r="B1665" s="373" t="s">
        <v>10960</v>
      </c>
      <c r="C1665" s="372" t="s">
        <v>10961</v>
      </c>
      <c r="D1665" s="374">
        <v>1101110031560</v>
      </c>
      <c r="E1665" s="372" t="s">
        <v>10962</v>
      </c>
      <c r="F1665" s="375" t="s">
        <v>1259</v>
      </c>
      <c r="G1665" s="375" t="s">
        <v>1260</v>
      </c>
      <c r="H1665" s="375" t="s">
        <v>1261</v>
      </c>
      <c r="I1665" s="375" t="s">
        <v>751</v>
      </c>
      <c r="J1665" s="375">
        <v>0</v>
      </c>
      <c r="K1665" s="375">
        <v>0</v>
      </c>
      <c r="L1665" s="375">
        <v>0</v>
      </c>
      <c r="M1665" s="375">
        <v>0</v>
      </c>
      <c r="N1665" s="372">
        <v>0.55700000000000005</v>
      </c>
      <c r="O1665" s="704" t="s">
        <v>16298</v>
      </c>
      <c r="P1665" s="375" t="s">
        <v>619</v>
      </c>
      <c r="Q1665" s="375" t="s">
        <v>619</v>
      </c>
      <c r="R1665" s="696">
        <v>19880923</v>
      </c>
      <c r="S1665" s="375" t="s">
        <v>10963</v>
      </c>
      <c r="T1665" s="697" t="s">
        <v>768</v>
      </c>
      <c r="U1665" s="375" t="s">
        <v>10964</v>
      </c>
      <c r="V1665" s="722">
        <v>0</v>
      </c>
      <c r="W1665" s="722">
        <v>0</v>
      </c>
      <c r="X1665" s="722">
        <v>0</v>
      </c>
      <c r="Y1665" s="722">
        <v>0</v>
      </c>
      <c r="Z1665" s="382" t="s">
        <v>924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10965</v>
      </c>
      <c r="B1666" s="373" t="s">
        <v>10966</v>
      </c>
      <c r="C1666" s="372" t="s">
        <v>10967</v>
      </c>
      <c r="D1666" s="374">
        <v>1350110089265</v>
      </c>
      <c r="E1666" s="372" t="s">
        <v>10968</v>
      </c>
      <c r="F1666" s="375" t="s">
        <v>9165</v>
      </c>
      <c r="G1666" s="375" t="s">
        <v>9165</v>
      </c>
      <c r="H1666" s="375" t="s">
        <v>858</v>
      </c>
      <c r="I1666" s="375" t="s">
        <v>859</v>
      </c>
      <c r="J1666" s="375">
        <v>60480.006220000003</v>
      </c>
      <c r="K1666" s="375">
        <v>8780.2430499999991</v>
      </c>
      <c r="L1666" s="375">
        <v>9143.2296299999998</v>
      </c>
      <c r="M1666" s="375">
        <v>42495.514799999997</v>
      </c>
      <c r="N1666" s="372" t="s">
        <v>1023</v>
      </c>
      <c r="O1666" s="704">
        <v>3.1429278141530292</v>
      </c>
      <c r="P1666" s="375" t="s">
        <v>619</v>
      </c>
      <c r="Q1666" s="372" t="s">
        <v>619</v>
      </c>
      <c r="R1666" s="696">
        <v>20230810</v>
      </c>
      <c r="S1666" s="375" t="s">
        <v>10969</v>
      </c>
      <c r="T1666" s="697">
        <v>0.20900000000000002</v>
      </c>
      <c r="U1666" s="372" t="s">
        <v>10970</v>
      </c>
      <c r="V1666" s="722">
        <v>0</v>
      </c>
      <c r="W1666" s="722">
        <v>0</v>
      </c>
      <c r="X1666" s="722">
        <v>0</v>
      </c>
      <c r="Y1666" s="722">
        <v>0</v>
      </c>
      <c r="Z1666" s="382" t="s">
        <v>924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10971</v>
      </c>
      <c r="B1667" s="373" t="s">
        <v>10972</v>
      </c>
      <c r="C1667" s="372" t="s">
        <v>10973</v>
      </c>
      <c r="D1667" s="374">
        <v>1101110809595</v>
      </c>
      <c r="E1667" s="372" t="s">
        <v>10974</v>
      </c>
      <c r="F1667" s="375" t="s">
        <v>3313</v>
      </c>
      <c r="G1667" s="375" t="s">
        <v>3313</v>
      </c>
      <c r="H1667" s="375" t="s">
        <v>1528</v>
      </c>
      <c r="I1667" s="375" t="s">
        <v>859</v>
      </c>
      <c r="J1667" s="375">
        <v>46756.597800000003</v>
      </c>
      <c r="K1667" s="375">
        <v>657.72393999999997</v>
      </c>
      <c r="L1667" s="375">
        <v>1214.72315</v>
      </c>
      <c r="M1667" s="375">
        <v>60117.283730000003</v>
      </c>
      <c r="N1667" s="372">
        <v>0.68600000000000005</v>
      </c>
      <c r="O1667" s="704">
        <v>1.5056400819689528</v>
      </c>
      <c r="P1667" s="375" t="s">
        <v>619</v>
      </c>
      <c r="Q1667" s="372" t="s">
        <v>619</v>
      </c>
      <c r="R1667" s="696">
        <v>20010109</v>
      </c>
      <c r="S1667" s="372" t="s">
        <v>16304</v>
      </c>
      <c r="T1667" s="697">
        <v>0.20900000000000002</v>
      </c>
      <c r="U1667" s="372" t="s">
        <v>10975</v>
      </c>
      <c r="V1667" s="722">
        <v>41.17</v>
      </c>
      <c r="W1667" s="722">
        <v>0.96</v>
      </c>
      <c r="X1667" s="722">
        <v>1.33</v>
      </c>
      <c r="Y1667" s="722">
        <v>188.26</v>
      </c>
      <c r="Z1667" s="382" t="s">
        <v>924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468</v>
      </c>
      <c r="AF1667" s="372">
        <v>350</v>
      </c>
      <c r="AG1667" s="372">
        <v>0</v>
      </c>
      <c r="AH1667" s="372">
        <v>0</v>
      </c>
    </row>
    <row r="1668" spans="1:34">
      <c r="A1668" s="372" t="s">
        <v>10976</v>
      </c>
      <c r="B1668" s="373" t="s">
        <v>10977</v>
      </c>
      <c r="C1668" s="372" t="s">
        <v>10978</v>
      </c>
      <c r="D1668" s="374">
        <v>1801110043610</v>
      </c>
      <c r="E1668" s="372" t="s">
        <v>10979</v>
      </c>
      <c r="F1668" s="375" t="s">
        <v>10980</v>
      </c>
      <c r="G1668" s="375" t="s">
        <v>10980</v>
      </c>
      <c r="H1668" s="375" t="s">
        <v>823</v>
      </c>
      <c r="I1668" s="375" t="s">
        <v>751</v>
      </c>
      <c r="J1668" s="375">
        <v>85387.793820000006</v>
      </c>
      <c r="K1668" s="375">
        <v>7840.9081100000003</v>
      </c>
      <c r="L1668" s="375">
        <v>12653.358270000001</v>
      </c>
      <c r="M1668" s="375">
        <v>62435.207620000001</v>
      </c>
      <c r="N1668" s="372">
        <v>0.749</v>
      </c>
      <c r="O1668" s="704">
        <v>19.166551364042935</v>
      </c>
      <c r="P1668" s="375" t="s">
        <v>619</v>
      </c>
      <c r="Q1668" s="372" t="s">
        <v>619</v>
      </c>
      <c r="R1668" s="696">
        <v>19730626</v>
      </c>
      <c r="S1668" s="372" t="s">
        <v>10981</v>
      </c>
      <c r="T1668" s="697">
        <v>0.20900000000000002</v>
      </c>
      <c r="U1668" s="372" t="s">
        <v>10982</v>
      </c>
      <c r="V1668" s="722">
        <v>8.35</v>
      </c>
      <c r="W1668" s="722">
        <v>1.39</v>
      </c>
      <c r="X1668" s="722">
        <v>1.02</v>
      </c>
      <c r="Y1668" s="722">
        <v>7.75</v>
      </c>
      <c r="Z1668" s="382" t="s">
        <v>924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10983</v>
      </c>
      <c r="B1669" s="373" t="s">
        <v>10984</v>
      </c>
      <c r="C1669" s="372" t="s">
        <v>10985</v>
      </c>
      <c r="D1669" s="374">
        <v>1350110111703</v>
      </c>
      <c r="E1669" s="372" t="s">
        <v>10986</v>
      </c>
      <c r="F1669" s="375" t="s">
        <v>1273</v>
      </c>
      <c r="G1669" s="375" t="s">
        <v>1449</v>
      </c>
      <c r="H1669" s="375" t="s">
        <v>858</v>
      </c>
      <c r="I1669" s="375" t="s">
        <v>859</v>
      </c>
      <c r="J1669" s="375">
        <v>14040.53801</v>
      </c>
      <c r="K1669" s="375">
        <v>-5473.9843499999997</v>
      </c>
      <c r="L1669" s="375">
        <v>-8677.34087</v>
      </c>
      <c r="M1669" s="375">
        <v>8007.9189800000004</v>
      </c>
      <c r="N1669" s="372" t="s">
        <v>1023</v>
      </c>
      <c r="O1669" s="704">
        <v>13.576780226090818</v>
      </c>
      <c r="P1669" s="375" t="s">
        <v>619</v>
      </c>
      <c r="Q1669" s="372" t="s">
        <v>619</v>
      </c>
      <c r="R1669" s="696">
        <v>20100209</v>
      </c>
      <c r="S1669" s="372" t="s">
        <v>10987</v>
      </c>
      <c r="T1669" s="697" t="s">
        <v>768</v>
      </c>
      <c r="U1669" s="372" t="s">
        <v>10988</v>
      </c>
      <c r="V1669" s="722" t="s">
        <v>770</v>
      </c>
      <c r="W1669" s="722">
        <v>7.64</v>
      </c>
      <c r="X1669" s="722">
        <v>4.34</v>
      </c>
      <c r="Y1669" s="722" t="s">
        <v>770</v>
      </c>
      <c r="Z1669" s="382" t="s">
        <v>924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10989</v>
      </c>
      <c r="B1670" s="373" t="s">
        <v>10990</v>
      </c>
      <c r="C1670" s="372" t="s">
        <v>10991</v>
      </c>
      <c r="D1670" s="374">
        <v>1301110057124</v>
      </c>
      <c r="E1670" s="372" t="s">
        <v>10992</v>
      </c>
      <c r="F1670" s="372" t="s">
        <v>6607</v>
      </c>
      <c r="G1670" s="375" t="s">
        <v>6607</v>
      </c>
      <c r="H1670" s="375" t="s">
        <v>858</v>
      </c>
      <c r="I1670" s="375" t="s">
        <v>859</v>
      </c>
      <c r="J1670" s="375">
        <v>164283.1275</v>
      </c>
      <c r="K1670" s="375">
        <v>33593.471510000003</v>
      </c>
      <c r="L1670" s="375">
        <v>30286.036690000001</v>
      </c>
      <c r="M1670" s="375">
        <v>92064.649659999995</v>
      </c>
      <c r="N1670" s="372">
        <v>0.58299999999999996</v>
      </c>
      <c r="O1670" s="704">
        <v>34.941669867401437</v>
      </c>
      <c r="P1670" s="375" t="s">
        <v>619</v>
      </c>
      <c r="Q1670" s="372" t="s">
        <v>619</v>
      </c>
      <c r="R1670" s="696">
        <v>20100127</v>
      </c>
      <c r="S1670" s="372" t="s">
        <v>10993</v>
      </c>
      <c r="T1670" s="697">
        <v>0.23100000000000001</v>
      </c>
      <c r="U1670" s="372" t="s">
        <v>10994</v>
      </c>
      <c r="V1670" s="722">
        <v>1.97</v>
      </c>
      <c r="W1670" s="722">
        <v>0.76</v>
      </c>
      <c r="X1670" s="722">
        <v>0.44</v>
      </c>
      <c r="Y1670" s="722">
        <v>2.4700000000000002</v>
      </c>
      <c r="Z1670" s="382" t="s">
        <v>924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10995</v>
      </c>
      <c r="B1671" s="373" t="s">
        <v>10996</v>
      </c>
      <c r="C1671" s="372" t="s">
        <v>10997</v>
      </c>
      <c r="D1671" s="374">
        <v>1101112914459</v>
      </c>
      <c r="E1671" s="372" t="s">
        <v>10998</v>
      </c>
      <c r="F1671" s="375" t="s">
        <v>1793</v>
      </c>
      <c r="G1671" s="375" t="s">
        <v>1794</v>
      </c>
      <c r="H1671" s="375" t="s">
        <v>858</v>
      </c>
      <c r="I1671" s="375" t="s">
        <v>859</v>
      </c>
      <c r="J1671" s="375">
        <v>13131.0484</v>
      </c>
      <c r="K1671" s="375">
        <v>65.644490000000005</v>
      </c>
      <c r="L1671" s="375">
        <v>248.37876</v>
      </c>
      <c r="M1671" s="375">
        <v>46577.530749999998</v>
      </c>
      <c r="N1671" s="372">
        <v>1.1659999999999999</v>
      </c>
      <c r="O1671" s="704">
        <v>0.47373808228313269</v>
      </c>
      <c r="P1671" s="375" t="s">
        <v>619</v>
      </c>
      <c r="Q1671" s="372" t="s">
        <v>619</v>
      </c>
      <c r="R1671" s="696">
        <v>20160729</v>
      </c>
      <c r="S1671" s="372" t="s">
        <v>10999</v>
      </c>
      <c r="T1671" s="697">
        <v>0.20900000000000002</v>
      </c>
      <c r="U1671" s="372" t="s">
        <v>11000</v>
      </c>
      <c r="V1671" s="722">
        <v>79.489999999999995</v>
      </c>
      <c r="W1671" s="722">
        <v>1.24</v>
      </c>
      <c r="X1671" s="722">
        <v>4.33</v>
      </c>
      <c r="Y1671" s="722">
        <v>404.95</v>
      </c>
      <c r="Z1671" s="382" t="s">
        <v>924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11001</v>
      </c>
      <c r="B1672" s="373" t="s">
        <v>11002</v>
      </c>
      <c r="C1672" s="372" t="s">
        <v>11003</v>
      </c>
      <c r="D1672" s="374">
        <v>1341110065470</v>
      </c>
      <c r="E1672" s="372" t="s">
        <v>11004</v>
      </c>
      <c r="F1672" s="375" t="s">
        <v>1959</v>
      </c>
      <c r="G1672" s="375" t="s">
        <v>1959</v>
      </c>
      <c r="H1672" s="375" t="s">
        <v>858</v>
      </c>
      <c r="I1672" s="375" t="s">
        <v>859</v>
      </c>
      <c r="J1672" s="375">
        <v>169114.35461000001</v>
      </c>
      <c r="K1672" s="375">
        <v>18742.599480000001</v>
      </c>
      <c r="L1672" s="375">
        <v>24633.75174</v>
      </c>
      <c r="M1672" s="375">
        <v>195958.94198</v>
      </c>
      <c r="N1672" s="372">
        <v>0.98399999999999999</v>
      </c>
      <c r="O1672" s="704">
        <v>109.59649113350727</v>
      </c>
      <c r="P1672" s="375" t="s">
        <v>619</v>
      </c>
      <c r="Q1672" s="372" t="s">
        <v>619</v>
      </c>
      <c r="R1672" s="696">
        <v>20070103</v>
      </c>
      <c r="S1672" s="372" t="s">
        <v>11005</v>
      </c>
      <c r="T1672" s="697">
        <v>0.23100000000000001</v>
      </c>
      <c r="U1672" s="372" t="s">
        <v>11006</v>
      </c>
      <c r="V1672" s="722">
        <v>5.45</v>
      </c>
      <c r="W1672" s="722">
        <v>0.49</v>
      </c>
      <c r="X1672" s="722">
        <v>0.56000000000000005</v>
      </c>
      <c r="Y1672" s="722">
        <v>5.29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11007</v>
      </c>
      <c r="B1673" s="373" t="s">
        <v>11008</v>
      </c>
      <c r="C1673" s="372" t="s">
        <v>16305</v>
      </c>
      <c r="D1673" s="374">
        <v>1954110007985</v>
      </c>
      <c r="E1673" s="372" t="s">
        <v>11009</v>
      </c>
      <c r="F1673" s="375" t="s">
        <v>1125</v>
      </c>
      <c r="G1673" s="375" t="s">
        <v>7419</v>
      </c>
      <c r="H1673" s="375" t="s">
        <v>858</v>
      </c>
      <c r="I1673" s="375" t="s">
        <v>859</v>
      </c>
      <c r="J1673" s="375">
        <v>0</v>
      </c>
      <c r="K1673" s="375">
        <v>0</v>
      </c>
      <c r="L1673" s="375">
        <v>0</v>
      </c>
      <c r="M1673" s="375">
        <v>0</v>
      </c>
      <c r="N1673" s="372" t="s">
        <v>1023</v>
      </c>
      <c r="O1673" s="704" t="s">
        <v>16298</v>
      </c>
      <c r="P1673" s="375" t="s">
        <v>619</v>
      </c>
      <c r="Q1673" s="375" t="s">
        <v>16113</v>
      </c>
      <c r="R1673" s="696">
        <v>20170915</v>
      </c>
      <c r="S1673" s="375" t="e">
        <v>#N/A</v>
      </c>
      <c r="T1673" s="697" t="s">
        <v>768</v>
      </c>
      <c r="U1673" s="375" t="s">
        <v>11010</v>
      </c>
      <c r="V1673" s="722">
        <v>0</v>
      </c>
      <c r="W1673" s="722">
        <v>0</v>
      </c>
      <c r="X1673" s="722">
        <v>0</v>
      </c>
      <c r="Y1673" s="722">
        <v>0</v>
      </c>
      <c r="Z1673" s="382" t="s">
        <v>924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11011</v>
      </c>
      <c r="B1674" s="373" t="s">
        <v>11012</v>
      </c>
      <c r="C1674" s="372" t="s">
        <v>11013</v>
      </c>
      <c r="D1674" s="374">
        <v>1101116016673</v>
      </c>
      <c r="E1674" s="372" t="s">
        <v>11014</v>
      </c>
      <c r="F1674" s="375" t="s">
        <v>1367</v>
      </c>
      <c r="G1674" s="375" t="s">
        <v>1367</v>
      </c>
      <c r="H1674" s="375" t="s">
        <v>858</v>
      </c>
      <c r="I1674" s="375" t="s">
        <v>859</v>
      </c>
      <c r="J1674" s="375">
        <v>91816.118780000004</v>
      </c>
      <c r="K1674" s="375">
        <v>-1940.05087</v>
      </c>
      <c r="L1674" s="375">
        <v>-5439.1415100000004</v>
      </c>
      <c r="M1674" s="375">
        <v>40853.316959999996</v>
      </c>
      <c r="N1674" s="372">
        <v>0.88600000000000001</v>
      </c>
      <c r="O1674" s="704">
        <v>52.350759926940704</v>
      </c>
      <c r="P1674" s="375" t="s">
        <v>619</v>
      </c>
      <c r="Q1674" s="375" t="s">
        <v>619</v>
      </c>
      <c r="R1674" s="696">
        <v>20160907</v>
      </c>
      <c r="S1674" s="375" t="s">
        <v>11015</v>
      </c>
      <c r="T1674" s="697" t="s">
        <v>768</v>
      </c>
      <c r="U1674" s="372">
        <v>0</v>
      </c>
      <c r="V1674" s="722">
        <v>137.86000000000001</v>
      </c>
      <c r="W1674" s="722">
        <v>1.4</v>
      </c>
      <c r="X1674" s="722">
        <v>0.6</v>
      </c>
      <c r="Y1674" s="722" t="s">
        <v>770</v>
      </c>
      <c r="Z1674" s="382" t="s">
        <v>924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11016</v>
      </c>
      <c r="B1675" s="373" t="s">
        <v>11017</v>
      </c>
      <c r="C1675" s="372" t="s">
        <v>11018</v>
      </c>
      <c r="D1675" s="374">
        <v>1101117257507</v>
      </c>
      <c r="E1675" s="372" t="s">
        <v>11019</v>
      </c>
      <c r="F1675" s="375" t="s">
        <v>2853</v>
      </c>
      <c r="G1675" s="375" t="s">
        <v>2854</v>
      </c>
      <c r="H1675" s="375" t="s">
        <v>1334</v>
      </c>
      <c r="I1675" s="375" t="s">
        <v>859</v>
      </c>
      <c r="J1675" s="375">
        <v>103814.01652</v>
      </c>
      <c r="K1675" s="375">
        <v>15226.07944</v>
      </c>
      <c r="L1675" s="375">
        <v>14929.97796</v>
      </c>
      <c r="M1675" s="375">
        <v>49268.046779999997</v>
      </c>
      <c r="N1675" s="372">
        <v>0.72</v>
      </c>
      <c r="O1675" s="704">
        <v>17.513485000057234</v>
      </c>
      <c r="P1675" s="375" t="s">
        <v>619</v>
      </c>
      <c r="Q1675" s="372" t="s">
        <v>619</v>
      </c>
      <c r="R1675" s="696">
        <v>20191224</v>
      </c>
      <c r="S1675" s="372" t="s">
        <v>11020</v>
      </c>
      <c r="T1675" s="697">
        <v>0.20900000000000002</v>
      </c>
      <c r="U1675" s="372" t="s">
        <v>11021</v>
      </c>
      <c r="V1675" s="722">
        <v>2.88</v>
      </c>
      <c r="W1675" s="722">
        <v>1.46</v>
      </c>
      <c r="X1675" s="722">
        <v>0.77</v>
      </c>
      <c r="Y1675" s="722">
        <v>6.63</v>
      </c>
      <c r="Z1675" s="382">
        <v>5.3614311303608275E-2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1052</v>
      </c>
      <c r="AF1675" s="372">
        <v>1119</v>
      </c>
      <c r="AG1675" s="372">
        <v>1167</v>
      </c>
      <c r="AH1675" s="372">
        <v>0</v>
      </c>
    </row>
    <row r="1676" spans="1:34">
      <c r="A1676" s="372" t="s">
        <v>11022</v>
      </c>
      <c r="B1676" s="373" t="s">
        <v>11023</v>
      </c>
      <c r="C1676" s="372" t="s">
        <v>11024</v>
      </c>
      <c r="D1676" s="374">
        <v>1942110000399</v>
      </c>
      <c r="E1676" s="372" t="s">
        <v>11025</v>
      </c>
      <c r="F1676" s="375" t="s">
        <v>1860</v>
      </c>
      <c r="G1676" s="375" t="s">
        <v>1861</v>
      </c>
      <c r="H1676" s="375" t="s">
        <v>789</v>
      </c>
      <c r="I1676" s="375" t="s">
        <v>751</v>
      </c>
      <c r="J1676" s="375">
        <v>713799.15781</v>
      </c>
      <c r="K1676" s="375">
        <v>16877.140780000002</v>
      </c>
      <c r="L1676" s="375">
        <v>12352.09453</v>
      </c>
      <c r="M1676" s="375">
        <v>277280.30452000001</v>
      </c>
      <c r="N1676" s="372">
        <v>0.76100000000000001</v>
      </c>
      <c r="O1676" s="704">
        <v>285.67864713583668</v>
      </c>
      <c r="P1676" s="375" t="s">
        <v>619</v>
      </c>
      <c r="Q1676" s="372" t="s">
        <v>619</v>
      </c>
      <c r="R1676" s="696">
        <v>20121120</v>
      </c>
      <c r="S1676" s="372" t="s">
        <v>11026</v>
      </c>
      <c r="T1676" s="697">
        <v>0.20900000000000002</v>
      </c>
      <c r="U1676" s="372" t="s">
        <v>11027</v>
      </c>
      <c r="V1676" s="722">
        <v>5.82</v>
      </c>
      <c r="W1676" s="722">
        <v>0.28999999999999998</v>
      </c>
      <c r="X1676" s="722">
        <v>0.11</v>
      </c>
      <c r="Y1676" s="722">
        <v>7</v>
      </c>
      <c r="Z1676" s="382" t="s">
        <v>924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11028</v>
      </c>
      <c r="B1677" s="373" t="s">
        <v>11029</v>
      </c>
      <c r="C1677" s="372" t="s">
        <v>11030</v>
      </c>
      <c r="D1677" s="374">
        <v>1211110160415</v>
      </c>
      <c r="E1677" s="372" t="s">
        <v>11031</v>
      </c>
      <c r="F1677" s="375" t="s">
        <v>1003</v>
      </c>
      <c r="G1677" s="375" t="s">
        <v>1003</v>
      </c>
      <c r="H1677" s="375" t="s">
        <v>858</v>
      </c>
      <c r="I1677" s="375" t="s">
        <v>859</v>
      </c>
      <c r="J1677" s="375">
        <v>61267.290809999999</v>
      </c>
      <c r="K1677" s="375">
        <v>-8741.6592999999993</v>
      </c>
      <c r="L1677" s="375">
        <v>-11693.27728</v>
      </c>
      <c r="M1677" s="375">
        <v>64651.677649999998</v>
      </c>
      <c r="N1677" s="372">
        <v>1.0640000000000001</v>
      </c>
      <c r="O1677" s="704">
        <v>1.6743332654516756</v>
      </c>
      <c r="P1677" s="375" t="s">
        <v>619</v>
      </c>
      <c r="Q1677" s="375" t="s">
        <v>619</v>
      </c>
      <c r="R1677" s="696">
        <v>20210128</v>
      </c>
      <c r="S1677" s="375" t="s">
        <v>11032</v>
      </c>
      <c r="T1677" s="697" t="s">
        <v>768</v>
      </c>
      <c r="U1677" s="372" t="s">
        <v>11033</v>
      </c>
      <c r="V1677" s="722" t="s">
        <v>770</v>
      </c>
      <c r="W1677" s="722">
        <v>0.72</v>
      </c>
      <c r="X1677" s="722">
        <v>0.76</v>
      </c>
      <c r="Y1677" s="722" t="s">
        <v>770</v>
      </c>
      <c r="Z1677" s="382" t="s">
        <v>924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11034</v>
      </c>
      <c r="B1678" s="373" t="s">
        <v>11035</v>
      </c>
      <c r="C1678" s="372" t="s">
        <v>11036</v>
      </c>
      <c r="D1678" s="374">
        <v>1358110102649</v>
      </c>
      <c r="E1678" s="372" t="s">
        <v>11037</v>
      </c>
      <c r="F1678" s="375" t="s">
        <v>1653</v>
      </c>
      <c r="G1678" s="375" t="s">
        <v>1653</v>
      </c>
      <c r="H1678" s="375" t="s">
        <v>858</v>
      </c>
      <c r="I1678" s="375" t="s">
        <v>859</v>
      </c>
      <c r="J1678" s="375">
        <v>14868.62004</v>
      </c>
      <c r="K1678" s="375">
        <v>-2901.35869</v>
      </c>
      <c r="L1678" s="375">
        <v>-3321.57872</v>
      </c>
      <c r="M1678" s="375">
        <v>7119.3681800000004</v>
      </c>
      <c r="N1678" s="372">
        <v>0.83099999999999996</v>
      </c>
      <c r="O1678" s="704">
        <v>9.6558415235334127</v>
      </c>
      <c r="P1678" s="375" t="s">
        <v>619</v>
      </c>
      <c r="Q1678" s="372" t="s">
        <v>619</v>
      </c>
      <c r="R1678" s="696">
        <v>20100226</v>
      </c>
      <c r="S1678" s="372" t="s">
        <v>11038</v>
      </c>
      <c r="T1678" s="697" t="s">
        <v>768</v>
      </c>
      <c r="U1678" s="372" t="s">
        <v>11039</v>
      </c>
      <c r="V1678" s="722">
        <v>0</v>
      </c>
      <c r="W1678" s="722">
        <v>0</v>
      </c>
      <c r="X1678" s="722">
        <v>0</v>
      </c>
      <c r="Y1678" s="722">
        <v>0</v>
      </c>
      <c r="Z1678" s="382" t="s">
        <v>924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11040</v>
      </c>
      <c r="B1679" s="373" t="s">
        <v>11041</v>
      </c>
      <c r="C1679" s="372" t="s">
        <v>11042</v>
      </c>
      <c r="D1679" s="374">
        <v>2301110096064</v>
      </c>
      <c r="E1679" s="372" t="s">
        <v>11043</v>
      </c>
      <c r="F1679" s="372" t="s">
        <v>11044</v>
      </c>
      <c r="G1679" s="375" t="s">
        <v>11044</v>
      </c>
      <c r="H1679" s="375" t="s">
        <v>858</v>
      </c>
      <c r="I1679" s="375" t="s">
        <v>859</v>
      </c>
      <c r="J1679" s="375">
        <v>71749.603510000001</v>
      </c>
      <c r="K1679" s="375">
        <v>-52.037230000000001</v>
      </c>
      <c r="L1679" s="375">
        <v>837.08784000000003</v>
      </c>
      <c r="M1679" s="375">
        <v>162214.01556</v>
      </c>
      <c r="N1679" s="372">
        <v>0.621</v>
      </c>
      <c r="O1679" s="704">
        <v>0.1801415264087825</v>
      </c>
      <c r="P1679" s="375" t="s">
        <v>619</v>
      </c>
      <c r="Q1679" s="375" t="s">
        <v>619</v>
      </c>
      <c r="R1679" s="696">
        <v>20210128</v>
      </c>
      <c r="S1679" s="375" t="s">
        <v>11045</v>
      </c>
      <c r="T1679" s="697">
        <v>0.20900000000000002</v>
      </c>
      <c r="U1679" s="372" t="s">
        <v>11046</v>
      </c>
      <c r="V1679" s="722">
        <v>17.82</v>
      </c>
      <c r="W1679" s="722">
        <v>0.48</v>
      </c>
      <c r="X1679" s="722">
        <v>1.1200000000000001</v>
      </c>
      <c r="Y1679" s="722">
        <v>33.53</v>
      </c>
      <c r="Z1679" s="382" t="s">
        <v>924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11047</v>
      </c>
      <c r="B1680" s="373" t="s">
        <v>11048</v>
      </c>
      <c r="C1680" s="372" t="s">
        <v>11049</v>
      </c>
      <c r="D1680" s="374">
        <v>1101110104820</v>
      </c>
      <c r="E1680" s="372" t="s">
        <v>11050</v>
      </c>
      <c r="F1680" s="372" t="s">
        <v>11051</v>
      </c>
      <c r="G1680" s="375" t="s">
        <v>11051</v>
      </c>
      <c r="H1680" s="375" t="s">
        <v>1313</v>
      </c>
      <c r="I1680" s="375" t="s">
        <v>751</v>
      </c>
      <c r="J1680" s="375">
        <v>400394.77413999999</v>
      </c>
      <c r="K1680" s="375">
        <v>21978.51628</v>
      </c>
      <c r="L1680" s="375">
        <v>26053.72867</v>
      </c>
      <c r="M1680" s="375">
        <v>242275.76887999999</v>
      </c>
      <c r="N1680" s="372">
        <v>0.55200000000000005</v>
      </c>
      <c r="O1680" s="704">
        <v>156.73636270360564</v>
      </c>
      <c r="P1680" s="375" t="s">
        <v>619</v>
      </c>
      <c r="Q1680" s="375" t="s">
        <v>619</v>
      </c>
      <c r="R1680" s="696">
        <v>19861224</v>
      </c>
      <c r="S1680" s="375" t="s">
        <v>11052</v>
      </c>
      <c r="T1680" s="697">
        <v>0.23100000000000001</v>
      </c>
      <c r="U1680" s="372" t="s">
        <v>11053</v>
      </c>
      <c r="V1680" s="722">
        <v>0</v>
      </c>
      <c r="W1680" s="722">
        <v>0</v>
      </c>
      <c r="X1680" s="722">
        <v>0</v>
      </c>
      <c r="Y1680" s="722">
        <v>0</v>
      </c>
      <c r="Z1680" s="382" t="s">
        <v>924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11054</v>
      </c>
      <c r="B1681" s="373" t="s">
        <v>11055</v>
      </c>
      <c r="C1681" s="372" t="s">
        <v>11056</v>
      </c>
      <c r="D1681" s="374">
        <v>1701110021816</v>
      </c>
      <c r="E1681" s="372" t="s">
        <v>11057</v>
      </c>
      <c r="F1681" s="375" t="s">
        <v>2989</v>
      </c>
      <c r="G1681" s="375" t="s">
        <v>2989</v>
      </c>
      <c r="H1681" s="375" t="s">
        <v>789</v>
      </c>
      <c r="I1681" s="375" t="s">
        <v>751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1.1579999999999999</v>
      </c>
      <c r="O1681" s="704" t="s">
        <v>16298</v>
      </c>
      <c r="P1681" s="375" t="s">
        <v>619</v>
      </c>
      <c r="Q1681" s="372" t="s">
        <v>619</v>
      </c>
      <c r="R1681" s="696">
        <v>19951110</v>
      </c>
      <c r="S1681" s="372" t="s">
        <v>11058</v>
      </c>
      <c r="T1681" s="697" t="s">
        <v>768</v>
      </c>
      <c r="U1681" s="372" t="s">
        <v>11059</v>
      </c>
      <c r="V1681" s="722">
        <v>0</v>
      </c>
      <c r="W1681" s="722">
        <v>0</v>
      </c>
      <c r="X1681" s="722">
        <v>0</v>
      </c>
      <c r="Y1681" s="722">
        <v>0</v>
      </c>
      <c r="Z1681" s="382" t="s">
        <v>924</v>
      </c>
      <c r="AA1681" s="372">
        <v>3694.9099219</v>
      </c>
      <c r="AB1681" s="372">
        <v>3873.6867980000002</v>
      </c>
      <c r="AC1681" s="372">
        <v>5386.4023942000003</v>
      </c>
      <c r="AD1681" s="372">
        <v>5682.4148027000001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11060</v>
      </c>
      <c r="B1682" s="373" t="s">
        <v>11061</v>
      </c>
      <c r="C1682" s="372" t="s">
        <v>11062</v>
      </c>
      <c r="D1682" s="374">
        <v>1101110860216</v>
      </c>
      <c r="E1682" s="372" t="s">
        <v>11063</v>
      </c>
      <c r="F1682" s="375" t="s">
        <v>10273</v>
      </c>
      <c r="G1682" s="375" t="s">
        <v>11064</v>
      </c>
      <c r="H1682" s="375" t="s">
        <v>858</v>
      </c>
      <c r="I1682" s="375" t="s">
        <v>859</v>
      </c>
      <c r="J1682" s="375">
        <v>332031.90534</v>
      </c>
      <c r="K1682" s="375">
        <v>-9677.2800599999991</v>
      </c>
      <c r="L1682" s="375">
        <v>-26405.301459999999</v>
      </c>
      <c r="M1682" s="375">
        <v>106003.47912</v>
      </c>
      <c r="N1682" s="372">
        <v>0.85</v>
      </c>
      <c r="O1682" s="704">
        <v>244.61604820201183</v>
      </c>
      <c r="P1682" s="375" t="s">
        <v>619</v>
      </c>
      <c r="Q1682" s="372" t="s">
        <v>619</v>
      </c>
      <c r="R1682" s="696">
        <v>20030725</v>
      </c>
      <c r="S1682" s="372" t="s">
        <v>11065</v>
      </c>
      <c r="T1682" s="697" t="s">
        <v>768</v>
      </c>
      <c r="U1682" s="372" t="s">
        <v>11066</v>
      </c>
      <c r="V1682" s="722" t="s">
        <v>770</v>
      </c>
      <c r="W1682" s="722">
        <v>0.97</v>
      </c>
      <c r="X1682" s="722">
        <v>0.2</v>
      </c>
      <c r="Y1682" s="722" t="s">
        <v>770</v>
      </c>
      <c r="Z1682" s="382" t="s">
        <v>924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11067</v>
      </c>
      <c r="B1683" s="373" t="s">
        <v>11068</v>
      </c>
      <c r="C1683" s="372" t="s">
        <v>11069</v>
      </c>
      <c r="D1683" s="374">
        <v>1101116142668</v>
      </c>
      <c r="E1683" s="372" t="s">
        <v>11070</v>
      </c>
      <c r="F1683" s="375" t="s">
        <v>1320</v>
      </c>
      <c r="G1683" s="375" t="s">
        <v>16103</v>
      </c>
      <c r="H1683" s="375" t="s">
        <v>858</v>
      </c>
      <c r="I1683" s="375" t="s">
        <v>859</v>
      </c>
      <c r="J1683" s="375">
        <v>128239.12102000001</v>
      </c>
      <c r="K1683" s="375">
        <v>-1410.71117</v>
      </c>
      <c r="L1683" s="375">
        <v>-2401.0275499999998</v>
      </c>
      <c r="M1683" s="375">
        <v>101328.50189</v>
      </c>
      <c r="N1683" s="372">
        <v>0.79600000000000004</v>
      </c>
      <c r="O1683" s="704">
        <v>57.598220587819924</v>
      </c>
      <c r="P1683" s="375" t="s">
        <v>619</v>
      </c>
      <c r="Q1683" s="375" t="s">
        <v>619</v>
      </c>
      <c r="R1683" s="696">
        <v>20220929</v>
      </c>
      <c r="S1683" s="375" t="s">
        <v>11071</v>
      </c>
      <c r="T1683" s="697" t="s">
        <v>768</v>
      </c>
      <c r="U1683" s="372" t="s">
        <v>11072</v>
      </c>
      <c r="V1683" s="722">
        <v>0</v>
      </c>
      <c r="W1683" s="722">
        <v>0</v>
      </c>
      <c r="X1683" s="722">
        <v>0</v>
      </c>
      <c r="Y1683" s="722">
        <v>0</v>
      </c>
      <c r="Z1683" s="382" t="s">
        <v>924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11073</v>
      </c>
      <c r="B1684" s="373" t="s">
        <v>11074</v>
      </c>
      <c r="C1684" s="372" t="s">
        <v>16024</v>
      </c>
      <c r="D1684" s="374">
        <v>1351110047782</v>
      </c>
      <c r="E1684" s="372" t="s">
        <v>15924</v>
      </c>
      <c r="F1684" s="375" t="s">
        <v>1246</v>
      </c>
      <c r="G1684" s="375" t="s">
        <v>1246</v>
      </c>
      <c r="H1684" s="375" t="s">
        <v>858</v>
      </c>
      <c r="I1684" s="375" t="s">
        <v>859</v>
      </c>
      <c r="J1684" s="375">
        <v>59652.297839999999</v>
      </c>
      <c r="K1684" s="375">
        <v>1958.9259199999999</v>
      </c>
      <c r="L1684" s="375">
        <v>699.65751999999998</v>
      </c>
      <c r="M1684" s="375">
        <v>122162.1096</v>
      </c>
      <c r="N1684" s="372">
        <v>0.94699999999999995</v>
      </c>
      <c r="O1684" s="704">
        <v>0.64462438265764233</v>
      </c>
      <c r="P1684" s="375" t="s">
        <v>619</v>
      </c>
      <c r="Q1684" s="372" t="s">
        <v>619</v>
      </c>
      <c r="R1684" s="696">
        <v>20040204</v>
      </c>
      <c r="S1684" s="372" t="s">
        <v>2229</v>
      </c>
      <c r="T1684" s="697">
        <v>0.20900000000000002</v>
      </c>
      <c r="U1684" s="372" t="s">
        <v>11075</v>
      </c>
      <c r="V1684" s="722">
        <v>0</v>
      </c>
      <c r="W1684" s="722">
        <v>0</v>
      </c>
      <c r="X1684" s="722">
        <v>0</v>
      </c>
      <c r="Y1684" s="722">
        <v>0</v>
      </c>
      <c r="Z1684" s="382" t="s">
        <v>924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11076</v>
      </c>
      <c r="B1685" s="373" t="s">
        <v>11077</v>
      </c>
      <c r="C1685" s="372" t="s">
        <v>11078</v>
      </c>
      <c r="D1685" s="374">
        <v>1942110033580</v>
      </c>
      <c r="E1685" s="372" t="s">
        <v>11079</v>
      </c>
      <c r="F1685" s="375" t="s">
        <v>2423</v>
      </c>
      <c r="G1685" s="375" t="s">
        <v>6071</v>
      </c>
      <c r="H1685" s="375" t="s">
        <v>858</v>
      </c>
      <c r="I1685" s="375" t="s">
        <v>859</v>
      </c>
      <c r="J1685" s="375">
        <v>199887.56679000001</v>
      </c>
      <c r="K1685" s="375">
        <v>4942.2154099999998</v>
      </c>
      <c r="L1685" s="375">
        <v>2078.59087</v>
      </c>
      <c r="M1685" s="375">
        <v>103418.12198</v>
      </c>
      <c r="N1685" s="372">
        <v>0.98499999999999999</v>
      </c>
      <c r="O1685" s="704">
        <v>107.91383117980277</v>
      </c>
      <c r="P1685" s="375" t="s">
        <v>619</v>
      </c>
      <c r="Q1685" s="372" t="s">
        <v>619</v>
      </c>
      <c r="R1685" s="696">
        <v>20010608</v>
      </c>
      <c r="S1685" s="372" t="s">
        <v>11080</v>
      </c>
      <c r="T1685" s="697">
        <v>0.20900000000000002</v>
      </c>
      <c r="U1685" s="372" t="s">
        <v>11081</v>
      </c>
      <c r="V1685" s="722">
        <v>7.78</v>
      </c>
      <c r="W1685" s="722">
        <v>0.63</v>
      </c>
      <c r="X1685" s="722">
        <v>0.33</v>
      </c>
      <c r="Y1685" s="722">
        <v>30.37</v>
      </c>
      <c r="Z1685" s="382" t="s">
        <v>924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11082</v>
      </c>
      <c r="B1686" s="373" t="s">
        <v>11083</v>
      </c>
      <c r="C1686" s="372" t="s">
        <v>11084</v>
      </c>
      <c r="D1686" s="374">
        <v>1801110001494</v>
      </c>
      <c r="E1686" s="372" t="s">
        <v>11085</v>
      </c>
      <c r="F1686" s="372" t="s">
        <v>4830</v>
      </c>
      <c r="G1686" s="375" t="s">
        <v>4830</v>
      </c>
      <c r="H1686" s="375" t="s">
        <v>1313</v>
      </c>
      <c r="I1686" s="375" t="s">
        <v>751</v>
      </c>
      <c r="J1686" s="375">
        <v>309969.19297999999</v>
      </c>
      <c r="K1686" s="375">
        <v>11449.63646</v>
      </c>
      <c r="L1686" s="375">
        <v>6512.0394699999997</v>
      </c>
      <c r="M1686" s="375">
        <v>107564.54626</v>
      </c>
      <c r="N1686" s="372">
        <v>1.0289999999999999</v>
      </c>
      <c r="O1686" s="704">
        <v>198.23070257555179</v>
      </c>
      <c r="P1686" s="375" t="s">
        <v>619</v>
      </c>
      <c r="Q1686" s="375" t="s">
        <v>619</v>
      </c>
      <c r="R1686" s="696">
        <v>19910114</v>
      </c>
      <c r="S1686" s="375" t="s">
        <v>11086</v>
      </c>
      <c r="T1686" s="697">
        <v>0.20900000000000002</v>
      </c>
      <c r="U1686" s="372" t="s">
        <v>11087</v>
      </c>
      <c r="V1686" s="722">
        <v>12.68</v>
      </c>
      <c r="W1686" s="722">
        <v>0.73</v>
      </c>
      <c r="X1686" s="722">
        <v>0.26</v>
      </c>
      <c r="Y1686" s="722">
        <v>13.82</v>
      </c>
      <c r="Z1686" s="382" t="s">
        <v>924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11088</v>
      </c>
      <c r="B1687" s="373" t="s">
        <v>11089</v>
      </c>
      <c r="C1687" s="372" t="s">
        <v>11090</v>
      </c>
      <c r="D1687" s="374">
        <v>1101112017922</v>
      </c>
      <c r="E1687" s="372" t="s">
        <v>11091</v>
      </c>
      <c r="F1687" s="372" t="s">
        <v>3545</v>
      </c>
      <c r="G1687" s="375" t="s">
        <v>3545</v>
      </c>
      <c r="H1687" s="375" t="s">
        <v>1334</v>
      </c>
      <c r="I1687" s="375" t="s">
        <v>859</v>
      </c>
      <c r="J1687" s="375">
        <v>31453.634279999998</v>
      </c>
      <c r="K1687" s="375">
        <v>6922.9731400000001</v>
      </c>
      <c r="L1687" s="375">
        <v>6334.1296599999996</v>
      </c>
      <c r="M1687" s="375">
        <v>61778.743560000003</v>
      </c>
      <c r="N1687" s="372">
        <v>0.20799999999999999</v>
      </c>
      <c r="O1687" s="704">
        <v>18.508091080743817</v>
      </c>
      <c r="P1687" s="375" t="s">
        <v>619</v>
      </c>
      <c r="Q1687" s="375" t="s">
        <v>619</v>
      </c>
      <c r="R1687" s="696">
        <v>20130701</v>
      </c>
      <c r="S1687" s="372" t="s">
        <v>11092</v>
      </c>
      <c r="T1687" s="697">
        <v>0.20900000000000002</v>
      </c>
      <c r="U1687" s="372" t="s">
        <v>11093</v>
      </c>
      <c r="V1687" s="722">
        <v>21.18</v>
      </c>
      <c r="W1687" s="722">
        <v>2.82</v>
      </c>
      <c r="X1687" s="722">
        <v>5.75</v>
      </c>
      <c r="Y1687" s="722">
        <v>31.25</v>
      </c>
      <c r="Z1687" s="382" t="s">
        <v>924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11094</v>
      </c>
      <c r="B1688" s="373" t="s">
        <v>11095</v>
      </c>
      <c r="C1688" s="372" t="s">
        <v>11096</v>
      </c>
      <c r="D1688" s="374">
        <v>1101111800659</v>
      </c>
      <c r="E1688" s="372" t="s">
        <v>11097</v>
      </c>
      <c r="F1688" s="375" t="s">
        <v>3545</v>
      </c>
      <c r="G1688" s="375" t="s">
        <v>3545</v>
      </c>
      <c r="H1688" s="375" t="s">
        <v>1334</v>
      </c>
      <c r="I1688" s="375" t="s">
        <v>859</v>
      </c>
      <c r="J1688" s="375">
        <v>106466.44229000001</v>
      </c>
      <c r="K1688" s="375">
        <v>3724.1989400000002</v>
      </c>
      <c r="L1688" s="375">
        <v>5470.6176400000004</v>
      </c>
      <c r="M1688" s="375">
        <v>73299.797439999995</v>
      </c>
      <c r="N1688" s="372">
        <v>0.54800000000000004</v>
      </c>
      <c r="O1688" s="704">
        <v>1.0864549771356993</v>
      </c>
      <c r="P1688" s="375" t="s">
        <v>619</v>
      </c>
      <c r="Q1688" s="372" t="s">
        <v>619</v>
      </c>
      <c r="R1688" s="696">
        <v>20100804</v>
      </c>
      <c r="S1688" s="372" t="s">
        <v>11098</v>
      </c>
      <c r="T1688" s="697">
        <v>0.20900000000000002</v>
      </c>
      <c r="U1688" s="372" t="s">
        <v>15925</v>
      </c>
      <c r="V1688" s="722">
        <v>10.28</v>
      </c>
      <c r="W1688" s="722">
        <v>0.78</v>
      </c>
      <c r="X1688" s="722">
        <v>0.54</v>
      </c>
      <c r="Y1688" s="722">
        <v>10.88</v>
      </c>
      <c r="Z1688" s="382" t="s">
        <v>924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11099</v>
      </c>
      <c r="B1689" s="373" t="s">
        <v>11100</v>
      </c>
      <c r="C1689" s="372" t="s">
        <v>11101</v>
      </c>
      <c r="D1689" s="374">
        <v>1101110770548</v>
      </c>
      <c r="E1689" s="372" t="s">
        <v>11102</v>
      </c>
      <c r="F1689" s="372" t="s">
        <v>5622</v>
      </c>
      <c r="G1689" s="375" t="s">
        <v>5622</v>
      </c>
      <c r="H1689" s="375" t="s">
        <v>858</v>
      </c>
      <c r="I1689" s="375" t="s">
        <v>859</v>
      </c>
      <c r="J1689" s="375">
        <v>91361.653470000005</v>
      </c>
      <c r="K1689" s="375">
        <v>5275.52243</v>
      </c>
      <c r="L1689" s="375">
        <v>3628.9082199999998</v>
      </c>
      <c r="M1689" s="375">
        <v>83998.234249999994</v>
      </c>
      <c r="N1689" s="372">
        <v>0.76</v>
      </c>
      <c r="O1689" s="704">
        <v>33.659565603781125</v>
      </c>
      <c r="P1689" s="375" t="s">
        <v>619</v>
      </c>
      <c r="Q1689" s="375" t="s">
        <v>619</v>
      </c>
      <c r="R1689" s="696">
        <v>19970416</v>
      </c>
      <c r="S1689" s="375" t="s">
        <v>11103</v>
      </c>
      <c r="T1689" s="697">
        <v>0.20900000000000002</v>
      </c>
      <c r="U1689" s="372" t="s">
        <v>11104</v>
      </c>
      <c r="V1689" s="722">
        <v>10.47</v>
      </c>
      <c r="W1689" s="722">
        <v>0.93</v>
      </c>
      <c r="X1689" s="722">
        <v>0.85</v>
      </c>
      <c r="Y1689" s="722">
        <v>23.44</v>
      </c>
      <c r="Z1689" s="382" t="s">
        <v>924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11105</v>
      </c>
      <c r="B1690" s="373" t="s">
        <v>11106</v>
      </c>
      <c r="C1690" s="372" t="s">
        <v>11107</v>
      </c>
      <c r="D1690" s="374">
        <v>1101113175969</v>
      </c>
      <c r="E1690" s="372" t="s">
        <v>11108</v>
      </c>
      <c r="F1690" s="375" t="s">
        <v>1793</v>
      </c>
      <c r="G1690" s="375" t="s">
        <v>1794</v>
      </c>
      <c r="H1690" s="375" t="s">
        <v>858</v>
      </c>
      <c r="I1690" s="375" t="s">
        <v>859</v>
      </c>
      <c r="J1690" s="375">
        <v>30517.87862</v>
      </c>
      <c r="K1690" s="375">
        <v>-6845.11492</v>
      </c>
      <c r="L1690" s="375">
        <v>-7372.7493000000004</v>
      </c>
      <c r="M1690" s="375">
        <v>38073.050840000004</v>
      </c>
      <c r="N1690" s="372">
        <v>0.73299999999999998</v>
      </c>
      <c r="O1690" s="704">
        <v>10.784468718710597</v>
      </c>
      <c r="P1690" s="375" t="s">
        <v>619</v>
      </c>
      <c r="Q1690" s="372" t="s">
        <v>619</v>
      </c>
      <c r="R1690" s="696">
        <v>20210812</v>
      </c>
      <c r="S1690" s="375" t="s">
        <v>11109</v>
      </c>
      <c r="T1690" s="697" t="s">
        <v>768</v>
      </c>
      <c r="U1690" s="372" t="s">
        <v>11110</v>
      </c>
      <c r="V1690" s="722">
        <v>0</v>
      </c>
      <c r="W1690" s="722">
        <v>0</v>
      </c>
      <c r="X1690" s="722">
        <v>0</v>
      </c>
      <c r="Y1690" s="722">
        <v>0</v>
      </c>
      <c r="Z1690" s="382" t="s">
        <v>924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11111</v>
      </c>
      <c r="B1691" s="373" t="s">
        <v>11112</v>
      </c>
      <c r="C1691" s="372" t="s">
        <v>11113</v>
      </c>
      <c r="D1691" s="374">
        <v>1501110123252</v>
      </c>
      <c r="E1691" s="372" t="s">
        <v>11114</v>
      </c>
      <c r="F1691" s="375" t="s">
        <v>2121</v>
      </c>
      <c r="G1691" s="375" t="s">
        <v>4228</v>
      </c>
      <c r="H1691" s="375" t="s">
        <v>858</v>
      </c>
      <c r="I1691" s="375" t="s">
        <v>859</v>
      </c>
      <c r="J1691" s="375">
        <v>8303.0671000000002</v>
      </c>
      <c r="K1691" s="375">
        <v>-25299.744159999998</v>
      </c>
      <c r="L1691" s="375">
        <v>-30086.224050000001</v>
      </c>
      <c r="M1691" s="375">
        <v>17453.876530000001</v>
      </c>
      <c r="N1691" s="372">
        <v>1.042</v>
      </c>
      <c r="O1691" s="704">
        <v>22.153503773197393</v>
      </c>
      <c r="P1691" s="375" t="s">
        <v>619</v>
      </c>
      <c r="Q1691" s="375" t="s">
        <v>619</v>
      </c>
      <c r="R1691" s="696">
        <v>20150622</v>
      </c>
      <c r="S1691" s="375" t="s">
        <v>11115</v>
      </c>
      <c r="T1691" s="697" t="s">
        <v>768</v>
      </c>
      <c r="U1691" s="372" t="s">
        <v>11116</v>
      </c>
      <c r="V1691" s="722" t="s">
        <v>770</v>
      </c>
      <c r="W1691" s="722">
        <v>5.05</v>
      </c>
      <c r="X1691" s="722">
        <v>9.0500000000000007</v>
      </c>
      <c r="Y1691" s="722" t="s">
        <v>770</v>
      </c>
      <c r="Z1691" s="382" t="s">
        <v>924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11117</v>
      </c>
      <c r="B1692" s="373" t="s">
        <v>11118</v>
      </c>
      <c r="C1692" s="372" t="s">
        <v>11119</v>
      </c>
      <c r="D1692" s="374">
        <v>1101111990335</v>
      </c>
      <c r="E1692" s="372" t="s">
        <v>11120</v>
      </c>
      <c r="F1692" s="375" t="s">
        <v>11121</v>
      </c>
      <c r="G1692" s="375" t="s">
        <v>11121</v>
      </c>
      <c r="H1692" s="375" t="s">
        <v>1334</v>
      </c>
      <c r="I1692" s="375" t="s">
        <v>859</v>
      </c>
      <c r="J1692" s="375">
        <v>58937.814290000002</v>
      </c>
      <c r="K1692" s="375">
        <v>3253.8886000000002</v>
      </c>
      <c r="L1692" s="375">
        <v>4475.0855300000003</v>
      </c>
      <c r="M1692" s="375">
        <v>51723.755190000003</v>
      </c>
      <c r="N1692" s="372">
        <v>0.59799999999999998</v>
      </c>
      <c r="O1692" s="704">
        <v>16.677699369573901</v>
      </c>
      <c r="P1692" s="375" t="s">
        <v>619</v>
      </c>
      <c r="Q1692" s="375" t="s">
        <v>619</v>
      </c>
      <c r="R1692" s="696">
        <v>20040604</v>
      </c>
      <c r="S1692" s="375" t="s">
        <v>11122</v>
      </c>
      <c r="T1692" s="697">
        <v>0.20900000000000002</v>
      </c>
      <c r="U1692" s="372" t="s">
        <v>11123</v>
      </c>
      <c r="V1692" s="722">
        <v>8.57</v>
      </c>
      <c r="W1692" s="722">
        <v>1.1299999999999999</v>
      </c>
      <c r="X1692" s="722">
        <v>1.02</v>
      </c>
      <c r="Y1692" s="722">
        <v>16.86</v>
      </c>
      <c r="Z1692" s="382" t="s">
        <v>924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11124</v>
      </c>
      <c r="B1693" s="373" t="s">
        <v>11125</v>
      </c>
      <c r="C1693" s="372" t="s">
        <v>11126</v>
      </c>
      <c r="D1693" s="374">
        <v>1101116201737</v>
      </c>
      <c r="E1693" s="372" t="s">
        <v>11127</v>
      </c>
      <c r="F1693" s="375" t="s">
        <v>10460</v>
      </c>
      <c r="G1693" s="375" t="s">
        <v>11128</v>
      </c>
      <c r="H1693" s="375" t="s">
        <v>858</v>
      </c>
      <c r="I1693" s="375" t="s">
        <v>859</v>
      </c>
      <c r="J1693" s="375">
        <v>29125.4424</v>
      </c>
      <c r="K1693" s="375">
        <v>-3778.5034799999999</v>
      </c>
      <c r="L1693" s="375">
        <v>-3645.7520199999999</v>
      </c>
      <c r="M1693" s="375">
        <v>70768.859700000001</v>
      </c>
      <c r="N1693" s="372">
        <v>0.59299999999999997</v>
      </c>
      <c r="O1693" s="704">
        <v>33.414989056853962</v>
      </c>
      <c r="P1693" s="375" t="s">
        <v>619</v>
      </c>
      <c r="Q1693" s="375" t="s">
        <v>619</v>
      </c>
      <c r="R1693" s="696">
        <v>20170502</v>
      </c>
      <c r="S1693" s="375" t="s">
        <v>11129</v>
      </c>
      <c r="T1693" s="697" t="s">
        <v>768</v>
      </c>
      <c r="U1693" s="372" t="s">
        <v>11130</v>
      </c>
      <c r="V1693" s="722">
        <v>30.3</v>
      </c>
      <c r="W1693" s="722">
        <v>1.1200000000000001</v>
      </c>
      <c r="X1693" s="722">
        <v>2.86</v>
      </c>
      <c r="Y1693" s="722" t="s">
        <v>770</v>
      </c>
      <c r="Z1693" s="382" t="s">
        <v>924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11131</v>
      </c>
      <c r="B1694" s="373" t="s">
        <v>11132</v>
      </c>
      <c r="C1694" s="372" t="s">
        <v>11133</v>
      </c>
      <c r="D1694" s="374">
        <v>1801110047399</v>
      </c>
      <c r="E1694" s="372" t="s">
        <v>11134</v>
      </c>
      <c r="F1694" s="375" t="s">
        <v>2181</v>
      </c>
      <c r="G1694" s="375" t="s">
        <v>2182</v>
      </c>
      <c r="H1694" s="375" t="s">
        <v>858</v>
      </c>
      <c r="I1694" s="375" t="s">
        <v>859</v>
      </c>
      <c r="J1694" s="375">
        <v>73371.546990000003</v>
      </c>
      <c r="K1694" s="375">
        <v>15734.36724</v>
      </c>
      <c r="L1694" s="375">
        <v>26724.154869999998</v>
      </c>
      <c r="M1694" s="375">
        <v>223068.59357</v>
      </c>
      <c r="N1694" s="372">
        <v>0.71799999999999997</v>
      </c>
      <c r="O1694" s="704">
        <v>0.12155425800302083</v>
      </c>
      <c r="P1694" s="375" t="s">
        <v>619</v>
      </c>
      <c r="Q1694" s="375" t="s">
        <v>619</v>
      </c>
      <c r="R1694" s="696">
        <v>20010112</v>
      </c>
      <c r="S1694" s="375" t="s">
        <v>11135</v>
      </c>
      <c r="T1694" s="697">
        <v>0.23100000000000001</v>
      </c>
      <c r="U1694" s="372" t="s">
        <v>11136</v>
      </c>
      <c r="V1694" s="722">
        <v>5.29</v>
      </c>
      <c r="W1694" s="722">
        <v>0.44</v>
      </c>
      <c r="X1694" s="722">
        <v>1.35</v>
      </c>
      <c r="Y1694" s="722">
        <v>4.6100000000000003</v>
      </c>
      <c r="Z1694" s="382">
        <v>4.5407553652947019E-2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759</v>
      </c>
      <c r="AF1694" s="372">
        <v>795</v>
      </c>
      <c r="AG1694" s="372">
        <v>843</v>
      </c>
      <c r="AH1694" s="372">
        <v>0</v>
      </c>
    </row>
    <row r="1695" spans="1:34">
      <c r="A1695" s="372" t="s">
        <v>11137</v>
      </c>
      <c r="B1695" s="373" t="s">
        <v>11138</v>
      </c>
      <c r="C1695" s="372" t="s">
        <v>11139</v>
      </c>
      <c r="D1695" s="374">
        <v>1101110822159</v>
      </c>
      <c r="E1695" s="372" t="s">
        <v>11140</v>
      </c>
      <c r="F1695" s="372" t="s">
        <v>5616</v>
      </c>
      <c r="G1695" s="375" t="s">
        <v>5616</v>
      </c>
      <c r="H1695" s="375" t="s">
        <v>858</v>
      </c>
      <c r="I1695" s="375" t="s">
        <v>859</v>
      </c>
      <c r="J1695" s="375">
        <v>214209.82386</v>
      </c>
      <c r="K1695" s="375">
        <v>2428.2186900000002</v>
      </c>
      <c r="L1695" s="375">
        <v>-130.34397999999999</v>
      </c>
      <c r="M1695" s="375">
        <v>157354.40744000001</v>
      </c>
      <c r="N1695" s="372">
        <v>0.59199999999999997</v>
      </c>
      <c r="O1695" s="704">
        <v>42.336127499879169</v>
      </c>
      <c r="P1695" s="375" t="s">
        <v>619</v>
      </c>
      <c r="Q1695" s="372" t="s">
        <v>619</v>
      </c>
      <c r="R1695" s="696">
        <v>20090423</v>
      </c>
      <c r="S1695" s="372" t="s">
        <v>11141</v>
      </c>
      <c r="T1695" s="697" t="s">
        <v>768</v>
      </c>
      <c r="U1695" s="372" t="s">
        <v>11142</v>
      </c>
      <c r="V1695" s="722">
        <v>0</v>
      </c>
      <c r="W1695" s="722">
        <v>0</v>
      </c>
      <c r="X1695" s="722">
        <v>0</v>
      </c>
      <c r="Y1695" s="722">
        <v>0</v>
      </c>
      <c r="Z1695" s="382" t="s">
        <v>924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11143</v>
      </c>
      <c r="B1696" s="373" t="s">
        <v>11144</v>
      </c>
      <c r="C1696" s="372" t="s">
        <v>11145</v>
      </c>
      <c r="D1696" s="374">
        <v>1352110033862</v>
      </c>
      <c r="E1696" s="372" t="s">
        <v>11146</v>
      </c>
      <c r="F1696" s="375" t="s">
        <v>1272</v>
      </c>
      <c r="G1696" s="375" t="s">
        <v>1272</v>
      </c>
      <c r="H1696" s="375" t="s">
        <v>858</v>
      </c>
      <c r="I1696" s="375" t="s">
        <v>859</v>
      </c>
      <c r="J1696" s="375">
        <v>199758.54762999999</v>
      </c>
      <c r="K1696" s="375">
        <v>3869.9523300000001</v>
      </c>
      <c r="L1696" s="375">
        <v>5478.4975599999998</v>
      </c>
      <c r="M1696" s="375">
        <v>70760.753859999997</v>
      </c>
      <c r="N1696" s="372">
        <v>0.624</v>
      </c>
      <c r="O1696" s="704">
        <v>0.65103727541510614</v>
      </c>
      <c r="P1696" s="375" t="s">
        <v>619</v>
      </c>
      <c r="Q1696" s="372" t="s">
        <v>619</v>
      </c>
      <c r="R1696" s="696">
        <v>20180828</v>
      </c>
      <c r="S1696" s="372" t="s">
        <v>11147</v>
      </c>
      <c r="T1696" s="697">
        <v>0.20900000000000002</v>
      </c>
      <c r="U1696" s="372" t="s">
        <v>11148</v>
      </c>
      <c r="V1696" s="722">
        <v>5.29</v>
      </c>
      <c r="W1696" s="722">
        <v>0.73</v>
      </c>
      <c r="X1696" s="722">
        <v>0.28999999999999998</v>
      </c>
      <c r="Y1696" s="722">
        <v>9.81</v>
      </c>
      <c r="Z1696" s="382" t="s">
        <v>924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11149</v>
      </c>
      <c r="B1697" s="373" t="s">
        <v>11150</v>
      </c>
      <c r="C1697" s="372" t="s">
        <v>11151</v>
      </c>
      <c r="D1697" s="374">
        <v>1201110140484</v>
      </c>
      <c r="E1697" s="372" t="s">
        <v>11152</v>
      </c>
      <c r="F1697" s="372" t="s">
        <v>995</v>
      </c>
      <c r="G1697" s="375" t="s">
        <v>996</v>
      </c>
      <c r="H1697" s="375" t="s">
        <v>858</v>
      </c>
      <c r="I1697" s="375" t="s">
        <v>859</v>
      </c>
      <c r="J1697" s="375">
        <v>223229.75307999999</v>
      </c>
      <c r="K1697" s="375">
        <v>11711.304529999999</v>
      </c>
      <c r="L1697" s="375">
        <v>11609.044830000001</v>
      </c>
      <c r="M1697" s="375">
        <v>104995.40832</v>
      </c>
      <c r="N1697" s="372">
        <v>0.96799999999999997</v>
      </c>
      <c r="O1697" s="704">
        <v>64.708125714934141</v>
      </c>
      <c r="P1697" s="375" t="s">
        <v>619</v>
      </c>
      <c r="Q1697" s="372" t="s">
        <v>619</v>
      </c>
      <c r="R1697" s="696">
        <v>20071024</v>
      </c>
      <c r="S1697" s="372" t="s">
        <v>11153</v>
      </c>
      <c r="T1697" s="697">
        <v>0.20900000000000002</v>
      </c>
      <c r="U1697" s="372" t="s">
        <v>11154</v>
      </c>
      <c r="V1697" s="722">
        <v>3.5</v>
      </c>
      <c r="W1697" s="722">
        <v>0.54</v>
      </c>
      <c r="X1697" s="722">
        <v>0.26</v>
      </c>
      <c r="Y1697" s="722">
        <v>5.6</v>
      </c>
      <c r="Z1697" s="382" t="s">
        <v>924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11155</v>
      </c>
      <c r="B1698" s="373" t="s">
        <v>11156</v>
      </c>
      <c r="C1698" s="372" t="s">
        <v>11157</v>
      </c>
      <c r="D1698" s="374">
        <v>1801110515685</v>
      </c>
      <c r="E1698" s="372" t="s">
        <v>11158</v>
      </c>
      <c r="F1698" s="372" t="s">
        <v>2861</v>
      </c>
      <c r="G1698" s="375" t="s">
        <v>2862</v>
      </c>
      <c r="H1698" s="375" t="s">
        <v>858</v>
      </c>
      <c r="I1698" s="375" t="s">
        <v>859</v>
      </c>
      <c r="J1698" s="375">
        <v>54120.397349999999</v>
      </c>
      <c r="K1698" s="375">
        <v>8298.7826700000005</v>
      </c>
      <c r="L1698" s="375">
        <v>6916.3086000000003</v>
      </c>
      <c r="M1698" s="375">
        <v>65405.395570000001</v>
      </c>
      <c r="N1698" s="372">
        <v>0.87</v>
      </c>
      <c r="O1698" s="704">
        <v>34.677245170344264</v>
      </c>
      <c r="P1698" s="375" t="s">
        <v>619</v>
      </c>
      <c r="Q1698" s="372" t="s">
        <v>619</v>
      </c>
      <c r="R1698" s="696">
        <v>20220207</v>
      </c>
      <c r="S1698" s="372" t="s">
        <v>11159</v>
      </c>
      <c r="T1698" s="697">
        <v>0.20900000000000002</v>
      </c>
      <c r="U1698" s="372" t="s">
        <v>11160</v>
      </c>
      <c r="V1698" s="722">
        <v>9.68</v>
      </c>
      <c r="W1698" s="722">
        <v>1.23</v>
      </c>
      <c r="X1698" s="722">
        <v>1.5</v>
      </c>
      <c r="Y1698" s="722">
        <v>19.100000000000001</v>
      </c>
      <c r="Z1698" s="382">
        <v>0.23208240759352128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585.5</v>
      </c>
      <c r="AF1698" s="372">
        <v>791.5</v>
      </c>
      <c r="AG1698" s="372">
        <v>1100</v>
      </c>
      <c r="AH1698" s="372">
        <v>0</v>
      </c>
    </row>
    <row r="1699" spans="1:34">
      <c r="A1699" s="372" t="s">
        <v>11161</v>
      </c>
      <c r="B1699" s="373" t="s">
        <v>11162</v>
      </c>
      <c r="C1699" s="372" t="s">
        <v>11163</v>
      </c>
      <c r="D1699" s="374">
        <v>1101110944036</v>
      </c>
      <c r="E1699" s="372" t="s">
        <v>11164</v>
      </c>
      <c r="F1699" s="375" t="s">
        <v>1793</v>
      </c>
      <c r="G1699" s="375" t="s">
        <v>2794</v>
      </c>
      <c r="H1699" s="375" t="s">
        <v>858</v>
      </c>
      <c r="I1699" s="375" t="s">
        <v>859</v>
      </c>
      <c r="J1699" s="375">
        <v>60578.703670000003</v>
      </c>
      <c r="K1699" s="375">
        <v>2532.37419</v>
      </c>
      <c r="L1699" s="375">
        <v>3661.3120199999998</v>
      </c>
      <c r="M1699" s="375">
        <v>47522.99368</v>
      </c>
      <c r="N1699" s="372">
        <v>0.71599999999999997</v>
      </c>
      <c r="O1699" s="704">
        <v>4.9859033213155399</v>
      </c>
      <c r="P1699" s="375" t="s">
        <v>619</v>
      </c>
      <c r="Q1699" s="372" t="s">
        <v>619</v>
      </c>
      <c r="R1699" s="696">
        <v>20200812</v>
      </c>
      <c r="S1699" s="372" t="s">
        <v>11165</v>
      </c>
      <c r="T1699" s="697">
        <v>0.20900000000000002</v>
      </c>
      <c r="U1699" s="372" t="s">
        <v>11166</v>
      </c>
      <c r="V1699" s="722">
        <v>16.38</v>
      </c>
      <c r="W1699" s="722">
        <v>1.22</v>
      </c>
      <c r="X1699" s="722">
        <v>0.96</v>
      </c>
      <c r="Y1699" s="722">
        <v>18.2</v>
      </c>
      <c r="Z1699" s="382" t="s">
        <v>924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11167</v>
      </c>
      <c r="B1700" s="373" t="s">
        <v>11168</v>
      </c>
      <c r="C1700" s="372" t="s">
        <v>16278</v>
      </c>
      <c r="D1700" s="374">
        <v>1101112192493</v>
      </c>
      <c r="E1700" s="372" t="s">
        <v>16279</v>
      </c>
      <c r="F1700" s="372" t="s">
        <v>6614</v>
      </c>
      <c r="G1700" s="375" t="s">
        <v>6614</v>
      </c>
      <c r="H1700" s="375" t="s">
        <v>3096</v>
      </c>
      <c r="I1700" s="375" t="s">
        <v>859</v>
      </c>
      <c r="J1700" s="375">
        <v>0</v>
      </c>
      <c r="K1700" s="375">
        <v>0</v>
      </c>
      <c r="L1700" s="375">
        <v>0</v>
      </c>
      <c r="M1700" s="375">
        <v>47978.847459999997</v>
      </c>
      <c r="N1700" s="372">
        <v>0.44500000000000001</v>
      </c>
      <c r="O1700" s="704">
        <v>24.949923538492069</v>
      </c>
      <c r="P1700" s="375" t="s">
        <v>619</v>
      </c>
      <c r="Q1700" s="372" t="s">
        <v>619</v>
      </c>
      <c r="R1700" s="696">
        <v>20071205</v>
      </c>
      <c r="S1700" s="372" t="s">
        <v>11169</v>
      </c>
      <c r="T1700" s="697" t="s">
        <v>768</v>
      </c>
      <c r="U1700" s="372" t="s">
        <v>11170</v>
      </c>
      <c r="V1700" s="722">
        <v>0</v>
      </c>
      <c r="W1700" s="722">
        <v>1.19</v>
      </c>
      <c r="X1700" s="722">
        <v>0</v>
      </c>
      <c r="Y1700" s="722">
        <v>0</v>
      </c>
      <c r="Z1700" s="382" t="s">
        <v>924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11171</v>
      </c>
      <c r="B1701" s="373" t="s">
        <v>11172</v>
      </c>
      <c r="C1701" s="372" t="s">
        <v>11173</v>
      </c>
      <c r="D1701" s="374">
        <v>1101110286412</v>
      </c>
      <c r="E1701" s="372" t="s">
        <v>11174</v>
      </c>
      <c r="F1701" s="375" t="s">
        <v>842</v>
      </c>
      <c r="G1701" s="375" t="s">
        <v>842</v>
      </c>
      <c r="H1701" s="375" t="s">
        <v>843</v>
      </c>
      <c r="I1701" s="375" t="s">
        <v>751</v>
      </c>
      <c r="J1701" s="375">
        <v>261650.23131</v>
      </c>
      <c r="K1701" s="375">
        <v>-3488.3045400000001</v>
      </c>
      <c r="L1701" s="375">
        <v>-43062.702380000002</v>
      </c>
      <c r="M1701" s="375">
        <v>182314.86958</v>
      </c>
      <c r="N1701" s="372">
        <v>0.62</v>
      </c>
      <c r="O1701" s="704">
        <v>56.705737728132789</v>
      </c>
      <c r="P1701" s="375" t="s">
        <v>619</v>
      </c>
      <c r="Q1701" s="372" t="s">
        <v>619</v>
      </c>
      <c r="R1701" s="696">
        <v>19880831</v>
      </c>
      <c r="S1701" s="372" t="s">
        <v>15926</v>
      </c>
      <c r="T1701" s="697" t="s">
        <v>768</v>
      </c>
      <c r="U1701" s="372" t="s">
        <v>15927</v>
      </c>
      <c r="V1701" s="722">
        <v>19.75</v>
      </c>
      <c r="W1701" s="722">
        <v>0.84</v>
      </c>
      <c r="X1701" s="722">
        <v>0.2</v>
      </c>
      <c r="Y1701" s="722" t="s">
        <v>770</v>
      </c>
      <c r="Z1701" s="382" t="s">
        <v>924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11175</v>
      </c>
      <c r="B1702" s="373" t="s">
        <v>11176</v>
      </c>
      <c r="C1702" s="372" t="s">
        <v>11177</v>
      </c>
      <c r="D1702" s="374">
        <v>1101110274699</v>
      </c>
      <c r="E1702" s="372" t="s">
        <v>11178</v>
      </c>
      <c r="F1702" s="375" t="s">
        <v>1381</v>
      </c>
      <c r="G1702" s="375" t="s">
        <v>1382</v>
      </c>
      <c r="H1702" s="375" t="s">
        <v>1383</v>
      </c>
      <c r="I1702" s="375" t="s">
        <v>751</v>
      </c>
      <c r="J1702" s="375">
        <v>1578308.1408500001</v>
      </c>
      <c r="K1702" s="375">
        <v>63695.291620000004</v>
      </c>
      <c r="L1702" s="375">
        <v>48049.528250000003</v>
      </c>
      <c r="M1702" s="375">
        <v>476065.87050999998</v>
      </c>
      <c r="N1702" s="372">
        <v>0.68400000000000005</v>
      </c>
      <c r="O1702" s="704">
        <v>927.89475022186014</v>
      </c>
      <c r="P1702" s="375" t="s">
        <v>619</v>
      </c>
      <c r="Q1702" s="372" t="s">
        <v>619</v>
      </c>
      <c r="R1702" s="696">
        <v>19940812</v>
      </c>
      <c r="S1702" s="372" t="s">
        <v>11179</v>
      </c>
      <c r="T1702" s="697">
        <v>0.23100000000000001</v>
      </c>
      <c r="U1702" s="372" t="s">
        <v>15928</v>
      </c>
      <c r="V1702" s="722">
        <v>10.38</v>
      </c>
      <c r="W1702" s="722">
        <v>0.24</v>
      </c>
      <c r="X1702" s="722">
        <v>7.0000000000000007E-2</v>
      </c>
      <c r="Y1702" s="722">
        <v>2.9</v>
      </c>
      <c r="Z1702" s="382">
        <v>-2.0383108635282365E-3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15266.2</v>
      </c>
      <c r="AF1702" s="372">
        <v>15096</v>
      </c>
      <c r="AG1702" s="372">
        <v>15592</v>
      </c>
      <c r="AH1702" s="372">
        <v>14960</v>
      </c>
    </row>
    <row r="1703" spans="1:34">
      <c r="A1703" s="372" t="s">
        <v>11180</v>
      </c>
      <c r="B1703" s="373" t="s">
        <v>11181</v>
      </c>
      <c r="C1703" s="372" t="s">
        <v>11182</v>
      </c>
      <c r="D1703" s="374">
        <v>1345110053211</v>
      </c>
      <c r="E1703" s="372" t="s">
        <v>11183</v>
      </c>
      <c r="F1703" s="375" t="s">
        <v>821</v>
      </c>
      <c r="G1703" s="375" t="s">
        <v>16105</v>
      </c>
      <c r="H1703" s="375" t="s">
        <v>858</v>
      </c>
      <c r="I1703" s="375" t="s">
        <v>859</v>
      </c>
      <c r="J1703" s="375">
        <v>44407.80631</v>
      </c>
      <c r="K1703" s="375">
        <v>-1882.2501500000001</v>
      </c>
      <c r="L1703" s="375">
        <v>-2964.6404299999999</v>
      </c>
      <c r="M1703" s="375">
        <v>48233.311829999999</v>
      </c>
      <c r="N1703" s="372">
        <v>1.113</v>
      </c>
      <c r="O1703" s="704">
        <v>106.05244023161369</v>
      </c>
      <c r="P1703" s="375" t="s">
        <v>619</v>
      </c>
      <c r="Q1703" s="375" t="s">
        <v>619</v>
      </c>
      <c r="R1703" s="696">
        <v>20131118</v>
      </c>
      <c r="S1703" s="375" t="s">
        <v>11184</v>
      </c>
      <c r="T1703" s="697" t="s">
        <v>768</v>
      </c>
      <c r="U1703" s="372" t="s">
        <v>11185</v>
      </c>
      <c r="V1703" s="722">
        <v>81.48</v>
      </c>
      <c r="W1703" s="722">
        <v>1.26</v>
      </c>
      <c r="X1703" s="722">
        <v>1.36</v>
      </c>
      <c r="Y1703" s="722" t="s">
        <v>770</v>
      </c>
      <c r="Z1703" s="382" t="s">
        <v>924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11186</v>
      </c>
      <c r="B1704" s="373" t="s">
        <v>11187</v>
      </c>
      <c r="C1704" s="372" t="s">
        <v>11188</v>
      </c>
      <c r="D1704" s="374">
        <v>1201110517154</v>
      </c>
      <c r="E1704" s="372" t="s">
        <v>11189</v>
      </c>
      <c r="F1704" s="372" t="s">
        <v>2167</v>
      </c>
      <c r="G1704" s="375" t="s">
        <v>11190</v>
      </c>
      <c r="H1704" s="375" t="s">
        <v>858</v>
      </c>
      <c r="I1704" s="375" t="s">
        <v>859</v>
      </c>
      <c r="J1704" s="375">
        <v>103955.29094000001</v>
      </c>
      <c r="K1704" s="375">
        <v>-9666.7857000000004</v>
      </c>
      <c r="L1704" s="375">
        <v>-40598.277419999999</v>
      </c>
      <c r="M1704" s="375">
        <v>83193.767120000004</v>
      </c>
      <c r="N1704" s="372">
        <v>9.4E-2</v>
      </c>
      <c r="O1704" s="704">
        <v>28.664134787019702</v>
      </c>
      <c r="P1704" s="375" t="s">
        <v>619</v>
      </c>
      <c r="Q1704" s="372" t="s">
        <v>619</v>
      </c>
      <c r="R1704" s="696">
        <v>20180126</v>
      </c>
      <c r="S1704" s="372" t="s">
        <v>11191</v>
      </c>
      <c r="T1704" s="697" t="s">
        <v>768</v>
      </c>
      <c r="U1704" s="372" t="s">
        <v>11192</v>
      </c>
      <c r="V1704" s="722" t="s">
        <v>770</v>
      </c>
      <c r="W1704" s="722">
        <v>2.11</v>
      </c>
      <c r="X1704" s="722">
        <v>1.56</v>
      </c>
      <c r="Y1704" s="722" t="s">
        <v>770</v>
      </c>
      <c r="Z1704" s="382" t="s">
        <v>924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11193</v>
      </c>
      <c r="B1705" s="373" t="s">
        <v>11194</v>
      </c>
      <c r="C1705" s="372" t="s">
        <v>11195</v>
      </c>
      <c r="D1705" s="374">
        <v>1801110007088</v>
      </c>
      <c r="E1705" s="372" t="s">
        <v>11196</v>
      </c>
      <c r="F1705" s="375" t="s">
        <v>1679</v>
      </c>
      <c r="G1705" s="375" t="s">
        <v>1680</v>
      </c>
      <c r="H1705" s="375" t="s">
        <v>823</v>
      </c>
      <c r="I1705" s="375" t="s">
        <v>751</v>
      </c>
      <c r="J1705" s="375">
        <v>248546.43423000001</v>
      </c>
      <c r="K1705" s="375">
        <v>4393.97577</v>
      </c>
      <c r="L1705" s="375">
        <v>13271.704</v>
      </c>
      <c r="M1705" s="375">
        <v>183510.51303</v>
      </c>
      <c r="N1705" s="372">
        <v>0.71599999999999997</v>
      </c>
      <c r="O1705" s="704">
        <v>216.39392867714221</v>
      </c>
      <c r="P1705" s="375" t="s">
        <v>619</v>
      </c>
      <c r="Q1705" s="375" t="s">
        <v>619</v>
      </c>
      <c r="R1705" s="696">
        <v>19761227</v>
      </c>
      <c r="S1705" s="372" t="s">
        <v>11197</v>
      </c>
      <c r="T1705" s="697">
        <v>0.20900000000000002</v>
      </c>
      <c r="U1705" s="372" t="s">
        <v>11198</v>
      </c>
      <c r="V1705" s="722">
        <v>19.07</v>
      </c>
      <c r="W1705" s="722">
        <v>0.44</v>
      </c>
      <c r="X1705" s="722">
        <v>0.34</v>
      </c>
      <c r="Y1705" s="722">
        <v>6.23</v>
      </c>
      <c r="Z1705" s="382" t="s">
        <v>924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11199</v>
      </c>
      <c r="B1706" s="373" t="s">
        <v>11200</v>
      </c>
      <c r="C1706" s="372" t="s">
        <v>16025</v>
      </c>
      <c r="D1706" s="374">
        <v>1747110001791</v>
      </c>
      <c r="E1706" s="372" t="s">
        <v>11201</v>
      </c>
      <c r="F1706" s="375" t="s">
        <v>2989</v>
      </c>
      <c r="G1706" s="375" t="s">
        <v>2989</v>
      </c>
      <c r="H1706" s="375" t="s">
        <v>858</v>
      </c>
      <c r="I1706" s="375" t="s">
        <v>859</v>
      </c>
      <c r="J1706" s="375">
        <v>381856.91872000002</v>
      </c>
      <c r="K1706" s="375">
        <v>27069.43316</v>
      </c>
      <c r="L1706" s="375">
        <v>22004.86348</v>
      </c>
      <c r="M1706" s="375">
        <v>120462.48517</v>
      </c>
      <c r="N1706" s="372">
        <v>0.98299999999999998</v>
      </c>
      <c r="O1706" s="704">
        <v>206.39042252389439</v>
      </c>
      <c r="P1706" s="375" t="s">
        <v>619</v>
      </c>
      <c r="Q1706" s="372" t="s">
        <v>619</v>
      </c>
      <c r="R1706" s="696">
        <v>20020205</v>
      </c>
      <c r="S1706" s="372" t="s">
        <v>11202</v>
      </c>
      <c r="T1706" s="697">
        <v>0.23100000000000001</v>
      </c>
      <c r="U1706" s="372" t="s">
        <v>11203</v>
      </c>
      <c r="V1706" s="722">
        <v>3.58</v>
      </c>
      <c r="W1706" s="722">
        <v>0.53</v>
      </c>
      <c r="X1706" s="722">
        <v>0.17</v>
      </c>
      <c r="Y1706" s="722">
        <v>3.39</v>
      </c>
      <c r="Z1706" s="382" t="s">
        <v>924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11204</v>
      </c>
      <c r="B1707" s="373" t="s">
        <v>11205</v>
      </c>
      <c r="C1707" s="372" t="s">
        <v>16026</v>
      </c>
      <c r="D1707" s="374">
        <v>1301110004620</v>
      </c>
      <c r="E1707" s="372" t="s">
        <v>16027</v>
      </c>
      <c r="F1707" s="375" t="s">
        <v>1066</v>
      </c>
      <c r="G1707" s="375" t="s">
        <v>1066</v>
      </c>
      <c r="H1707" s="375" t="s">
        <v>3096</v>
      </c>
      <c r="I1707" s="375" t="s">
        <v>859</v>
      </c>
      <c r="J1707" s="375">
        <v>95995.645579999997</v>
      </c>
      <c r="K1707" s="375">
        <v>-14790.92477</v>
      </c>
      <c r="L1707" s="375">
        <v>-15215.5934</v>
      </c>
      <c r="M1707" s="375">
        <v>176841.30593</v>
      </c>
      <c r="N1707" s="372">
        <v>1.095</v>
      </c>
      <c r="O1707" s="704">
        <v>0.4284254247678197</v>
      </c>
      <c r="P1707" s="375" t="s">
        <v>619</v>
      </c>
      <c r="Q1707" s="375" t="s">
        <v>619</v>
      </c>
      <c r="R1707" s="696">
        <v>20030702</v>
      </c>
      <c r="S1707" s="375" t="s">
        <v>16028</v>
      </c>
      <c r="T1707" s="697" t="s">
        <v>768</v>
      </c>
      <c r="U1707" s="372" t="s">
        <v>11206</v>
      </c>
      <c r="V1707" s="722" t="s">
        <v>770</v>
      </c>
      <c r="W1707" s="722">
        <v>0.39</v>
      </c>
      <c r="X1707" s="722">
        <v>0.74</v>
      </c>
      <c r="Y1707" s="722" t="s">
        <v>770</v>
      </c>
      <c r="Z1707" s="382" t="s">
        <v>924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11207</v>
      </c>
      <c r="B1708" s="373" t="s">
        <v>11208</v>
      </c>
      <c r="C1708" s="372" t="s">
        <v>11209</v>
      </c>
      <c r="D1708" s="374">
        <v>1101113403972</v>
      </c>
      <c r="E1708" s="372" t="s">
        <v>11210</v>
      </c>
      <c r="F1708" s="375" t="s">
        <v>16098</v>
      </c>
      <c r="G1708" s="375" t="s">
        <v>16098</v>
      </c>
      <c r="H1708" s="375" t="s">
        <v>858</v>
      </c>
      <c r="I1708" s="375" t="s">
        <v>859</v>
      </c>
      <c r="J1708" s="375">
        <v>7283.3545999999997</v>
      </c>
      <c r="K1708" s="375">
        <v>-9827.8905400000003</v>
      </c>
      <c r="L1708" s="375">
        <v>-10408.717919999999</v>
      </c>
      <c r="M1708" s="375">
        <v>82509.410610000006</v>
      </c>
      <c r="N1708" s="372">
        <v>0.84799999999999998</v>
      </c>
      <c r="O1708" s="704">
        <v>47.200877114037141</v>
      </c>
      <c r="P1708" s="375" t="s">
        <v>619</v>
      </c>
      <c r="Q1708" s="372" t="s">
        <v>619</v>
      </c>
      <c r="R1708" s="696">
        <v>20150803</v>
      </c>
      <c r="S1708" s="372" t="s">
        <v>11211</v>
      </c>
      <c r="T1708" s="697" t="s">
        <v>768</v>
      </c>
      <c r="U1708" s="372" t="s">
        <v>11212</v>
      </c>
      <c r="V1708" s="722" t="s">
        <v>770</v>
      </c>
      <c r="W1708" s="722">
        <v>0.64</v>
      </c>
      <c r="X1708" s="722">
        <v>8.19</v>
      </c>
      <c r="Y1708" s="722" t="s">
        <v>770</v>
      </c>
      <c r="Z1708" s="382" t="s">
        <v>924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11213</v>
      </c>
      <c r="B1709" s="373" t="s">
        <v>11214</v>
      </c>
      <c r="C1709" s="372" t="s">
        <v>11215</v>
      </c>
      <c r="D1709" s="374">
        <v>1648110010780</v>
      </c>
      <c r="E1709" s="372" t="s">
        <v>11216</v>
      </c>
      <c r="F1709" s="375" t="s">
        <v>11217</v>
      </c>
      <c r="G1709" s="375" t="s">
        <v>11217</v>
      </c>
      <c r="H1709" s="375" t="s">
        <v>858</v>
      </c>
      <c r="I1709" s="375" t="s">
        <v>859</v>
      </c>
      <c r="J1709" s="375">
        <v>140965.4896</v>
      </c>
      <c r="K1709" s="375">
        <v>13225.427170000001</v>
      </c>
      <c r="L1709" s="375">
        <v>10987.58993</v>
      </c>
      <c r="M1709" s="375">
        <v>119952.94843</v>
      </c>
      <c r="N1709" s="372">
        <v>1.069</v>
      </c>
      <c r="O1709" s="704">
        <v>78.371347920714001</v>
      </c>
      <c r="P1709" s="375" t="s">
        <v>619</v>
      </c>
      <c r="Q1709" s="372" t="s">
        <v>619</v>
      </c>
      <c r="R1709" s="696">
        <v>20050114</v>
      </c>
      <c r="S1709" s="372" t="s">
        <v>11218</v>
      </c>
      <c r="T1709" s="697">
        <v>0.20900000000000002</v>
      </c>
      <c r="U1709" s="372" t="s">
        <v>15929</v>
      </c>
      <c r="V1709" s="722">
        <v>3.03</v>
      </c>
      <c r="W1709" s="722">
        <v>0.46</v>
      </c>
      <c r="X1709" s="722">
        <v>0.4</v>
      </c>
      <c r="Y1709" s="722">
        <v>5.96</v>
      </c>
      <c r="Z1709" s="382" t="s">
        <v>924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11219</v>
      </c>
      <c r="B1710" s="373" t="s">
        <v>11220</v>
      </c>
      <c r="C1710" s="372" t="s">
        <v>11221</v>
      </c>
      <c r="D1710" s="374">
        <v>1101111201071</v>
      </c>
      <c r="E1710" s="372" t="s">
        <v>11222</v>
      </c>
      <c r="F1710" s="375" t="s">
        <v>2515</v>
      </c>
      <c r="G1710" s="375" t="s">
        <v>2515</v>
      </c>
      <c r="H1710" s="375" t="s">
        <v>1334</v>
      </c>
      <c r="I1710" s="375" t="s">
        <v>859</v>
      </c>
      <c r="J1710" s="375">
        <v>36448.409440000003</v>
      </c>
      <c r="K1710" s="375">
        <v>1324.4733799999999</v>
      </c>
      <c r="L1710" s="375">
        <v>3707.9501</v>
      </c>
      <c r="M1710" s="375">
        <v>87004.30575</v>
      </c>
      <c r="N1710" s="372">
        <v>0.49</v>
      </c>
      <c r="O1710" s="704">
        <v>3.4996635086018615</v>
      </c>
      <c r="P1710" s="375" t="s">
        <v>619</v>
      </c>
      <c r="Q1710" s="372" t="s">
        <v>619</v>
      </c>
      <c r="R1710" s="696">
        <v>19970806</v>
      </c>
      <c r="S1710" s="372" t="s">
        <v>11223</v>
      </c>
      <c r="T1710" s="697">
        <v>0.20900000000000002</v>
      </c>
      <c r="U1710" s="375" t="s">
        <v>11224</v>
      </c>
      <c r="V1710" s="722">
        <v>14.07</v>
      </c>
      <c r="W1710" s="722">
        <v>0.69</v>
      </c>
      <c r="X1710" s="722">
        <v>1.64</v>
      </c>
      <c r="Y1710" s="722">
        <v>21.65</v>
      </c>
      <c r="Z1710" s="382" t="s">
        <v>924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11225</v>
      </c>
      <c r="B1711" s="373" t="s">
        <v>11226</v>
      </c>
      <c r="C1711" s="372" t="s">
        <v>11227</v>
      </c>
      <c r="D1711" s="374">
        <v>1615110030026</v>
      </c>
      <c r="E1711" s="372" t="s">
        <v>11228</v>
      </c>
      <c r="F1711" s="375" t="s">
        <v>1860</v>
      </c>
      <c r="G1711" s="375" t="s">
        <v>1861</v>
      </c>
      <c r="H1711" s="375" t="s">
        <v>789</v>
      </c>
      <c r="I1711" s="375" t="s">
        <v>751</v>
      </c>
      <c r="J1711" s="375">
        <v>142948.60041000001</v>
      </c>
      <c r="K1711" s="375">
        <v>-2187.4821900000002</v>
      </c>
      <c r="L1711" s="375">
        <v>3633.4687899999999</v>
      </c>
      <c r="M1711" s="375">
        <v>236858.36605000001</v>
      </c>
      <c r="N1711" s="372">
        <v>0.38200000000000001</v>
      </c>
      <c r="O1711" s="704">
        <v>0.94210976328191942</v>
      </c>
      <c r="P1711" s="375" t="s">
        <v>619</v>
      </c>
      <c r="Q1711" s="372" t="s">
        <v>619</v>
      </c>
      <c r="R1711" s="696">
        <v>20051021</v>
      </c>
      <c r="S1711" s="372" t="s">
        <v>11229</v>
      </c>
      <c r="T1711" s="697">
        <v>0.20900000000000002</v>
      </c>
      <c r="U1711" s="372" t="s">
        <v>11230</v>
      </c>
      <c r="V1711" s="722">
        <v>12.95</v>
      </c>
      <c r="W1711" s="722">
        <v>0.32</v>
      </c>
      <c r="X1711" s="722">
        <v>0.52</v>
      </c>
      <c r="Y1711" s="722">
        <v>27.52</v>
      </c>
      <c r="Z1711" s="382" t="s">
        <v>924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11231</v>
      </c>
      <c r="B1712" s="373" t="s">
        <v>11232</v>
      </c>
      <c r="C1712" s="372" t="s">
        <v>11233</v>
      </c>
      <c r="D1712" s="374">
        <v>1101110425432</v>
      </c>
      <c r="E1712" s="372" t="s">
        <v>11234</v>
      </c>
      <c r="F1712" s="375" t="s">
        <v>5697</v>
      </c>
      <c r="G1712" s="375" t="s">
        <v>5698</v>
      </c>
      <c r="H1712" s="375" t="s">
        <v>3096</v>
      </c>
      <c r="I1712" s="375" t="s">
        <v>859</v>
      </c>
      <c r="J1712" s="375">
        <v>274590.42783</v>
      </c>
      <c r="K1712" s="375">
        <v>4048.2712000000001</v>
      </c>
      <c r="L1712" s="375">
        <v>4834.1935299999996</v>
      </c>
      <c r="M1712" s="375">
        <v>107547.46765000001</v>
      </c>
      <c r="N1712" s="372">
        <v>1.335</v>
      </c>
      <c r="O1712" s="704">
        <v>32.570298680054236</v>
      </c>
      <c r="P1712" s="375" t="s">
        <v>619</v>
      </c>
      <c r="Q1712" s="375" t="s">
        <v>619</v>
      </c>
      <c r="R1712" s="696">
        <v>19951028</v>
      </c>
      <c r="S1712" s="375" t="s">
        <v>11235</v>
      </c>
      <c r="T1712" s="697">
        <v>0.20900000000000002</v>
      </c>
      <c r="U1712" s="372" t="s">
        <v>11236</v>
      </c>
      <c r="V1712" s="722">
        <v>10.220000000000001</v>
      </c>
      <c r="W1712" s="722">
        <v>0.53</v>
      </c>
      <c r="X1712" s="722">
        <v>0.21</v>
      </c>
      <c r="Y1712" s="722">
        <v>16.12</v>
      </c>
      <c r="Z1712" s="382" t="s">
        <v>924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11237</v>
      </c>
      <c r="B1713" s="373" t="s">
        <v>11238</v>
      </c>
      <c r="C1713" s="372" t="s">
        <v>11239</v>
      </c>
      <c r="D1713" s="374">
        <v>1101110657499</v>
      </c>
      <c r="E1713" s="372" t="s">
        <v>11240</v>
      </c>
      <c r="F1713" s="375" t="s">
        <v>1354</v>
      </c>
      <c r="G1713" s="375" t="s">
        <v>1354</v>
      </c>
      <c r="H1713" s="375" t="s">
        <v>858</v>
      </c>
      <c r="I1713" s="375" t="s">
        <v>859</v>
      </c>
      <c r="J1713" s="375">
        <v>39040.419439999998</v>
      </c>
      <c r="K1713" s="375">
        <v>-2781.1989199999998</v>
      </c>
      <c r="L1713" s="375">
        <v>-3542.9600999999998</v>
      </c>
      <c r="M1713" s="375">
        <v>18875.965329999999</v>
      </c>
      <c r="N1713" s="372">
        <v>0.503</v>
      </c>
      <c r="O1713" s="704">
        <v>18.817834759450477</v>
      </c>
      <c r="P1713" s="375" t="s">
        <v>619</v>
      </c>
      <c r="Q1713" s="375" t="s">
        <v>619</v>
      </c>
      <c r="R1713" s="696">
        <v>20060725</v>
      </c>
      <c r="S1713" s="375" t="s">
        <v>11241</v>
      </c>
      <c r="T1713" s="697" t="s">
        <v>768</v>
      </c>
      <c r="U1713" s="372" t="s">
        <v>11242</v>
      </c>
      <c r="V1713" s="722" t="s">
        <v>770</v>
      </c>
      <c r="W1713" s="722">
        <v>2.74</v>
      </c>
      <c r="X1713" s="722">
        <v>1.41</v>
      </c>
      <c r="Y1713" s="722" t="s">
        <v>770</v>
      </c>
      <c r="Z1713" s="382" t="s">
        <v>924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11243</v>
      </c>
      <c r="B1714" s="373" t="s">
        <v>11244</v>
      </c>
      <c r="C1714" s="372" t="s">
        <v>11245</v>
      </c>
      <c r="D1714" s="374">
        <v>1101114249458</v>
      </c>
      <c r="E1714" s="372" t="s">
        <v>11246</v>
      </c>
      <c r="F1714" s="375" t="s">
        <v>877</v>
      </c>
      <c r="G1714" s="375" t="s">
        <v>877</v>
      </c>
      <c r="H1714" s="375" t="s">
        <v>858</v>
      </c>
      <c r="I1714" s="375" t="s">
        <v>859</v>
      </c>
      <c r="J1714" s="375">
        <v>537731.96469000005</v>
      </c>
      <c r="K1714" s="375">
        <v>1429.7281800000001</v>
      </c>
      <c r="L1714" s="375">
        <v>-2935.5289299999999</v>
      </c>
      <c r="M1714" s="375">
        <v>166804.69980999999</v>
      </c>
      <c r="N1714" s="372">
        <v>1.0149999999999999</v>
      </c>
      <c r="O1714" s="704">
        <v>603.17720659455597</v>
      </c>
      <c r="P1714" s="375" t="s">
        <v>619</v>
      </c>
      <c r="Q1714" s="372" t="s">
        <v>619</v>
      </c>
      <c r="R1714" s="696">
        <v>20100319</v>
      </c>
      <c r="S1714" s="372" t="s">
        <v>11247</v>
      </c>
      <c r="T1714" s="697" t="s">
        <v>768</v>
      </c>
      <c r="U1714" s="372" t="s">
        <v>11248</v>
      </c>
      <c r="V1714" s="722">
        <v>8.5500000000000007</v>
      </c>
      <c r="W1714" s="722">
        <v>0.56000000000000005</v>
      </c>
      <c r="X1714" s="722">
        <v>0.11</v>
      </c>
      <c r="Y1714" s="722">
        <v>9.93</v>
      </c>
      <c r="Z1714" s="382" t="s">
        <v>924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11249</v>
      </c>
      <c r="B1715" s="373" t="s">
        <v>11250</v>
      </c>
      <c r="C1715" s="372" t="s">
        <v>11251</v>
      </c>
      <c r="D1715" s="374">
        <v>1101111634272</v>
      </c>
      <c r="E1715" s="372" t="s">
        <v>11252</v>
      </c>
      <c r="F1715" s="375" t="s">
        <v>1182</v>
      </c>
      <c r="G1715" s="375" t="s">
        <v>3112</v>
      </c>
      <c r="H1715" s="375" t="s">
        <v>858</v>
      </c>
      <c r="I1715" s="375" t="s">
        <v>859</v>
      </c>
      <c r="J1715" s="375">
        <v>60246.13003</v>
      </c>
      <c r="K1715" s="375">
        <v>1986.07025</v>
      </c>
      <c r="L1715" s="375">
        <v>1050.4599499999999</v>
      </c>
      <c r="M1715" s="375">
        <v>71569.693220000001</v>
      </c>
      <c r="N1715" s="372">
        <v>0.84499999999999997</v>
      </c>
      <c r="O1715" s="704">
        <v>17.767094082509789</v>
      </c>
      <c r="P1715" s="375" t="s">
        <v>619</v>
      </c>
      <c r="Q1715" s="372" t="s">
        <v>619</v>
      </c>
      <c r="R1715" s="696">
        <v>20170720</v>
      </c>
      <c r="S1715" s="372" t="s">
        <v>11253</v>
      </c>
      <c r="T1715" s="697">
        <v>0.20900000000000002</v>
      </c>
      <c r="U1715" s="372" t="s">
        <v>11254</v>
      </c>
      <c r="V1715" s="722">
        <v>18.27</v>
      </c>
      <c r="W1715" s="722">
        <v>0.75</v>
      </c>
      <c r="X1715" s="722">
        <v>0.92</v>
      </c>
      <c r="Y1715" s="722">
        <v>32.99</v>
      </c>
      <c r="Z1715" s="382" t="s">
        <v>924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11255</v>
      </c>
      <c r="B1716" s="373" t="s">
        <v>11256</v>
      </c>
      <c r="C1716" s="372" t="s">
        <v>11257</v>
      </c>
      <c r="D1716" s="374">
        <v>1801111522465</v>
      </c>
      <c r="E1716" s="372" t="s">
        <v>11258</v>
      </c>
      <c r="F1716" s="375" t="s">
        <v>11259</v>
      </c>
      <c r="G1716" s="375" t="s">
        <v>11259</v>
      </c>
      <c r="H1716" s="375" t="s">
        <v>906</v>
      </c>
      <c r="I1716" s="375" t="s">
        <v>751</v>
      </c>
      <c r="J1716" s="375">
        <v>63685.93821</v>
      </c>
      <c r="K1716" s="375">
        <v>8105.6578300000001</v>
      </c>
      <c r="L1716" s="375">
        <v>27979.789100000002</v>
      </c>
      <c r="M1716" s="375">
        <v>56417.89759</v>
      </c>
      <c r="N1716" s="372" t="s">
        <v>1023</v>
      </c>
      <c r="O1716" s="704">
        <v>91.524861276987536</v>
      </c>
      <c r="P1716" s="375" t="s">
        <v>619</v>
      </c>
      <c r="Q1716" s="375" t="s">
        <v>619</v>
      </c>
      <c r="R1716" s="696">
        <v>20230915</v>
      </c>
      <c r="S1716" s="375" t="s">
        <v>11260</v>
      </c>
      <c r="T1716" s="697">
        <v>0.23100000000000001</v>
      </c>
      <c r="U1716" s="372" t="s">
        <v>11261</v>
      </c>
      <c r="V1716" s="722">
        <v>7.52</v>
      </c>
      <c r="W1716" s="722">
        <v>1.83</v>
      </c>
      <c r="X1716" s="722">
        <v>1.65</v>
      </c>
      <c r="Y1716" s="722">
        <v>3.76</v>
      </c>
      <c r="Z1716" s="382" t="s">
        <v>924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11262</v>
      </c>
      <c r="B1717" s="373" t="s">
        <v>11263</v>
      </c>
      <c r="C1717" s="372" t="s">
        <v>11264</v>
      </c>
      <c r="D1717" s="374">
        <v>1201110608755</v>
      </c>
      <c r="E1717" s="372" t="s">
        <v>11265</v>
      </c>
      <c r="F1717" s="375" t="s">
        <v>1093</v>
      </c>
      <c r="G1717" s="375" t="s">
        <v>1094</v>
      </c>
      <c r="H1717" s="375" t="s">
        <v>858</v>
      </c>
      <c r="I1717" s="375" t="s">
        <v>859</v>
      </c>
      <c r="J1717" s="375">
        <v>42832.10355</v>
      </c>
      <c r="K1717" s="375">
        <v>-5936.7060099999999</v>
      </c>
      <c r="L1717" s="375">
        <v>-6181.1890899999999</v>
      </c>
      <c r="M1717" s="375">
        <v>55534.196649999998</v>
      </c>
      <c r="N1717" s="372">
        <v>0.66200000000000003</v>
      </c>
      <c r="O1717" s="704">
        <v>39.535056400700476</v>
      </c>
      <c r="P1717" s="375" t="s">
        <v>619</v>
      </c>
      <c r="Q1717" s="372" t="s">
        <v>619</v>
      </c>
      <c r="R1717" s="696">
        <v>20201202</v>
      </c>
      <c r="S1717" s="372" t="s">
        <v>11266</v>
      </c>
      <c r="T1717" s="697" t="s">
        <v>768</v>
      </c>
      <c r="U1717" s="372" t="s">
        <v>11267</v>
      </c>
      <c r="V1717" s="722">
        <v>0</v>
      </c>
      <c r="W1717" s="722">
        <v>0</v>
      </c>
      <c r="X1717" s="722">
        <v>0</v>
      </c>
      <c r="Y1717" s="722">
        <v>0</v>
      </c>
      <c r="Z1717" s="382" t="s">
        <v>924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11268</v>
      </c>
      <c r="B1718" s="373" t="s">
        <v>11269</v>
      </c>
      <c r="C1718" s="372" t="s">
        <v>11270</v>
      </c>
      <c r="D1718" s="374">
        <v>1101110668579</v>
      </c>
      <c r="E1718" s="372" t="s">
        <v>11271</v>
      </c>
      <c r="F1718" s="372" t="s">
        <v>11272</v>
      </c>
      <c r="G1718" s="375" t="s">
        <v>11273</v>
      </c>
      <c r="H1718" s="375" t="s">
        <v>3096</v>
      </c>
      <c r="I1718" s="375" t="s">
        <v>859</v>
      </c>
      <c r="J1718" s="375">
        <v>82108.655620000005</v>
      </c>
      <c r="K1718" s="375">
        <v>-4570.9526500000002</v>
      </c>
      <c r="L1718" s="375">
        <v>-7133.6253100000004</v>
      </c>
      <c r="M1718" s="375">
        <v>63414.583279999999</v>
      </c>
      <c r="N1718" s="372" t="s">
        <v>1023</v>
      </c>
      <c r="O1718" s="704">
        <v>105.78612173446504</v>
      </c>
      <c r="P1718" s="375" t="s">
        <v>619</v>
      </c>
      <c r="Q1718" s="372" t="s">
        <v>619</v>
      </c>
      <c r="R1718" s="696">
        <v>20230602</v>
      </c>
      <c r="S1718" s="372" t="s">
        <v>11274</v>
      </c>
      <c r="T1718" s="697" t="s">
        <v>768</v>
      </c>
      <c r="U1718" s="372" t="s">
        <v>11275</v>
      </c>
      <c r="V1718" s="722" t="s">
        <v>770</v>
      </c>
      <c r="W1718" s="722">
        <v>0.82</v>
      </c>
      <c r="X1718" s="722">
        <v>0.66</v>
      </c>
      <c r="Y1718" s="722" t="s">
        <v>770</v>
      </c>
      <c r="Z1718" s="382" t="s">
        <v>924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11276</v>
      </c>
      <c r="B1719" s="373" t="s">
        <v>11277</v>
      </c>
      <c r="C1719" s="372" t="s">
        <v>11278</v>
      </c>
      <c r="D1719" s="374">
        <v>1341110013180</v>
      </c>
      <c r="E1719" s="372" t="s">
        <v>11279</v>
      </c>
      <c r="F1719" s="375" t="s">
        <v>1320</v>
      </c>
      <c r="G1719" s="375" t="s">
        <v>16103</v>
      </c>
      <c r="H1719" s="375" t="s">
        <v>781</v>
      </c>
      <c r="I1719" s="375" t="s">
        <v>751</v>
      </c>
      <c r="J1719" s="375">
        <v>180142.68031</v>
      </c>
      <c r="K1719" s="375">
        <v>-2987.4457200000002</v>
      </c>
      <c r="L1719" s="375">
        <v>-8316.9700900000007</v>
      </c>
      <c r="M1719" s="375">
        <v>84513.287989999997</v>
      </c>
      <c r="N1719" s="372">
        <v>0.55500000000000005</v>
      </c>
      <c r="O1719" s="704">
        <v>117.49259956463108</v>
      </c>
      <c r="P1719" s="375" t="s">
        <v>619</v>
      </c>
      <c r="Q1719" s="372" t="s">
        <v>619</v>
      </c>
      <c r="R1719" s="696">
        <v>20080710</v>
      </c>
      <c r="S1719" s="372" t="s">
        <v>11280</v>
      </c>
      <c r="T1719" s="697" t="s">
        <v>768</v>
      </c>
      <c r="U1719" s="372" t="s">
        <v>11281</v>
      </c>
      <c r="V1719" s="722">
        <v>137.52000000000001</v>
      </c>
      <c r="W1719" s="722">
        <v>0.89</v>
      </c>
      <c r="X1719" s="722">
        <v>0.4</v>
      </c>
      <c r="Y1719" s="722" t="s">
        <v>770</v>
      </c>
      <c r="Z1719" s="382" t="s">
        <v>924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11282</v>
      </c>
      <c r="B1720" s="373" t="s">
        <v>11283</v>
      </c>
      <c r="C1720" s="372" t="s">
        <v>11284</v>
      </c>
      <c r="D1720" s="374">
        <v>1101111551749</v>
      </c>
      <c r="E1720" s="372" t="s">
        <v>11285</v>
      </c>
      <c r="F1720" s="375" t="s">
        <v>1273</v>
      </c>
      <c r="G1720" s="375" t="s">
        <v>1449</v>
      </c>
      <c r="H1720" s="375" t="s">
        <v>858</v>
      </c>
      <c r="I1720" s="375" t="s">
        <v>859</v>
      </c>
      <c r="J1720" s="375">
        <v>167787.71075</v>
      </c>
      <c r="K1720" s="375">
        <v>14534.00014</v>
      </c>
      <c r="L1720" s="375">
        <v>19258.24582</v>
      </c>
      <c r="M1720" s="375">
        <v>169229.51329</v>
      </c>
      <c r="N1720" s="372">
        <v>0.75600000000000001</v>
      </c>
      <c r="O1720" s="704">
        <v>7.7340951643935814</v>
      </c>
      <c r="P1720" s="375" t="s">
        <v>619</v>
      </c>
      <c r="Q1720" s="375" t="s">
        <v>619</v>
      </c>
      <c r="R1720" s="696">
        <v>20071012</v>
      </c>
      <c r="S1720" s="375" t="s">
        <v>11286</v>
      </c>
      <c r="T1720" s="697">
        <v>0.20900000000000002</v>
      </c>
      <c r="U1720" s="372" t="s">
        <v>11287</v>
      </c>
      <c r="V1720" s="722">
        <v>3.77</v>
      </c>
      <c r="W1720" s="722">
        <v>0.45</v>
      </c>
      <c r="X1720" s="722">
        <v>0.35</v>
      </c>
      <c r="Y1720" s="722">
        <v>3.92</v>
      </c>
      <c r="Z1720" s="382" t="s">
        <v>924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11288</v>
      </c>
      <c r="B1721" s="373" t="s">
        <v>11289</v>
      </c>
      <c r="C1721" s="372" t="s">
        <v>11290</v>
      </c>
      <c r="D1721" s="374">
        <v>1101116122983</v>
      </c>
      <c r="E1721" s="372" t="s">
        <v>11291</v>
      </c>
      <c r="F1721" s="375" t="s">
        <v>1113</v>
      </c>
      <c r="G1721" s="375" t="s">
        <v>1333</v>
      </c>
      <c r="H1721" s="375" t="s">
        <v>1334</v>
      </c>
      <c r="I1721" s="375" t="s">
        <v>859</v>
      </c>
      <c r="J1721" s="375">
        <v>321.95184</v>
      </c>
      <c r="K1721" s="375">
        <v>-16943.883549999999</v>
      </c>
      <c r="L1721" s="375">
        <v>-20732.105869999999</v>
      </c>
      <c r="M1721" s="375">
        <v>18536.113170000001</v>
      </c>
      <c r="N1721" s="372" t="s">
        <v>1023</v>
      </c>
      <c r="O1721" s="704">
        <v>56.387277735604812</v>
      </c>
      <c r="P1721" s="375" t="s">
        <v>619</v>
      </c>
      <c r="Q1721" s="372" t="s">
        <v>619</v>
      </c>
      <c r="R1721" s="696">
        <v>20230615</v>
      </c>
      <c r="S1721" s="372" t="s">
        <v>11292</v>
      </c>
      <c r="T1721" s="697" t="s">
        <v>768</v>
      </c>
      <c r="U1721" s="372" t="s">
        <v>11293</v>
      </c>
      <c r="V1721" s="722">
        <v>0</v>
      </c>
      <c r="W1721" s="722">
        <v>0</v>
      </c>
      <c r="X1721" s="722">
        <v>0</v>
      </c>
      <c r="Y1721" s="722">
        <v>0</v>
      </c>
      <c r="Z1721" s="382" t="s">
        <v>924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11294</v>
      </c>
      <c r="B1722" s="373" t="s">
        <v>11295</v>
      </c>
      <c r="C1722" s="372" t="s">
        <v>11296</v>
      </c>
      <c r="D1722" s="374">
        <v>1101110165393</v>
      </c>
      <c r="E1722" s="372" t="s">
        <v>11297</v>
      </c>
      <c r="F1722" s="375" t="s">
        <v>2861</v>
      </c>
      <c r="G1722" s="375" t="s">
        <v>5980</v>
      </c>
      <c r="H1722" s="375" t="s">
        <v>823</v>
      </c>
      <c r="I1722" s="375" t="s">
        <v>751</v>
      </c>
      <c r="J1722" s="375">
        <v>113438.46481999999</v>
      </c>
      <c r="K1722" s="375">
        <v>-12814.4725</v>
      </c>
      <c r="L1722" s="375">
        <v>-15248.214889999999</v>
      </c>
      <c r="M1722" s="375">
        <v>44354.086719999999</v>
      </c>
      <c r="N1722" s="372">
        <v>0.90300000000000002</v>
      </c>
      <c r="O1722" s="704">
        <v>165.00789815774417</v>
      </c>
      <c r="P1722" s="375" t="s">
        <v>619</v>
      </c>
      <c r="Q1722" s="372" t="s">
        <v>619</v>
      </c>
      <c r="R1722" s="696">
        <v>19971028</v>
      </c>
      <c r="S1722" s="372" t="s">
        <v>11298</v>
      </c>
      <c r="T1722" s="697" t="s">
        <v>768</v>
      </c>
      <c r="U1722" s="372" t="s">
        <v>11299</v>
      </c>
      <c r="V1722" s="722" t="s">
        <v>770</v>
      </c>
      <c r="W1722" s="722">
        <v>1.1299999999999999</v>
      </c>
      <c r="X1722" s="722">
        <v>0.45</v>
      </c>
      <c r="Y1722" s="722" t="s">
        <v>770</v>
      </c>
      <c r="Z1722" s="382" t="s">
        <v>924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11300</v>
      </c>
      <c r="B1723" s="373" t="s">
        <v>11301</v>
      </c>
      <c r="C1723" s="372" t="s">
        <v>11302</v>
      </c>
      <c r="D1723" s="374">
        <v>1701110039207</v>
      </c>
      <c r="E1723" s="372" t="s">
        <v>11303</v>
      </c>
      <c r="F1723" s="375" t="s">
        <v>2989</v>
      </c>
      <c r="G1723" s="375" t="s">
        <v>2989</v>
      </c>
      <c r="H1723" s="375" t="s">
        <v>789</v>
      </c>
      <c r="I1723" s="375" t="s">
        <v>751</v>
      </c>
      <c r="J1723" s="375">
        <v>165667.91850999999</v>
      </c>
      <c r="K1723" s="375">
        <v>21099.993200000001</v>
      </c>
      <c r="L1723" s="375">
        <v>8362.4873499999994</v>
      </c>
      <c r="M1723" s="375">
        <v>667239.63052000001</v>
      </c>
      <c r="N1723" s="372">
        <v>0.91500000000000004</v>
      </c>
      <c r="O1723" s="704">
        <v>0</v>
      </c>
      <c r="P1723" s="375" t="s">
        <v>619</v>
      </c>
      <c r="Q1723" s="372" t="s">
        <v>619</v>
      </c>
      <c r="R1723" s="696">
        <v>19960703</v>
      </c>
      <c r="S1723" s="375" t="s">
        <v>11304</v>
      </c>
      <c r="T1723" s="697">
        <v>0.20900000000000002</v>
      </c>
      <c r="U1723" s="372" t="s">
        <v>11305</v>
      </c>
      <c r="V1723" s="722">
        <v>5.25</v>
      </c>
      <c r="W1723" s="722">
        <v>0.14000000000000001</v>
      </c>
      <c r="X1723" s="722">
        <v>0.51</v>
      </c>
      <c r="Y1723" s="722">
        <v>2.78</v>
      </c>
      <c r="Z1723" s="382" t="s">
        <v>924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11306</v>
      </c>
      <c r="B1724" s="373" t="s">
        <v>11307</v>
      </c>
      <c r="C1724" s="372" t="s">
        <v>11308</v>
      </c>
      <c r="D1724" s="374">
        <v>1311110416816</v>
      </c>
      <c r="E1724" s="372" t="s">
        <v>11309</v>
      </c>
      <c r="F1724" s="375" t="s">
        <v>2831</v>
      </c>
      <c r="G1724" s="375" t="s">
        <v>2832</v>
      </c>
      <c r="H1724" s="375" t="s">
        <v>858</v>
      </c>
      <c r="I1724" s="375" t="s">
        <v>859</v>
      </c>
      <c r="J1724" s="375">
        <v>237153.52327999999</v>
      </c>
      <c r="K1724" s="375">
        <v>15827.828649999999</v>
      </c>
      <c r="L1724" s="375">
        <v>13588.834269999999</v>
      </c>
      <c r="M1724" s="375">
        <v>96517.063110000003</v>
      </c>
      <c r="N1724" s="372">
        <v>0.71599999999999997</v>
      </c>
      <c r="O1724" s="704">
        <v>34.651036764124832</v>
      </c>
      <c r="P1724" s="375" t="s">
        <v>619</v>
      </c>
      <c r="Q1724" s="372" t="s">
        <v>619</v>
      </c>
      <c r="R1724" s="696">
        <v>20150825</v>
      </c>
      <c r="S1724" s="375" t="s">
        <v>11310</v>
      </c>
      <c r="T1724" s="697">
        <v>0.20900000000000002</v>
      </c>
      <c r="U1724" s="372" t="s">
        <v>15930</v>
      </c>
      <c r="V1724" s="722">
        <v>5</v>
      </c>
      <c r="W1724" s="722">
        <v>1</v>
      </c>
      <c r="X1724" s="722">
        <v>0.3</v>
      </c>
      <c r="Y1724" s="722">
        <v>7.29</v>
      </c>
      <c r="Z1724" s="382" t="s">
        <v>924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11311</v>
      </c>
      <c r="B1725" s="373" t="s">
        <v>11312</v>
      </c>
      <c r="C1725" s="372" t="s">
        <v>11313</v>
      </c>
      <c r="D1725" s="374">
        <v>1701110233338</v>
      </c>
      <c r="E1725" s="372" t="s">
        <v>11314</v>
      </c>
      <c r="F1725" s="375" t="s">
        <v>2113</v>
      </c>
      <c r="G1725" s="375" t="s">
        <v>2114</v>
      </c>
      <c r="H1725" s="375" t="s">
        <v>809</v>
      </c>
      <c r="I1725" s="375" t="s">
        <v>751</v>
      </c>
      <c r="J1725" s="375">
        <v>166668.59912</v>
      </c>
      <c r="K1725" s="375">
        <v>7519.9143599999998</v>
      </c>
      <c r="L1725" s="375">
        <v>3210.63411</v>
      </c>
      <c r="M1725" s="375">
        <v>96050.236139999994</v>
      </c>
      <c r="N1725" s="372">
        <v>1.1080000000000001</v>
      </c>
      <c r="O1725" s="704">
        <v>55.170983680010288</v>
      </c>
      <c r="P1725" s="375" t="s">
        <v>619</v>
      </c>
      <c r="Q1725" s="372" t="s">
        <v>619</v>
      </c>
      <c r="R1725" s="696">
        <v>20021111</v>
      </c>
      <c r="S1725" s="372" t="s">
        <v>11315</v>
      </c>
      <c r="T1725" s="697">
        <v>0.20900000000000002</v>
      </c>
      <c r="U1725" s="372" t="s">
        <v>11316</v>
      </c>
      <c r="V1725" s="722">
        <v>0</v>
      </c>
      <c r="W1725" s="722">
        <v>0</v>
      </c>
      <c r="X1725" s="722">
        <v>0</v>
      </c>
      <c r="Y1725" s="722">
        <v>0</v>
      </c>
      <c r="Z1725" s="382" t="s">
        <v>924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11317</v>
      </c>
      <c r="B1726" s="373" t="s">
        <v>11318</v>
      </c>
      <c r="C1726" s="372" t="s">
        <v>11319</v>
      </c>
      <c r="D1726" s="374">
        <v>1101110008486</v>
      </c>
      <c r="E1726" s="372" t="s">
        <v>11320</v>
      </c>
      <c r="F1726" s="375" t="s">
        <v>890</v>
      </c>
      <c r="G1726" s="375" t="s">
        <v>891</v>
      </c>
      <c r="H1726" s="375" t="s">
        <v>852</v>
      </c>
      <c r="I1726" s="375" t="s">
        <v>751</v>
      </c>
      <c r="J1726" s="375">
        <v>146400.95366</v>
      </c>
      <c r="K1726" s="375">
        <v>21182.33167</v>
      </c>
      <c r="L1726" s="375">
        <v>29529.910339999999</v>
      </c>
      <c r="M1726" s="375">
        <v>360682.00887999998</v>
      </c>
      <c r="N1726" s="372">
        <v>0.60799999999999998</v>
      </c>
      <c r="O1726" s="704">
        <v>1.3110011609581755</v>
      </c>
      <c r="P1726" s="375" t="s">
        <v>619</v>
      </c>
      <c r="Q1726" s="372" t="s">
        <v>619</v>
      </c>
      <c r="R1726" s="696">
        <v>19751222</v>
      </c>
      <c r="S1726" s="372" t="s">
        <v>11321</v>
      </c>
      <c r="T1726" s="697">
        <v>0.23100000000000001</v>
      </c>
      <c r="U1726" s="372" t="s">
        <v>8672</v>
      </c>
      <c r="V1726" s="722">
        <v>5.72</v>
      </c>
      <c r="W1726" s="722">
        <v>0.25</v>
      </c>
      <c r="X1726" s="722">
        <v>0.53</v>
      </c>
      <c r="Y1726" s="722">
        <v>3.76</v>
      </c>
      <c r="Z1726" s="382" t="s">
        <v>924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11322</v>
      </c>
      <c r="B1727" s="373" t="s">
        <v>11323</v>
      </c>
      <c r="C1727" s="372" t="s">
        <v>11324</v>
      </c>
      <c r="D1727" s="374">
        <v>1344110001840</v>
      </c>
      <c r="E1727" s="372" t="s">
        <v>11325</v>
      </c>
      <c r="F1727" s="372" t="s">
        <v>1320</v>
      </c>
      <c r="G1727" s="375" t="s">
        <v>16103</v>
      </c>
      <c r="H1727" s="375" t="s">
        <v>858</v>
      </c>
      <c r="I1727" s="375" t="s">
        <v>859</v>
      </c>
      <c r="J1727" s="375">
        <v>74409.569919999994</v>
      </c>
      <c r="K1727" s="375">
        <v>16468.25302</v>
      </c>
      <c r="L1727" s="375">
        <v>1178.14339</v>
      </c>
      <c r="M1727" s="375">
        <v>80362.898530000006</v>
      </c>
      <c r="N1727" s="372">
        <v>0.52400000000000002</v>
      </c>
      <c r="O1727" s="704">
        <v>0.13661827233822182</v>
      </c>
      <c r="P1727" s="375" t="s">
        <v>619</v>
      </c>
      <c r="Q1727" s="372" t="s">
        <v>619</v>
      </c>
      <c r="R1727" s="696">
        <v>20001205</v>
      </c>
      <c r="S1727" s="372" t="s">
        <v>11326</v>
      </c>
      <c r="T1727" s="697">
        <v>0.20900000000000002</v>
      </c>
      <c r="U1727" s="372" t="s">
        <v>11327</v>
      </c>
      <c r="V1727" s="722">
        <v>0</v>
      </c>
      <c r="W1727" s="722">
        <v>0</v>
      </c>
      <c r="X1727" s="722">
        <v>0</v>
      </c>
      <c r="Y1727" s="722">
        <v>0</v>
      </c>
      <c r="Z1727" s="382" t="s">
        <v>924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11328</v>
      </c>
      <c r="B1728" s="373" t="s">
        <v>11329</v>
      </c>
      <c r="C1728" s="372" t="s">
        <v>11330</v>
      </c>
      <c r="D1728" s="374">
        <v>1101112035578</v>
      </c>
      <c r="E1728" s="372" t="s">
        <v>11331</v>
      </c>
      <c r="F1728" s="375" t="s">
        <v>6607</v>
      </c>
      <c r="G1728" s="375" t="s">
        <v>6607</v>
      </c>
      <c r="H1728" s="375" t="s">
        <v>858</v>
      </c>
      <c r="I1728" s="375" t="s">
        <v>859</v>
      </c>
      <c r="J1728" s="375">
        <v>0</v>
      </c>
      <c r="K1728" s="375">
        <v>0</v>
      </c>
      <c r="L1728" s="375">
        <v>0</v>
      </c>
      <c r="M1728" s="375">
        <v>78356.424169999998</v>
      </c>
      <c r="N1728" s="372">
        <v>0.57899999999999996</v>
      </c>
      <c r="O1728" s="704">
        <v>1.5475773823153409</v>
      </c>
      <c r="P1728" s="375" t="s">
        <v>619</v>
      </c>
      <c r="Q1728" s="372" t="s">
        <v>619</v>
      </c>
      <c r="R1728" s="696">
        <v>20130801</v>
      </c>
      <c r="S1728" s="372" t="s">
        <v>11332</v>
      </c>
      <c r="T1728" s="697" t="s">
        <v>768</v>
      </c>
      <c r="U1728" s="372" t="s">
        <v>11333</v>
      </c>
      <c r="V1728" s="722">
        <v>0</v>
      </c>
      <c r="W1728" s="722">
        <v>0.76</v>
      </c>
      <c r="X1728" s="722">
        <v>0</v>
      </c>
      <c r="Y1728" s="722">
        <v>0</v>
      </c>
      <c r="Z1728" s="382" t="s">
        <v>924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11334</v>
      </c>
      <c r="B1729" s="373" t="s">
        <v>11335</v>
      </c>
      <c r="C1729" s="372" t="s">
        <v>11336</v>
      </c>
      <c r="D1729" s="374">
        <v>2111110005365</v>
      </c>
      <c r="E1729" s="372" t="s">
        <v>11337</v>
      </c>
      <c r="F1729" s="375" t="s">
        <v>3972</v>
      </c>
      <c r="G1729" s="375" t="s">
        <v>11338</v>
      </c>
      <c r="H1729" s="375" t="s">
        <v>858</v>
      </c>
      <c r="I1729" s="375" t="s">
        <v>859</v>
      </c>
      <c r="J1729" s="375">
        <v>315235.88355000003</v>
      </c>
      <c r="K1729" s="375">
        <v>1637.31656</v>
      </c>
      <c r="L1729" s="375">
        <v>2799.2017700000001</v>
      </c>
      <c r="M1729" s="375">
        <v>222955.19234000001</v>
      </c>
      <c r="N1729" s="372">
        <v>0.51600000000000001</v>
      </c>
      <c r="O1729" s="704">
        <v>59.073768902030096</v>
      </c>
      <c r="P1729" s="375" t="s">
        <v>619</v>
      </c>
      <c r="Q1729" s="372" t="s">
        <v>619</v>
      </c>
      <c r="R1729" s="696">
        <v>20060623</v>
      </c>
      <c r="S1729" s="372" t="s">
        <v>11339</v>
      </c>
      <c r="T1729" s="697">
        <v>0.20900000000000002</v>
      </c>
      <c r="U1729" s="372" t="s">
        <v>11340</v>
      </c>
      <c r="V1729" s="722">
        <v>9.02</v>
      </c>
      <c r="W1729" s="722">
        <v>0.23</v>
      </c>
      <c r="X1729" s="722">
        <v>0.17</v>
      </c>
      <c r="Y1729" s="722">
        <v>22.51</v>
      </c>
      <c r="Z1729" s="382" t="s">
        <v>924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11341</v>
      </c>
      <c r="B1730" s="373" t="s">
        <v>11342</v>
      </c>
      <c r="C1730" s="372" t="s">
        <v>11343</v>
      </c>
      <c r="D1730" s="374">
        <v>2052110005288</v>
      </c>
      <c r="E1730" s="372" t="s">
        <v>11344</v>
      </c>
      <c r="F1730" s="372" t="s">
        <v>1573</v>
      </c>
      <c r="G1730" s="375" t="s">
        <v>6313</v>
      </c>
      <c r="H1730" s="375" t="s">
        <v>1040</v>
      </c>
      <c r="I1730" s="375" t="s">
        <v>751</v>
      </c>
      <c r="J1730" s="375">
        <v>311724.73605000001</v>
      </c>
      <c r="K1730" s="375">
        <v>1211.9718700000001</v>
      </c>
      <c r="L1730" s="375">
        <v>-2008.5196100000001</v>
      </c>
      <c r="M1730" s="375">
        <v>146004.62442000001</v>
      </c>
      <c r="N1730" s="372">
        <v>0.72899999999999998</v>
      </c>
      <c r="O1730" s="704">
        <v>195.21204924997403</v>
      </c>
      <c r="P1730" s="375" t="s">
        <v>619</v>
      </c>
      <c r="Q1730" s="375" t="s">
        <v>619</v>
      </c>
      <c r="R1730" s="696">
        <v>20040802</v>
      </c>
      <c r="S1730" s="375" t="s">
        <v>11345</v>
      </c>
      <c r="T1730" s="697" t="s">
        <v>768</v>
      </c>
      <c r="U1730" s="372" t="s">
        <v>11346</v>
      </c>
      <c r="V1730" s="722">
        <v>12.19</v>
      </c>
      <c r="W1730" s="722">
        <v>0.41</v>
      </c>
      <c r="X1730" s="722">
        <v>0.2</v>
      </c>
      <c r="Y1730" s="722" t="s">
        <v>770</v>
      </c>
      <c r="Z1730" s="382" t="s">
        <v>924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11347</v>
      </c>
      <c r="B1731" s="373" t="s">
        <v>11348</v>
      </c>
      <c r="C1731" s="372" t="s">
        <v>11349</v>
      </c>
      <c r="D1731" s="374">
        <v>1901110005551</v>
      </c>
      <c r="E1731" s="372" t="s">
        <v>11350</v>
      </c>
      <c r="F1731" s="375" t="s">
        <v>2086</v>
      </c>
      <c r="G1731" s="375" t="s">
        <v>2086</v>
      </c>
      <c r="H1731" s="375" t="s">
        <v>858</v>
      </c>
      <c r="I1731" s="375" t="s">
        <v>859</v>
      </c>
      <c r="J1731" s="375">
        <v>227009.14356999999</v>
      </c>
      <c r="K1731" s="375">
        <v>1498.82006</v>
      </c>
      <c r="L1731" s="375">
        <v>4711.1972999999998</v>
      </c>
      <c r="M1731" s="375">
        <v>192798.57457</v>
      </c>
      <c r="N1731" s="372">
        <v>0.77200000000000002</v>
      </c>
      <c r="O1731" s="704">
        <v>0</v>
      </c>
      <c r="P1731" s="375" t="s">
        <v>619</v>
      </c>
      <c r="Q1731" s="372" t="s">
        <v>619</v>
      </c>
      <c r="R1731" s="696">
        <v>20010105</v>
      </c>
      <c r="S1731" s="372" t="s">
        <v>11351</v>
      </c>
      <c r="T1731" s="697">
        <v>0.20900000000000002</v>
      </c>
      <c r="U1731" s="372" t="s">
        <v>11352</v>
      </c>
      <c r="V1731" s="722">
        <v>0</v>
      </c>
      <c r="W1731" s="722">
        <v>0</v>
      </c>
      <c r="X1731" s="722">
        <v>0</v>
      </c>
      <c r="Y1731" s="722">
        <v>0</v>
      </c>
      <c r="Z1731" s="382" t="s">
        <v>924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11353</v>
      </c>
      <c r="B1732" s="373" t="s">
        <v>11354</v>
      </c>
      <c r="C1732" s="372" t="s">
        <v>11355</v>
      </c>
      <c r="D1732" s="374">
        <v>1348110004474</v>
      </c>
      <c r="E1732" s="372" t="s">
        <v>11356</v>
      </c>
      <c r="F1732" s="375" t="s">
        <v>1761</v>
      </c>
      <c r="G1732" s="375" t="s">
        <v>2235</v>
      </c>
      <c r="H1732" s="375" t="s">
        <v>823</v>
      </c>
      <c r="I1732" s="375" t="s">
        <v>751</v>
      </c>
      <c r="J1732" s="375">
        <v>47383.774749999997</v>
      </c>
      <c r="K1732" s="375">
        <v>1577.5269599999999</v>
      </c>
      <c r="L1732" s="375">
        <v>1808.46552</v>
      </c>
      <c r="M1732" s="375">
        <v>49683.019330000003</v>
      </c>
      <c r="N1732" s="372">
        <v>0.92</v>
      </c>
      <c r="O1732" s="704">
        <v>2.7592036859332483</v>
      </c>
      <c r="P1732" s="375" t="s">
        <v>619</v>
      </c>
      <c r="Q1732" s="372" t="s">
        <v>619</v>
      </c>
      <c r="R1732" s="696">
        <v>19891130</v>
      </c>
      <c r="S1732" s="372" t="s">
        <v>11357</v>
      </c>
      <c r="T1732" s="697">
        <v>0.20900000000000002</v>
      </c>
      <c r="U1732" s="372" t="s">
        <v>11358</v>
      </c>
      <c r="V1732" s="722">
        <v>0</v>
      </c>
      <c r="W1732" s="722">
        <v>0</v>
      </c>
      <c r="X1732" s="722">
        <v>0</v>
      </c>
      <c r="Y1732" s="722">
        <v>0</v>
      </c>
      <c r="Z1732" s="382" t="s">
        <v>924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11359</v>
      </c>
      <c r="B1733" s="373" t="s">
        <v>11360</v>
      </c>
      <c r="C1733" s="372" t="s">
        <v>11361</v>
      </c>
      <c r="D1733" s="374">
        <v>1101110407456</v>
      </c>
      <c r="E1733" s="372" t="s">
        <v>11362</v>
      </c>
      <c r="F1733" s="375" t="s">
        <v>10761</v>
      </c>
      <c r="G1733" s="375" t="s">
        <v>11363</v>
      </c>
      <c r="H1733" s="375" t="s">
        <v>1334</v>
      </c>
      <c r="I1733" s="375" t="s">
        <v>859</v>
      </c>
      <c r="J1733" s="375">
        <v>259996.73701000001</v>
      </c>
      <c r="K1733" s="375">
        <v>28419.210719999999</v>
      </c>
      <c r="L1733" s="375">
        <v>8320.0641500000002</v>
      </c>
      <c r="M1733" s="375">
        <v>150622.75096999999</v>
      </c>
      <c r="N1733" s="372">
        <v>0.72299999999999998</v>
      </c>
      <c r="O1733" s="704">
        <v>604.04811922407453</v>
      </c>
      <c r="P1733" s="375" t="s">
        <v>619</v>
      </c>
      <c r="Q1733" s="375" t="s">
        <v>619</v>
      </c>
      <c r="R1733" s="696">
        <v>20001229</v>
      </c>
      <c r="S1733" s="375" t="s">
        <v>11364</v>
      </c>
      <c r="T1733" s="697">
        <v>0.20900000000000002</v>
      </c>
      <c r="U1733" s="372" t="s">
        <v>11365</v>
      </c>
      <c r="V1733" s="722">
        <v>9.48</v>
      </c>
      <c r="W1733" s="722">
        <v>0.38</v>
      </c>
      <c r="X1733" s="722">
        <v>0.23</v>
      </c>
      <c r="Y1733" s="722">
        <v>8.76</v>
      </c>
      <c r="Z1733" s="382">
        <v>5.3812475901141354E-2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2491</v>
      </c>
      <c r="AF1733" s="372">
        <v>2686</v>
      </c>
      <c r="AG1733" s="372">
        <v>2868</v>
      </c>
      <c r="AH1733" s="372">
        <v>0</v>
      </c>
    </row>
    <row r="1734" spans="1:34">
      <c r="A1734" s="372" t="s">
        <v>11366</v>
      </c>
      <c r="B1734" s="373" t="s">
        <v>11367</v>
      </c>
      <c r="C1734" s="372" t="s">
        <v>11368</v>
      </c>
      <c r="D1734" s="374">
        <v>1741110000527</v>
      </c>
      <c r="E1734" s="372" t="s">
        <v>11369</v>
      </c>
      <c r="F1734" s="375" t="s">
        <v>1860</v>
      </c>
      <c r="G1734" s="375" t="s">
        <v>1861</v>
      </c>
      <c r="H1734" s="375" t="s">
        <v>789</v>
      </c>
      <c r="I1734" s="375" t="s">
        <v>751</v>
      </c>
      <c r="J1734" s="375">
        <v>591327.47496000002</v>
      </c>
      <c r="K1734" s="375">
        <v>25998.626110000001</v>
      </c>
      <c r="L1734" s="375">
        <v>14853.712600000001</v>
      </c>
      <c r="M1734" s="375">
        <v>221635.22503999999</v>
      </c>
      <c r="N1734" s="372">
        <v>0.90600000000000003</v>
      </c>
      <c r="O1734" s="704">
        <v>356.18854640410433</v>
      </c>
      <c r="P1734" s="375" t="s">
        <v>619</v>
      </c>
      <c r="Q1734" s="372" t="s">
        <v>619</v>
      </c>
      <c r="R1734" s="696">
        <v>20011113</v>
      </c>
      <c r="S1734" s="372" t="s">
        <v>11370</v>
      </c>
      <c r="T1734" s="697">
        <v>0.20900000000000002</v>
      </c>
      <c r="U1734" s="372" t="s">
        <v>11371</v>
      </c>
      <c r="V1734" s="722">
        <v>5.59</v>
      </c>
      <c r="W1734" s="722">
        <v>0.33</v>
      </c>
      <c r="X1734" s="722">
        <v>0.13</v>
      </c>
      <c r="Y1734" s="722">
        <v>5.72</v>
      </c>
      <c r="Z1734" s="382" t="s">
        <v>924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11372</v>
      </c>
      <c r="B1735" s="373" t="s">
        <v>11373</v>
      </c>
      <c r="C1735" s="372" t="s">
        <v>11374</v>
      </c>
      <c r="D1735" s="374">
        <v>1801110001973</v>
      </c>
      <c r="E1735" s="372" t="s">
        <v>11375</v>
      </c>
      <c r="F1735" s="375" t="s">
        <v>1456</v>
      </c>
      <c r="G1735" s="375" t="s">
        <v>5640</v>
      </c>
      <c r="H1735" s="375" t="s">
        <v>906</v>
      </c>
      <c r="I1735" s="375" t="s">
        <v>751</v>
      </c>
      <c r="J1735" s="375">
        <v>674916.34959</v>
      </c>
      <c r="K1735" s="375">
        <v>21035.857759999999</v>
      </c>
      <c r="L1735" s="375">
        <v>13015.199979999999</v>
      </c>
      <c r="M1735" s="375">
        <v>276337.79372999998</v>
      </c>
      <c r="N1735" s="372">
        <v>0.92300000000000004</v>
      </c>
      <c r="O1735" s="704">
        <v>152.97091147582799</v>
      </c>
      <c r="P1735" s="375" t="s">
        <v>619</v>
      </c>
      <c r="Q1735" s="372" t="s">
        <v>619</v>
      </c>
      <c r="R1735" s="696">
        <v>20111216</v>
      </c>
      <c r="S1735" s="372" t="s">
        <v>11376</v>
      </c>
      <c r="T1735" s="697">
        <v>0.20900000000000002</v>
      </c>
      <c r="U1735" s="372" t="s">
        <v>11377</v>
      </c>
      <c r="V1735" s="722">
        <v>3.5</v>
      </c>
      <c r="W1735" s="722">
        <v>0.24</v>
      </c>
      <c r="X1735" s="722">
        <v>0.1</v>
      </c>
      <c r="Y1735" s="722">
        <v>6.31</v>
      </c>
      <c r="Z1735" s="382" t="s">
        <v>924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11378</v>
      </c>
      <c r="B1736" s="373" t="s">
        <v>11379</v>
      </c>
      <c r="C1736" s="372" t="s">
        <v>11380</v>
      </c>
      <c r="D1736" s="374">
        <v>1345110004149</v>
      </c>
      <c r="E1736" s="372" t="s">
        <v>11381</v>
      </c>
      <c r="F1736" s="375" t="s">
        <v>3972</v>
      </c>
      <c r="G1736" s="375" t="s">
        <v>3973</v>
      </c>
      <c r="H1736" s="375" t="s">
        <v>1313</v>
      </c>
      <c r="I1736" s="375" t="s">
        <v>751</v>
      </c>
      <c r="J1736" s="375">
        <v>342255.68672</v>
      </c>
      <c r="K1736" s="375">
        <v>-1146.9818299999999</v>
      </c>
      <c r="L1736" s="375">
        <v>-3159.02351</v>
      </c>
      <c r="M1736" s="375">
        <v>41027.478739999999</v>
      </c>
      <c r="N1736" s="372">
        <v>0.66100000000000003</v>
      </c>
      <c r="O1736" s="704">
        <v>91.886745864853324</v>
      </c>
      <c r="P1736" s="375" t="s">
        <v>619</v>
      </c>
      <c r="Q1736" s="375" t="s">
        <v>619</v>
      </c>
      <c r="R1736" s="696">
        <v>20001205</v>
      </c>
      <c r="S1736" s="375" t="s">
        <v>11382</v>
      </c>
      <c r="T1736" s="697" t="s">
        <v>768</v>
      </c>
      <c r="U1736" s="372" t="s">
        <v>11383</v>
      </c>
      <c r="V1736" s="722">
        <v>13.58</v>
      </c>
      <c r="W1736" s="722">
        <v>1.47</v>
      </c>
      <c r="X1736" s="722">
        <v>0.18</v>
      </c>
      <c r="Y1736" s="722" t="s">
        <v>770</v>
      </c>
      <c r="Z1736" s="382" t="s">
        <v>924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11384</v>
      </c>
      <c r="B1737" s="373" t="s">
        <v>11385</v>
      </c>
      <c r="C1737" s="372" t="s">
        <v>11386</v>
      </c>
      <c r="D1737" s="374">
        <v>1101110054760</v>
      </c>
      <c r="E1737" s="372" t="s">
        <v>11387</v>
      </c>
      <c r="F1737" s="375" t="s">
        <v>842</v>
      </c>
      <c r="G1737" s="375" t="s">
        <v>842</v>
      </c>
      <c r="H1737" s="375" t="s">
        <v>843</v>
      </c>
      <c r="I1737" s="375" t="s">
        <v>751</v>
      </c>
      <c r="J1737" s="375">
        <v>76418.111369999999</v>
      </c>
      <c r="K1737" s="375">
        <v>-956.28296999999998</v>
      </c>
      <c r="L1737" s="375">
        <v>-5365.5771000000004</v>
      </c>
      <c r="M1737" s="375">
        <v>103823.68077000001</v>
      </c>
      <c r="N1737" s="372">
        <v>1.1559999999999999</v>
      </c>
      <c r="O1737" s="704">
        <v>212.53116602458309</v>
      </c>
      <c r="P1737" s="375" t="s">
        <v>619</v>
      </c>
      <c r="Q1737" s="372" t="s">
        <v>619</v>
      </c>
      <c r="R1737" s="696">
        <v>19891114</v>
      </c>
      <c r="S1737" s="372" t="s">
        <v>11388</v>
      </c>
      <c r="T1737" s="697" t="s">
        <v>768</v>
      </c>
      <c r="U1737" s="372" t="s">
        <v>11389</v>
      </c>
      <c r="V1737" s="722">
        <v>2158.42</v>
      </c>
      <c r="W1737" s="722">
        <v>0.47</v>
      </c>
      <c r="X1737" s="722">
        <v>0.66</v>
      </c>
      <c r="Y1737" s="722" t="s">
        <v>770</v>
      </c>
      <c r="Z1737" s="382" t="s">
        <v>924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11390</v>
      </c>
      <c r="B1738" s="373" t="s">
        <v>11391</v>
      </c>
      <c r="C1738" s="372" t="s">
        <v>11392</v>
      </c>
      <c r="D1738" s="374">
        <v>1101111665516</v>
      </c>
      <c r="E1738" s="372" t="s">
        <v>11393</v>
      </c>
      <c r="F1738" s="375" t="s">
        <v>2831</v>
      </c>
      <c r="G1738" s="375" t="s">
        <v>2831</v>
      </c>
      <c r="H1738" s="375" t="s">
        <v>858</v>
      </c>
      <c r="I1738" s="375" t="s">
        <v>859</v>
      </c>
      <c r="J1738" s="375">
        <v>1268987.32231</v>
      </c>
      <c r="K1738" s="375">
        <v>55511.631999999998</v>
      </c>
      <c r="L1738" s="375">
        <v>40466.564610000001</v>
      </c>
      <c r="M1738" s="375">
        <v>432494.96382</v>
      </c>
      <c r="N1738" s="372">
        <v>1.0049999999999999</v>
      </c>
      <c r="O1738" s="704">
        <v>341.08268664036751</v>
      </c>
      <c r="P1738" s="375" t="s">
        <v>619</v>
      </c>
      <c r="Q1738" s="372" t="s">
        <v>619</v>
      </c>
      <c r="R1738" s="696">
        <v>20100204</v>
      </c>
      <c r="S1738" s="372" t="s">
        <v>11394</v>
      </c>
      <c r="T1738" s="697">
        <v>0.23100000000000001</v>
      </c>
      <c r="U1738" s="372" t="s">
        <v>11395</v>
      </c>
      <c r="V1738" s="722">
        <v>3.37</v>
      </c>
      <c r="W1738" s="722">
        <v>0.24</v>
      </c>
      <c r="X1738" s="722">
        <v>0.06</v>
      </c>
      <c r="Y1738" s="722">
        <v>3.01</v>
      </c>
      <c r="Z1738" s="382" t="s">
        <v>924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11396</v>
      </c>
      <c r="B1739" s="373" t="s">
        <v>11397</v>
      </c>
      <c r="C1739" s="372" t="s">
        <v>11398</v>
      </c>
      <c r="D1739" s="374">
        <v>1243110019293</v>
      </c>
      <c r="E1739" s="372" t="s">
        <v>11399</v>
      </c>
      <c r="F1739" s="372" t="s">
        <v>1860</v>
      </c>
      <c r="G1739" s="375" t="s">
        <v>1861</v>
      </c>
      <c r="H1739" s="375" t="s">
        <v>858</v>
      </c>
      <c r="I1739" s="375" t="s">
        <v>859</v>
      </c>
      <c r="J1739" s="375">
        <v>153304.83692999999</v>
      </c>
      <c r="K1739" s="375">
        <v>9805.5440600000002</v>
      </c>
      <c r="L1739" s="375">
        <v>4224.0528700000004</v>
      </c>
      <c r="M1739" s="375">
        <v>130955.13454</v>
      </c>
      <c r="N1739" s="372">
        <v>0.49299999999999999</v>
      </c>
      <c r="O1739" s="704">
        <v>94.791762712502944</v>
      </c>
      <c r="P1739" s="375" t="s">
        <v>619</v>
      </c>
      <c r="Q1739" s="372" t="s">
        <v>619</v>
      </c>
      <c r="R1739" s="696">
        <v>19961129</v>
      </c>
      <c r="S1739" s="375" t="s">
        <v>11400</v>
      </c>
      <c r="T1739" s="697">
        <v>0.20900000000000002</v>
      </c>
      <c r="U1739" s="372" t="s">
        <v>11401</v>
      </c>
      <c r="V1739" s="722">
        <v>6.82</v>
      </c>
      <c r="W1739" s="722">
        <v>0.49</v>
      </c>
      <c r="X1739" s="722">
        <v>0.41</v>
      </c>
      <c r="Y1739" s="722">
        <v>17.23</v>
      </c>
      <c r="Z1739" s="382" t="s">
        <v>924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11402</v>
      </c>
      <c r="B1740" s="373" t="s">
        <v>11403</v>
      </c>
      <c r="C1740" s="372" t="s">
        <v>11404</v>
      </c>
      <c r="D1740" s="374">
        <v>1101110245575</v>
      </c>
      <c r="E1740" s="372" t="s">
        <v>11405</v>
      </c>
      <c r="F1740" s="375" t="s">
        <v>5407</v>
      </c>
      <c r="G1740" s="375" t="s">
        <v>10792</v>
      </c>
      <c r="H1740" s="375" t="s">
        <v>858</v>
      </c>
      <c r="I1740" s="375" t="s">
        <v>859</v>
      </c>
      <c r="J1740" s="375">
        <v>87784.83279</v>
      </c>
      <c r="K1740" s="375">
        <v>-2019.3726300000001</v>
      </c>
      <c r="L1740" s="375">
        <v>-3723.6563099999998</v>
      </c>
      <c r="M1740" s="375">
        <v>43262.625809999998</v>
      </c>
      <c r="N1740" s="372">
        <v>0.75700000000000001</v>
      </c>
      <c r="O1740" s="704">
        <v>102.78876830487656</v>
      </c>
      <c r="P1740" s="375" t="s">
        <v>619</v>
      </c>
      <c r="Q1740" s="375" t="s">
        <v>619</v>
      </c>
      <c r="R1740" s="696">
        <v>20010112</v>
      </c>
      <c r="S1740" s="375" t="s">
        <v>11406</v>
      </c>
      <c r="T1740" s="697" t="s">
        <v>768</v>
      </c>
      <c r="U1740" s="372" t="s">
        <v>11407</v>
      </c>
      <c r="V1740" s="722" t="s">
        <v>770</v>
      </c>
      <c r="W1740" s="722">
        <v>1.04</v>
      </c>
      <c r="X1740" s="722">
        <v>0.5</v>
      </c>
      <c r="Y1740" s="722" t="s">
        <v>770</v>
      </c>
      <c r="Z1740" s="382" t="s">
        <v>924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11408</v>
      </c>
      <c r="B1741" s="373" t="s">
        <v>11409</v>
      </c>
      <c r="C1741" s="372" t="s">
        <v>11410</v>
      </c>
      <c r="D1741" s="374">
        <v>1101110866785</v>
      </c>
      <c r="E1741" s="372" t="s">
        <v>11411</v>
      </c>
      <c r="F1741" s="372" t="s">
        <v>1679</v>
      </c>
      <c r="G1741" s="375" t="s">
        <v>11412</v>
      </c>
      <c r="H1741" s="375" t="s">
        <v>858</v>
      </c>
      <c r="I1741" s="375" t="s">
        <v>859</v>
      </c>
      <c r="J1741" s="375">
        <v>71428.542019999993</v>
      </c>
      <c r="K1741" s="375">
        <v>5033.9606000000003</v>
      </c>
      <c r="L1741" s="375">
        <v>4711.7885699999997</v>
      </c>
      <c r="M1741" s="375">
        <v>76865.657080000004</v>
      </c>
      <c r="N1741" s="372">
        <v>0.502</v>
      </c>
      <c r="O1741" s="704">
        <v>72.356031984393283</v>
      </c>
      <c r="P1741" s="375" t="s">
        <v>619</v>
      </c>
      <c r="Q1741" s="372" t="s">
        <v>619</v>
      </c>
      <c r="R1741" s="696">
        <v>20020226</v>
      </c>
      <c r="S1741" s="372" t="s">
        <v>11413</v>
      </c>
      <c r="T1741" s="697">
        <v>0.20900000000000002</v>
      </c>
      <c r="U1741" s="375" t="s">
        <v>11414</v>
      </c>
      <c r="V1741" s="722">
        <v>16.420000000000002</v>
      </c>
      <c r="W1741" s="722">
        <v>1.02</v>
      </c>
      <c r="X1741" s="722">
        <v>1.1000000000000001</v>
      </c>
      <c r="Y1741" s="722">
        <v>14.77</v>
      </c>
      <c r="Z1741" s="382" t="s">
        <v>924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11415</v>
      </c>
      <c r="B1742" s="373" t="s">
        <v>11416</v>
      </c>
      <c r="C1742" s="372" t="s">
        <v>11417</v>
      </c>
      <c r="D1742" s="374">
        <v>1501110137013</v>
      </c>
      <c r="E1742" s="372" t="s">
        <v>11418</v>
      </c>
      <c r="F1742" s="375" t="s">
        <v>5616</v>
      </c>
      <c r="G1742" s="375" t="s">
        <v>5616</v>
      </c>
      <c r="H1742" s="375" t="s">
        <v>858</v>
      </c>
      <c r="I1742" s="375" t="s">
        <v>859</v>
      </c>
      <c r="J1742" s="375">
        <v>34601.66257</v>
      </c>
      <c r="K1742" s="375">
        <v>-2063.6095</v>
      </c>
      <c r="L1742" s="375">
        <v>-8734.7321699999993</v>
      </c>
      <c r="M1742" s="375">
        <v>45820.596290000001</v>
      </c>
      <c r="N1742" s="372" t="s">
        <v>1023</v>
      </c>
      <c r="O1742" s="704">
        <v>32.934151121032187</v>
      </c>
      <c r="P1742" s="375" t="s">
        <v>619</v>
      </c>
      <c r="Q1742" s="372" t="s">
        <v>619</v>
      </c>
      <c r="R1742" s="696">
        <v>20231102</v>
      </c>
      <c r="S1742" s="372" t="s">
        <v>11419</v>
      </c>
      <c r="T1742" s="697" t="s">
        <v>768</v>
      </c>
      <c r="U1742" s="372" t="s">
        <v>11420</v>
      </c>
      <c r="V1742" s="722">
        <v>1198.04</v>
      </c>
      <c r="W1742" s="722">
        <v>1.1599999999999999</v>
      </c>
      <c r="X1742" s="722">
        <v>1.51</v>
      </c>
      <c r="Y1742" s="722" t="s">
        <v>770</v>
      </c>
      <c r="Z1742" s="382" t="s">
        <v>924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430</v>
      </c>
      <c r="AF1742" s="372">
        <v>0</v>
      </c>
      <c r="AG1742" s="372">
        <v>0</v>
      </c>
      <c r="AH1742" s="372">
        <v>0</v>
      </c>
    </row>
    <row r="1743" spans="1:34">
      <c r="A1743" s="372" t="s">
        <v>11421</v>
      </c>
      <c r="B1743" s="373" t="s">
        <v>11422</v>
      </c>
      <c r="C1743" s="372" t="s">
        <v>11423</v>
      </c>
      <c r="D1743" s="374">
        <v>2011110000036</v>
      </c>
      <c r="E1743" s="372" t="s">
        <v>11424</v>
      </c>
      <c r="F1743" s="375" t="s">
        <v>1951</v>
      </c>
      <c r="G1743" s="375" t="s">
        <v>1952</v>
      </c>
      <c r="H1743" s="375" t="s">
        <v>1313</v>
      </c>
      <c r="I1743" s="375" t="s">
        <v>751</v>
      </c>
      <c r="J1743" s="375">
        <v>89773.338560000004</v>
      </c>
      <c r="K1743" s="375">
        <v>609.20714999999996</v>
      </c>
      <c r="L1743" s="375">
        <v>-234.05921000000001</v>
      </c>
      <c r="M1743" s="375">
        <v>81114.431930000006</v>
      </c>
      <c r="N1743" s="372">
        <v>0.59399999999999997</v>
      </c>
      <c r="O1743" s="704">
        <v>62.516787705259468</v>
      </c>
      <c r="P1743" s="375" t="s">
        <v>619</v>
      </c>
      <c r="Q1743" s="372" t="s">
        <v>619</v>
      </c>
      <c r="R1743" s="696">
        <v>19880923</v>
      </c>
      <c r="S1743" s="372" t="s">
        <v>11425</v>
      </c>
      <c r="T1743" s="697" t="s">
        <v>768</v>
      </c>
      <c r="U1743" s="372" t="s">
        <v>11426</v>
      </c>
      <c r="V1743" s="722">
        <v>10.93</v>
      </c>
      <c r="W1743" s="722">
        <v>0.76</v>
      </c>
      <c r="X1743" s="722">
        <v>0.69</v>
      </c>
      <c r="Y1743" s="722" t="s">
        <v>770</v>
      </c>
      <c r="Z1743" s="382" t="s">
        <v>924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11427</v>
      </c>
      <c r="B1744" s="373" t="s">
        <v>11428</v>
      </c>
      <c r="C1744" s="372" t="s">
        <v>16029</v>
      </c>
      <c r="D1744" s="374">
        <v>1101112431669</v>
      </c>
      <c r="E1744" s="372" t="s">
        <v>16030</v>
      </c>
      <c r="F1744" s="375" t="s">
        <v>2831</v>
      </c>
      <c r="G1744" s="375" t="s">
        <v>2832</v>
      </c>
      <c r="H1744" s="375" t="s">
        <v>858</v>
      </c>
      <c r="I1744" s="375" t="s">
        <v>859</v>
      </c>
      <c r="J1744" s="375">
        <v>47697.198709999997</v>
      </c>
      <c r="K1744" s="375">
        <v>-8743.7058300000008</v>
      </c>
      <c r="L1744" s="375">
        <v>-17166.76946</v>
      </c>
      <c r="M1744" s="375">
        <v>56458.266860000003</v>
      </c>
      <c r="N1744" s="372">
        <v>0.34499999999999997</v>
      </c>
      <c r="O1744" s="704">
        <v>13.129411751677402</v>
      </c>
      <c r="P1744" s="375" t="s">
        <v>619</v>
      </c>
      <c r="Q1744" s="372" t="s">
        <v>619</v>
      </c>
      <c r="R1744" s="696">
        <v>20150923</v>
      </c>
      <c r="S1744" s="375" t="s">
        <v>11429</v>
      </c>
      <c r="T1744" s="697" t="s">
        <v>768</v>
      </c>
      <c r="U1744" s="372" t="s">
        <v>11430</v>
      </c>
      <c r="V1744" s="722" t="s">
        <v>770</v>
      </c>
      <c r="W1744" s="722">
        <v>2.2999999999999998</v>
      </c>
      <c r="X1744" s="722">
        <v>2.42</v>
      </c>
      <c r="Y1744" s="722" t="s">
        <v>770</v>
      </c>
      <c r="Z1744" s="382" t="s">
        <v>924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11431</v>
      </c>
      <c r="B1745" s="373" t="s">
        <v>11432</v>
      </c>
      <c r="C1745" s="372" t="s">
        <v>11433</v>
      </c>
      <c r="D1745" s="374">
        <v>1101113292086</v>
      </c>
      <c r="E1745" s="372" t="s">
        <v>11434</v>
      </c>
      <c r="F1745" s="375" t="s">
        <v>1367</v>
      </c>
      <c r="G1745" s="375" t="s">
        <v>1367</v>
      </c>
      <c r="H1745" s="375" t="s">
        <v>858</v>
      </c>
      <c r="I1745" s="375" t="s">
        <v>859</v>
      </c>
      <c r="J1745" s="375">
        <v>28472.00044</v>
      </c>
      <c r="K1745" s="375">
        <v>545.08775000000003</v>
      </c>
      <c r="L1745" s="375">
        <v>1486.08537</v>
      </c>
      <c r="M1745" s="375">
        <v>22461.524509999999</v>
      </c>
      <c r="N1745" s="372" t="s">
        <v>1023</v>
      </c>
      <c r="O1745" s="704">
        <v>4.7370089900191061</v>
      </c>
      <c r="P1745" s="375" t="s">
        <v>619</v>
      </c>
      <c r="Q1745" s="372" t="s">
        <v>619</v>
      </c>
      <c r="R1745" s="696">
        <v>20230804</v>
      </c>
      <c r="S1745" s="372" t="s">
        <v>11435</v>
      </c>
      <c r="T1745" s="697">
        <v>0.20900000000000002</v>
      </c>
      <c r="U1745" s="372" t="s">
        <v>11436</v>
      </c>
      <c r="V1745" s="722">
        <v>0</v>
      </c>
      <c r="W1745" s="722">
        <v>0</v>
      </c>
      <c r="X1745" s="722">
        <v>0</v>
      </c>
      <c r="Y1745" s="722">
        <v>0</v>
      </c>
      <c r="Z1745" s="382" t="s">
        <v>924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11437</v>
      </c>
      <c r="B1746" s="373" t="s">
        <v>11438</v>
      </c>
      <c r="C1746" s="372" t="s">
        <v>11439</v>
      </c>
      <c r="D1746" s="374">
        <v>1345110017746</v>
      </c>
      <c r="E1746" s="372" t="s">
        <v>11440</v>
      </c>
      <c r="F1746" s="375" t="s">
        <v>1959</v>
      </c>
      <c r="G1746" s="375" t="s">
        <v>1959</v>
      </c>
      <c r="H1746" s="375" t="s">
        <v>858</v>
      </c>
      <c r="I1746" s="375" t="s">
        <v>859</v>
      </c>
      <c r="J1746" s="375">
        <v>28145.437249999999</v>
      </c>
      <c r="K1746" s="375">
        <v>-22033.1813</v>
      </c>
      <c r="L1746" s="375">
        <v>-26316.99597</v>
      </c>
      <c r="M1746" s="375">
        <v>80375.302620000002</v>
      </c>
      <c r="N1746" s="372">
        <v>0.90100000000000002</v>
      </c>
      <c r="O1746" s="704">
        <v>214.98305080008424</v>
      </c>
      <c r="P1746" s="375" t="s">
        <v>619</v>
      </c>
      <c r="Q1746" s="375" t="s">
        <v>619</v>
      </c>
      <c r="R1746" s="696">
        <v>20220208</v>
      </c>
      <c r="S1746" s="375" t="s">
        <v>11441</v>
      </c>
      <c r="T1746" s="697" t="s">
        <v>768</v>
      </c>
      <c r="U1746" s="372" t="s">
        <v>11442</v>
      </c>
      <c r="V1746" s="722" t="s">
        <v>770</v>
      </c>
      <c r="W1746" s="722">
        <v>0.54</v>
      </c>
      <c r="X1746" s="722">
        <v>1.54</v>
      </c>
      <c r="Y1746" s="722" t="s">
        <v>770</v>
      </c>
      <c r="Z1746" s="382" t="s">
        <v>924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11443</v>
      </c>
      <c r="B1747" s="373" t="s">
        <v>11444</v>
      </c>
      <c r="C1747" s="372" t="s">
        <v>11445</v>
      </c>
      <c r="D1747" s="374">
        <v>1101110393457</v>
      </c>
      <c r="E1747" s="372" t="s">
        <v>11446</v>
      </c>
      <c r="F1747" s="375" t="s">
        <v>2665</v>
      </c>
      <c r="G1747" s="375" t="s">
        <v>2666</v>
      </c>
      <c r="H1747" s="375" t="s">
        <v>1536</v>
      </c>
      <c r="I1747" s="375" t="s">
        <v>751</v>
      </c>
      <c r="J1747" s="375">
        <v>442895.32561</v>
      </c>
      <c r="K1747" s="375">
        <v>21882.7091</v>
      </c>
      <c r="L1747" s="375">
        <v>11252.53674</v>
      </c>
      <c r="M1747" s="375">
        <v>160018.39863000001</v>
      </c>
      <c r="N1747" s="372">
        <v>0.52400000000000002</v>
      </c>
      <c r="O1747" s="704">
        <v>285.29202099465232</v>
      </c>
      <c r="P1747" s="375" t="s">
        <v>619</v>
      </c>
      <c r="Q1747" s="372" t="s">
        <v>619</v>
      </c>
      <c r="R1747" s="696">
        <v>20170202</v>
      </c>
      <c r="S1747" s="372" t="s">
        <v>11447</v>
      </c>
      <c r="T1747" s="697">
        <v>0.20900000000000002</v>
      </c>
      <c r="U1747" s="372" t="s">
        <v>11448</v>
      </c>
      <c r="V1747" s="722">
        <v>7.39</v>
      </c>
      <c r="W1747" s="722">
        <v>0.4</v>
      </c>
      <c r="X1747" s="722">
        <v>0.15</v>
      </c>
      <c r="Y1747" s="722">
        <v>7.72</v>
      </c>
      <c r="Z1747" s="382">
        <v>4.20327522016537E-2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4371</v>
      </c>
      <c r="AF1747" s="372">
        <v>4838</v>
      </c>
      <c r="AG1747" s="372">
        <v>5206</v>
      </c>
      <c r="AH1747" s="372">
        <v>0</v>
      </c>
    </row>
    <row r="1748" spans="1:34">
      <c r="A1748" s="372" t="s">
        <v>11449</v>
      </c>
      <c r="B1748" s="373" t="s">
        <v>11450</v>
      </c>
      <c r="C1748" s="372" t="s">
        <v>11451</v>
      </c>
      <c r="D1748" s="374">
        <v>1341110000210</v>
      </c>
      <c r="E1748" s="372" t="s">
        <v>11452</v>
      </c>
      <c r="F1748" s="375" t="s">
        <v>1300</v>
      </c>
      <c r="G1748" s="375" t="s">
        <v>1300</v>
      </c>
      <c r="H1748" s="375" t="s">
        <v>823</v>
      </c>
      <c r="I1748" s="375" t="s">
        <v>751</v>
      </c>
      <c r="J1748" s="375">
        <v>123028.63477</v>
      </c>
      <c r="K1748" s="375">
        <v>-9729.9219499999999</v>
      </c>
      <c r="L1748" s="375">
        <v>-9069.0503399999998</v>
      </c>
      <c r="M1748" s="375">
        <v>84757.170310000001</v>
      </c>
      <c r="N1748" s="372">
        <v>0.58199999999999996</v>
      </c>
      <c r="O1748" s="704">
        <v>25.941667852689665</v>
      </c>
      <c r="P1748" s="375" t="s">
        <v>619</v>
      </c>
      <c r="Q1748" s="372" t="s">
        <v>619</v>
      </c>
      <c r="R1748" s="696">
        <v>19851223</v>
      </c>
      <c r="S1748" s="372" t="s">
        <v>11453</v>
      </c>
      <c r="T1748" s="697" t="s">
        <v>768</v>
      </c>
      <c r="U1748" s="372" t="s">
        <v>11454</v>
      </c>
      <c r="V1748" s="722" t="s">
        <v>770</v>
      </c>
      <c r="W1748" s="722">
        <v>0.68</v>
      </c>
      <c r="X1748" s="722">
        <v>0.48</v>
      </c>
      <c r="Y1748" s="722" t="s">
        <v>770</v>
      </c>
      <c r="Z1748" s="382" t="s">
        <v>924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11455</v>
      </c>
      <c r="B1749" s="373" t="s">
        <v>11456</v>
      </c>
      <c r="C1749" s="372" t="s">
        <v>11457</v>
      </c>
      <c r="D1749" s="374">
        <v>1101113580390</v>
      </c>
      <c r="E1749" s="372" t="s">
        <v>11458</v>
      </c>
      <c r="F1749" s="375" t="s">
        <v>11459</v>
      </c>
      <c r="G1749" s="375" t="s">
        <v>11459</v>
      </c>
      <c r="H1749" s="375" t="s">
        <v>1528</v>
      </c>
      <c r="I1749" s="375" t="s">
        <v>859</v>
      </c>
      <c r="J1749" s="375">
        <v>98926.062550000002</v>
      </c>
      <c r="K1749" s="375">
        <v>-4403.1850800000002</v>
      </c>
      <c r="L1749" s="375">
        <v>-2564.2213700000002</v>
      </c>
      <c r="M1749" s="375">
        <v>34405.908349999998</v>
      </c>
      <c r="N1749" s="372">
        <v>0.49299999999999999</v>
      </c>
      <c r="O1749" s="704">
        <v>18.281290869466563</v>
      </c>
      <c r="P1749" s="375" t="s">
        <v>619</v>
      </c>
      <c r="Q1749" s="375" t="s">
        <v>619</v>
      </c>
      <c r="R1749" s="696">
        <v>20141204</v>
      </c>
      <c r="S1749" s="375" t="s">
        <v>11460</v>
      </c>
      <c r="T1749" s="697" t="s">
        <v>768</v>
      </c>
      <c r="U1749" s="372" t="s">
        <v>11461</v>
      </c>
      <c r="V1749" s="722" t="s">
        <v>770</v>
      </c>
      <c r="W1749" s="722">
        <v>1.41</v>
      </c>
      <c r="X1749" s="722">
        <v>0.56000000000000005</v>
      </c>
      <c r="Y1749" s="722" t="s">
        <v>770</v>
      </c>
      <c r="Z1749" s="382" t="s">
        <v>924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11462</v>
      </c>
      <c r="B1750" s="373" t="s">
        <v>11463</v>
      </c>
      <c r="C1750" s="372" t="s">
        <v>11464</v>
      </c>
      <c r="D1750" s="374">
        <v>1101114481274</v>
      </c>
      <c r="E1750" s="372" t="s">
        <v>11465</v>
      </c>
      <c r="F1750" s="372" t="s">
        <v>2121</v>
      </c>
      <c r="G1750" s="375" t="s">
        <v>4228</v>
      </c>
      <c r="H1750" s="375" t="s">
        <v>858</v>
      </c>
      <c r="I1750" s="375" t="s">
        <v>859</v>
      </c>
      <c r="J1750" s="375">
        <v>3745.8156399999998</v>
      </c>
      <c r="K1750" s="375">
        <v>-17963.915099999998</v>
      </c>
      <c r="L1750" s="375">
        <v>-16724.344099999998</v>
      </c>
      <c r="M1750" s="375">
        <v>7122.5648700000002</v>
      </c>
      <c r="N1750" s="372">
        <v>-3.1E-2</v>
      </c>
      <c r="O1750" s="704">
        <v>6.2431637704027407</v>
      </c>
      <c r="P1750" s="375" t="s">
        <v>619</v>
      </c>
      <c r="Q1750" s="375" t="s">
        <v>619</v>
      </c>
      <c r="R1750" s="696">
        <v>20201209</v>
      </c>
      <c r="S1750" s="375" t="s">
        <v>11466</v>
      </c>
      <c r="T1750" s="697" t="s">
        <v>768</v>
      </c>
      <c r="U1750" s="372" t="s">
        <v>11467</v>
      </c>
      <c r="V1750" s="722" t="s">
        <v>770</v>
      </c>
      <c r="W1750" s="722">
        <v>23.66</v>
      </c>
      <c r="X1750" s="722">
        <v>44.99</v>
      </c>
      <c r="Y1750" s="722" t="s">
        <v>770</v>
      </c>
      <c r="Z1750" s="382" t="s">
        <v>924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11468</v>
      </c>
      <c r="B1751" s="373" t="s">
        <v>11469</v>
      </c>
      <c r="C1751" s="372" t="s">
        <v>11470</v>
      </c>
      <c r="D1751" s="374">
        <v>1101114255801</v>
      </c>
      <c r="E1751" s="372" t="s">
        <v>11471</v>
      </c>
      <c r="F1751" s="375" t="s">
        <v>1860</v>
      </c>
      <c r="G1751" s="375" t="s">
        <v>16110</v>
      </c>
      <c r="H1751" s="375" t="s">
        <v>858</v>
      </c>
      <c r="I1751" s="375" t="s">
        <v>859</v>
      </c>
      <c r="J1751" s="375">
        <v>216533.2689</v>
      </c>
      <c r="K1751" s="375">
        <v>11951.72077</v>
      </c>
      <c r="L1751" s="375">
        <v>17487.232789999998</v>
      </c>
      <c r="M1751" s="375">
        <v>119080.01723</v>
      </c>
      <c r="N1751" s="372">
        <v>0.70099999999999996</v>
      </c>
      <c r="O1751" s="704">
        <v>40.778552350202666</v>
      </c>
      <c r="P1751" s="375" t="s">
        <v>619</v>
      </c>
      <c r="Q1751" s="372" t="s">
        <v>619</v>
      </c>
      <c r="R1751" s="696">
        <v>20151118</v>
      </c>
      <c r="S1751" s="372" t="s">
        <v>11472</v>
      </c>
      <c r="T1751" s="697">
        <v>0.20900000000000002</v>
      </c>
      <c r="U1751" s="372" t="s">
        <v>11473</v>
      </c>
      <c r="V1751" s="722">
        <v>0</v>
      </c>
      <c r="W1751" s="722">
        <v>0</v>
      </c>
      <c r="X1751" s="722">
        <v>0</v>
      </c>
      <c r="Y1751" s="722">
        <v>0</v>
      </c>
      <c r="Z1751" s="382" t="s">
        <v>924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11474</v>
      </c>
      <c r="B1752" s="373" t="s">
        <v>11475</v>
      </c>
      <c r="C1752" s="372" t="s">
        <v>11476</v>
      </c>
      <c r="D1752" s="374">
        <v>2341110120538</v>
      </c>
      <c r="E1752" s="372" t="s">
        <v>11477</v>
      </c>
      <c r="F1752" s="372" t="s">
        <v>1860</v>
      </c>
      <c r="G1752" s="375" t="s">
        <v>1861</v>
      </c>
      <c r="H1752" s="375" t="s">
        <v>789</v>
      </c>
      <c r="I1752" s="375" t="s">
        <v>751</v>
      </c>
      <c r="J1752" s="375">
        <v>667244.97005</v>
      </c>
      <c r="K1752" s="375">
        <v>29355.547340000001</v>
      </c>
      <c r="L1752" s="375">
        <v>29115.09218</v>
      </c>
      <c r="M1752" s="375">
        <v>129060.10414</v>
      </c>
      <c r="N1752" s="372">
        <v>0.94699999999999995</v>
      </c>
      <c r="O1752" s="704">
        <v>233.36309282961886</v>
      </c>
      <c r="P1752" s="375" t="s">
        <v>619</v>
      </c>
      <c r="Q1752" s="372" t="s">
        <v>619</v>
      </c>
      <c r="R1752" s="696">
        <v>20210315</v>
      </c>
      <c r="S1752" s="372" t="s">
        <v>11478</v>
      </c>
      <c r="T1752" s="697">
        <v>0.23100000000000001</v>
      </c>
      <c r="U1752" s="372" t="s">
        <v>9004</v>
      </c>
      <c r="V1752" s="722">
        <v>4.9400000000000004</v>
      </c>
      <c r="W1752" s="722">
        <v>0.57999999999999996</v>
      </c>
      <c r="X1752" s="722">
        <v>0.11</v>
      </c>
      <c r="Y1752" s="722">
        <v>3.48</v>
      </c>
      <c r="Z1752" s="382" t="s">
        <v>924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11479</v>
      </c>
      <c r="B1753" s="373" t="s">
        <v>11480</v>
      </c>
      <c r="C1753" s="372" t="s">
        <v>11481</v>
      </c>
      <c r="D1753" s="374">
        <v>1101117062716</v>
      </c>
      <c r="E1753" s="372" t="s">
        <v>11482</v>
      </c>
      <c r="F1753" s="375" t="s">
        <v>5597</v>
      </c>
      <c r="G1753" s="375" t="s">
        <v>5597</v>
      </c>
      <c r="H1753" s="375" t="s">
        <v>1528</v>
      </c>
      <c r="I1753" s="375" t="s">
        <v>859</v>
      </c>
      <c r="J1753" s="375">
        <v>33367.044329999997</v>
      </c>
      <c r="K1753" s="375">
        <v>-24417.471369999999</v>
      </c>
      <c r="L1753" s="375">
        <v>-20222.202519999999</v>
      </c>
      <c r="M1753" s="375">
        <v>43038.858469999999</v>
      </c>
      <c r="N1753" s="372">
        <v>0.76800000000000002</v>
      </c>
      <c r="O1753" s="704">
        <v>134.69153236873501</v>
      </c>
      <c r="P1753" s="375" t="s">
        <v>619</v>
      </c>
      <c r="Q1753" s="375" t="s">
        <v>619</v>
      </c>
      <c r="R1753" s="696">
        <v>20190531</v>
      </c>
      <c r="S1753" s="375" t="s">
        <v>11483</v>
      </c>
      <c r="T1753" s="697" t="s">
        <v>768</v>
      </c>
      <c r="U1753" s="372" t="s">
        <v>11484</v>
      </c>
      <c r="V1753" s="722">
        <v>5.96</v>
      </c>
      <c r="W1753" s="722">
        <v>0.64</v>
      </c>
      <c r="X1753" s="722">
        <v>0.87</v>
      </c>
      <c r="Y1753" s="722" t="s">
        <v>770</v>
      </c>
      <c r="Z1753" s="382" t="s">
        <v>924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11485</v>
      </c>
      <c r="B1754" s="373" t="s">
        <v>11486</v>
      </c>
      <c r="C1754" s="372" t="s">
        <v>11487</v>
      </c>
      <c r="D1754" s="374">
        <v>1101117224647</v>
      </c>
      <c r="E1754" s="372" t="s">
        <v>11488</v>
      </c>
      <c r="F1754" s="375" t="s">
        <v>1367</v>
      </c>
      <c r="G1754" s="375" t="s">
        <v>1367</v>
      </c>
      <c r="H1754" s="375" t="s">
        <v>858</v>
      </c>
      <c r="I1754" s="375" t="s">
        <v>859</v>
      </c>
      <c r="J1754" s="375">
        <v>49815.995300000002</v>
      </c>
      <c r="K1754" s="375">
        <v>1950.7239400000001</v>
      </c>
      <c r="L1754" s="375">
        <v>3894.6620800000001</v>
      </c>
      <c r="M1754" s="375">
        <v>36814.235679999998</v>
      </c>
      <c r="N1754" s="372">
        <v>0.65700000000000003</v>
      </c>
      <c r="O1754" s="704">
        <v>1.3200009901076544</v>
      </c>
      <c r="P1754" s="375" t="s">
        <v>619</v>
      </c>
      <c r="Q1754" s="372" t="s">
        <v>619</v>
      </c>
      <c r="R1754" s="696">
        <v>20191128</v>
      </c>
      <c r="S1754" s="372" t="s">
        <v>11489</v>
      </c>
      <c r="T1754" s="697">
        <v>0.20900000000000002</v>
      </c>
      <c r="U1754" s="372" t="s">
        <v>11490</v>
      </c>
      <c r="V1754" s="722">
        <v>28.11</v>
      </c>
      <c r="W1754" s="722">
        <v>2.11</v>
      </c>
      <c r="X1754" s="722">
        <v>1.56</v>
      </c>
      <c r="Y1754" s="722">
        <v>22.55</v>
      </c>
      <c r="Z1754" s="382" t="s">
        <v>924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11491</v>
      </c>
      <c r="B1755" s="373" t="s">
        <v>11492</v>
      </c>
      <c r="C1755" s="372" t="s">
        <v>11493</v>
      </c>
      <c r="D1755" s="374">
        <v>1801110054641</v>
      </c>
      <c r="E1755" s="372" t="s">
        <v>11494</v>
      </c>
      <c r="F1755" s="375" t="s">
        <v>3278</v>
      </c>
      <c r="G1755" s="375" t="s">
        <v>3279</v>
      </c>
      <c r="H1755" s="375" t="s">
        <v>1040</v>
      </c>
      <c r="I1755" s="375" t="s">
        <v>751</v>
      </c>
      <c r="J1755" s="375">
        <v>97856.718729999993</v>
      </c>
      <c r="K1755" s="375">
        <v>-6339.0788000000002</v>
      </c>
      <c r="L1755" s="375">
        <v>50326.13796</v>
      </c>
      <c r="M1755" s="375">
        <v>180122.07996</v>
      </c>
      <c r="N1755" s="372">
        <v>0.70299999999999996</v>
      </c>
      <c r="O1755" s="704">
        <v>24.013317802787007</v>
      </c>
      <c r="P1755" s="375" t="s">
        <v>619</v>
      </c>
      <c r="Q1755" s="372" t="s">
        <v>619</v>
      </c>
      <c r="R1755" s="696">
        <v>20080124</v>
      </c>
      <c r="S1755" s="372" t="s">
        <v>11495</v>
      </c>
      <c r="T1755" s="697">
        <v>0.23100000000000001</v>
      </c>
      <c r="U1755" s="372" t="s">
        <v>11496</v>
      </c>
      <c r="V1755" s="722" t="s">
        <v>770</v>
      </c>
      <c r="W1755" s="722">
        <v>0.36</v>
      </c>
      <c r="X1755" s="722">
        <v>0.65</v>
      </c>
      <c r="Y1755" s="722">
        <v>1.33</v>
      </c>
      <c r="Z1755" s="382" t="s">
        <v>924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11497</v>
      </c>
      <c r="B1756" s="373" t="s">
        <v>11498</v>
      </c>
      <c r="C1756" s="372" t="s">
        <v>11499</v>
      </c>
      <c r="D1756" s="374">
        <v>1244110006602</v>
      </c>
      <c r="E1756" s="372" t="s">
        <v>11500</v>
      </c>
      <c r="F1756" s="375" t="s">
        <v>995</v>
      </c>
      <c r="G1756" s="375" t="s">
        <v>996</v>
      </c>
      <c r="H1756" s="375" t="s">
        <v>858</v>
      </c>
      <c r="I1756" s="375" t="s">
        <v>859</v>
      </c>
      <c r="J1756" s="375">
        <v>471276.01747000002</v>
      </c>
      <c r="K1756" s="375">
        <v>-23208.072169999999</v>
      </c>
      <c r="L1756" s="375">
        <v>-21490.567849999999</v>
      </c>
      <c r="M1756" s="375">
        <v>71961.805569999997</v>
      </c>
      <c r="N1756" s="372">
        <v>0.875</v>
      </c>
      <c r="O1756" s="704">
        <v>252.24089457482108</v>
      </c>
      <c r="P1756" s="375" t="s">
        <v>619</v>
      </c>
      <c r="Q1756" s="375" t="s">
        <v>619</v>
      </c>
      <c r="R1756" s="696">
        <v>20040512</v>
      </c>
      <c r="S1756" s="375" t="s">
        <v>11501</v>
      </c>
      <c r="T1756" s="697" t="s">
        <v>768</v>
      </c>
      <c r="U1756" s="372" t="s">
        <v>11502</v>
      </c>
      <c r="V1756" s="722" t="s">
        <v>770</v>
      </c>
      <c r="W1756" s="722">
        <v>0.43</v>
      </c>
      <c r="X1756" s="722">
        <v>0.1</v>
      </c>
      <c r="Y1756" s="722" t="s">
        <v>770</v>
      </c>
      <c r="Z1756" s="382" t="s">
        <v>924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11503</v>
      </c>
      <c r="B1757" s="373" t="s">
        <v>11504</v>
      </c>
      <c r="C1757" s="372" t="s">
        <v>11505</v>
      </c>
      <c r="D1757" s="374">
        <v>1101114445725</v>
      </c>
      <c r="E1757" s="372" t="s">
        <v>11506</v>
      </c>
      <c r="F1757" s="375" t="s">
        <v>2715</v>
      </c>
      <c r="G1757" s="375" t="s">
        <v>2715</v>
      </c>
      <c r="H1757" s="375" t="s">
        <v>1334</v>
      </c>
      <c r="I1757" s="375" t="s">
        <v>859</v>
      </c>
      <c r="J1757" s="375">
        <v>17670.950150000001</v>
      </c>
      <c r="K1757" s="375">
        <v>2788.25297</v>
      </c>
      <c r="L1757" s="375">
        <v>7930.8927100000001</v>
      </c>
      <c r="M1757" s="375">
        <v>75794.565640000001</v>
      </c>
      <c r="N1757" s="372">
        <v>0.89800000000000002</v>
      </c>
      <c r="O1757" s="704">
        <v>0.52491213181592677</v>
      </c>
      <c r="P1757" s="375" t="s">
        <v>619</v>
      </c>
      <c r="Q1757" s="375" t="s">
        <v>619</v>
      </c>
      <c r="R1757" s="696">
        <v>20200909</v>
      </c>
      <c r="S1757" s="375" t="s">
        <v>11507</v>
      </c>
      <c r="T1757" s="697">
        <v>0.20900000000000002</v>
      </c>
      <c r="U1757" s="372" t="s">
        <v>11508</v>
      </c>
      <c r="V1757" s="722">
        <v>17.09</v>
      </c>
      <c r="W1757" s="722">
        <v>1</v>
      </c>
      <c r="X1757" s="722">
        <v>4.4800000000000004</v>
      </c>
      <c r="Y1757" s="722">
        <v>11.69</v>
      </c>
      <c r="Z1757" s="382" t="s">
        <v>924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11509</v>
      </c>
      <c r="B1758" s="373" t="s">
        <v>11510</v>
      </c>
      <c r="C1758" s="372" t="s">
        <v>11511</v>
      </c>
      <c r="D1758" s="374">
        <v>1101115879030</v>
      </c>
      <c r="E1758" s="372" t="s">
        <v>11512</v>
      </c>
      <c r="F1758" s="372" t="s">
        <v>1825</v>
      </c>
      <c r="G1758" s="375" t="s">
        <v>1826</v>
      </c>
      <c r="H1758" s="375" t="s">
        <v>3096</v>
      </c>
      <c r="I1758" s="375" t="s">
        <v>859</v>
      </c>
      <c r="J1758" s="375">
        <v>84832.101500000004</v>
      </c>
      <c r="K1758" s="375">
        <v>13052.752399999999</v>
      </c>
      <c r="L1758" s="375">
        <v>12684.362300000001</v>
      </c>
      <c r="M1758" s="375">
        <v>90818.327210000003</v>
      </c>
      <c r="N1758" s="372">
        <v>0.69699999999999995</v>
      </c>
      <c r="O1758" s="704">
        <v>71.974868575282088</v>
      </c>
      <c r="P1758" s="375" t="s">
        <v>619</v>
      </c>
      <c r="Q1758" s="375" t="s">
        <v>619</v>
      </c>
      <c r="R1758" s="696">
        <v>20170608</v>
      </c>
      <c r="S1758" s="375" t="s">
        <v>11513</v>
      </c>
      <c r="T1758" s="697">
        <v>0.20900000000000002</v>
      </c>
      <c r="U1758" s="372" t="s">
        <v>11514</v>
      </c>
      <c r="V1758" s="722">
        <v>4.72</v>
      </c>
      <c r="W1758" s="722">
        <v>0.73</v>
      </c>
      <c r="X1758" s="722">
        <v>0.8</v>
      </c>
      <c r="Y1758" s="722">
        <v>6.79</v>
      </c>
      <c r="Z1758" s="382" t="s">
        <v>924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11515</v>
      </c>
      <c r="B1759" s="373" t="s">
        <v>11516</v>
      </c>
      <c r="C1759" s="372" t="s">
        <v>11517</v>
      </c>
      <c r="D1759" s="374">
        <v>1101111946601</v>
      </c>
      <c r="E1759" s="372" t="s">
        <v>11518</v>
      </c>
      <c r="F1759" s="375" t="s">
        <v>1693</v>
      </c>
      <c r="G1759" s="375" t="s">
        <v>1693</v>
      </c>
      <c r="H1759" s="375" t="s">
        <v>1334</v>
      </c>
      <c r="I1759" s="375" t="s">
        <v>859</v>
      </c>
      <c r="J1759" s="375">
        <v>35575.674030000002</v>
      </c>
      <c r="K1759" s="375">
        <v>4441.3896000000004</v>
      </c>
      <c r="L1759" s="375">
        <v>5698.7433799999999</v>
      </c>
      <c r="M1759" s="375">
        <v>96880.873609999995</v>
      </c>
      <c r="N1759" s="372">
        <v>1.2509999999999999</v>
      </c>
      <c r="O1759" s="704">
        <v>0.89307524147813777</v>
      </c>
      <c r="P1759" s="375" t="s">
        <v>619</v>
      </c>
      <c r="Q1759" s="372" t="s">
        <v>619</v>
      </c>
      <c r="R1759" s="696">
        <v>20111125</v>
      </c>
      <c r="S1759" s="372" t="s">
        <v>11519</v>
      </c>
      <c r="T1759" s="697">
        <v>0.20900000000000002</v>
      </c>
      <c r="U1759" s="372" t="s">
        <v>11520</v>
      </c>
      <c r="V1759" s="722">
        <v>10.92</v>
      </c>
      <c r="W1759" s="722">
        <v>0.6</v>
      </c>
      <c r="X1759" s="722">
        <v>1.64</v>
      </c>
      <c r="Y1759" s="722">
        <v>12.63</v>
      </c>
      <c r="Z1759" s="382" t="s">
        <v>924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11521</v>
      </c>
      <c r="B1760" s="373" t="s">
        <v>11522</v>
      </c>
      <c r="C1760" s="372" t="s">
        <v>11523</v>
      </c>
      <c r="D1760" s="374">
        <v>1101114255463</v>
      </c>
      <c r="E1760" s="372" t="s">
        <v>11524</v>
      </c>
      <c r="F1760" s="375" t="s">
        <v>2411</v>
      </c>
      <c r="G1760" s="375" t="s">
        <v>2411</v>
      </c>
      <c r="H1760" s="375" t="s">
        <v>1040</v>
      </c>
      <c r="I1760" s="375" t="s">
        <v>751</v>
      </c>
      <c r="J1760" s="375">
        <v>358833.00955000002</v>
      </c>
      <c r="K1760" s="375">
        <v>-85128.907019999999</v>
      </c>
      <c r="L1760" s="375">
        <v>-109458.09586</v>
      </c>
      <c r="M1760" s="375">
        <v>-16419.504959999998</v>
      </c>
      <c r="N1760" s="372">
        <v>-0.25900000000000001</v>
      </c>
      <c r="O1760" s="704">
        <v>546.55562809304752</v>
      </c>
      <c r="P1760" s="375" t="s">
        <v>619</v>
      </c>
      <c r="Q1760" s="372" t="s">
        <v>16113</v>
      </c>
      <c r="R1760" s="696">
        <v>20100129</v>
      </c>
      <c r="S1760" s="372" t="s">
        <v>11525</v>
      </c>
      <c r="T1760" s="697" t="s">
        <v>768</v>
      </c>
      <c r="U1760" s="375" t="s">
        <v>11526</v>
      </c>
      <c r="V1760" s="722" t="s">
        <v>770</v>
      </c>
      <c r="W1760" s="722" t="s">
        <v>770</v>
      </c>
      <c r="X1760" s="722">
        <v>0.09</v>
      </c>
      <c r="Y1760" s="722" t="s">
        <v>770</v>
      </c>
      <c r="Z1760" s="382" t="s">
        <v>924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11527</v>
      </c>
      <c r="B1761" s="373" t="s">
        <v>11528</v>
      </c>
      <c r="C1761" s="372" t="s">
        <v>11529</v>
      </c>
      <c r="D1761" s="374">
        <v>1348110003020</v>
      </c>
      <c r="E1761" s="372" t="s">
        <v>11530</v>
      </c>
      <c r="F1761" s="372" t="s">
        <v>9347</v>
      </c>
      <c r="G1761" s="375" t="s">
        <v>9347</v>
      </c>
      <c r="H1761" s="375" t="s">
        <v>858</v>
      </c>
      <c r="I1761" s="375" t="s">
        <v>859</v>
      </c>
      <c r="J1761" s="375">
        <v>166526.79644000001</v>
      </c>
      <c r="K1761" s="375">
        <v>12107.71025</v>
      </c>
      <c r="L1761" s="375">
        <v>16188.477510000001</v>
      </c>
      <c r="M1761" s="375">
        <v>269993.82420999999</v>
      </c>
      <c r="N1761" s="372">
        <v>0.52700000000000002</v>
      </c>
      <c r="O1761" s="704">
        <v>6.7606525831524333</v>
      </c>
      <c r="P1761" s="375" t="s">
        <v>619</v>
      </c>
      <c r="Q1761" s="372" t="s">
        <v>619</v>
      </c>
      <c r="R1761" s="696">
        <v>19941031</v>
      </c>
      <c r="S1761" s="372" t="s">
        <v>8271</v>
      </c>
      <c r="T1761" s="697">
        <v>0.20900000000000002</v>
      </c>
      <c r="U1761" s="372" t="s">
        <v>11531</v>
      </c>
      <c r="V1761" s="722">
        <v>2.99</v>
      </c>
      <c r="W1761" s="722">
        <v>0.23</v>
      </c>
      <c r="X1761" s="722">
        <v>0.38</v>
      </c>
      <c r="Y1761" s="722">
        <v>4.92</v>
      </c>
      <c r="Z1761" s="382" t="s">
        <v>924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11532</v>
      </c>
      <c r="B1762" s="373" t="s">
        <v>11533</v>
      </c>
      <c r="C1762" s="372" t="s">
        <v>11534</v>
      </c>
      <c r="D1762" s="374">
        <v>2001110001407</v>
      </c>
      <c r="E1762" s="372" t="s">
        <v>11535</v>
      </c>
      <c r="F1762" s="375" t="s">
        <v>2482</v>
      </c>
      <c r="G1762" s="375" t="s">
        <v>2483</v>
      </c>
      <c r="H1762" s="375" t="s">
        <v>809</v>
      </c>
      <c r="I1762" s="375" t="s">
        <v>751</v>
      </c>
      <c r="J1762" s="375">
        <v>179379.73754999999</v>
      </c>
      <c r="K1762" s="375">
        <v>793.07825000000003</v>
      </c>
      <c r="L1762" s="375">
        <v>3557.8007699999998</v>
      </c>
      <c r="M1762" s="375">
        <v>133521.17696000001</v>
      </c>
      <c r="N1762" s="372">
        <v>0.67200000000000004</v>
      </c>
      <c r="O1762" s="704">
        <v>0</v>
      </c>
      <c r="P1762" s="375" t="s">
        <v>619</v>
      </c>
      <c r="Q1762" s="375" t="s">
        <v>619</v>
      </c>
      <c r="R1762" s="696">
        <v>19950929</v>
      </c>
      <c r="S1762" s="375" t="s">
        <v>11536</v>
      </c>
      <c r="T1762" s="697">
        <v>0.20900000000000002</v>
      </c>
      <c r="U1762" s="372" t="s">
        <v>11537</v>
      </c>
      <c r="V1762" s="722">
        <v>0</v>
      </c>
      <c r="W1762" s="722">
        <v>0</v>
      </c>
      <c r="X1762" s="722">
        <v>0</v>
      </c>
      <c r="Y1762" s="722">
        <v>0</v>
      </c>
      <c r="Z1762" s="382" t="s">
        <v>924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11538</v>
      </c>
      <c r="B1763" s="373" t="s">
        <v>11539</v>
      </c>
      <c r="C1763" s="372" t="s">
        <v>11540</v>
      </c>
      <c r="D1763" s="374">
        <v>1358110198797</v>
      </c>
      <c r="E1763" s="372" t="s">
        <v>11541</v>
      </c>
      <c r="F1763" s="375" t="s">
        <v>1052</v>
      </c>
      <c r="G1763" s="375" t="s">
        <v>16101</v>
      </c>
      <c r="H1763" s="375" t="s">
        <v>1334</v>
      </c>
      <c r="I1763" s="375" t="s">
        <v>859</v>
      </c>
      <c r="J1763" s="375">
        <v>8246.0664199999992</v>
      </c>
      <c r="K1763" s="375">
        <v>-29141.91865</v>
      </c>
      <c r="L1763" s="375">
        <v>-34571.38452</v>
      </c>
      <c r="M1763" s="375">
        <v>37377.9764</v>
      </c>
      <c r="N1763" s="372">
        <v>0.98599999999999999</v>
      </c>
      <c r="O1763" s="704">
        <v>128.84927700508899</v>
      </c>
      <c r="P1763" s="375" t="s">
        <v>619</v>
      </c>
      <c r="Q1763" s="372" t="s">
        <v>619</v>
      </c>
      <c r="R1763" s="696">
        <v>20201204</v>
      </c>
      <c r="S1763" s="372" t="s">
        <v>11542</v>
      </c>
      <c r="T1763" s="697" t="s">
        <v>768</v>
      </c>
      <c r="U1763" s="372" t="s">
        <v>11543</v>
      </c>
      <c r="V1763" s="722" t="s">
        <v>770</v>
      </c>
      <c r="W1763" s="722">
        <v>0.72</v>
      </c>
      <c r="X1763" s="722">
        <v>3.03</v>
      </c>
      <c r="Y1763" s="722" t="s">
        <v>770</v>
      </c>
      <c r="Z1763" s="382" t="s">
        <v>924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11544</v>
      </c>
      <c r="B1764" s="373" t="s">
        <v>11545</v>
      </c>
      <c r="C1764" s="372" t="s">
        <v>11546</v>
      </c>
      <c r="D1764" s="374">
        <v>1101110633556</v>
      </c>
      <c r="E1764" s="372" t="s">
        <v>11547</v>
      </c>
      <c r="F1764" s="375" t="s">
        <v>1279</v>
      </c>
      <c r="G1764" s="375" t="s">
        <v>11548</v>
      </c>
      <c r="H1764" s="375" t="s">
        <v>858</v>
      </c>
      <c r="I1764" s="375" t="s">
        <v>859</v>
      </c>
      <c r="J1764" s="375">
        <v>40587.430160000004</v>
      </c>
      <c r="K1764" s="375">
        <v>-666.82204999999999</v>
      </c>
      <c r="L1764" s="375">
        <v>-1075.74783</v>
      </c>
      <c r="M1764" s="375">
        <v>45904.461049999998</v>
      </c>
      <c r="N1764" s="372">
        <v>1.0209999999999999</v>
      </c>
      <c r="O1764" s="704">
        <v>11.799400868442172</v>
      </c>
      <c r="P1764" s="375" t="s">
        <v>619</v>
      </c>
      <c r="Q1764" s="372" t="s">
        <v>619</v>
      </c>
      <c r="R1764" s="696">
        <v>20190724</v>
      </c>
      <c r="S1764" s="372" t="s">
        <v>11549</v>
      </c>
      <c r="T1764" s="697" t="s">
        <v>768</v>
      </c>
      <c r="U1764" s="372" t="s">
        <v>11550</v>
      </c>
      <c r="V1764" s="722">
        <v>81.17</v>
      </c>
      <c r="W1764" s="722">
        <v>1.67</v>
      </c>
      <c r="X1764" s="722">
        <v>1.89</v>
      </c>
      <c r="Y1764" s="722" t="s">
        <v>770</v>
      </c>
      <c r="Z1764" s="382" t="s">
        <v>924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11551</v>
      </c>
      <c r="B1765" s="373" t="s">
        <v>11552</v>
      </c>
      <c r="C1765" s="372" t="s">
        <v>11553</v>
      </c>
      <c r="D1765" s="374">
        <v>1101112001842</v>
      </c>
      <c r="E1765" s="372" t="s">
        <v>11554</v>
      </c>
      <c r="F1765" s="375" t="s">
        <v>1793</v>
      </c>
      <c r="G1765" s="375" t="s">
        <v>1794</v>
      </c>
      <c r="H1765" s="375" t="s">
        <v>858</v>
      </c>
      <c r="I1765" s="375" t="s">
        <v>859</v>
      </c>
      <c r="J1765" s="375">
        <v>11832.839400000001</v>
      </c>
      <c r="K1765" s="375">
        <v>-4071.5590499999998</v>
      </c>
      <c r="L1765" s="375">
        <v>-3640.7755400000001</v>
      </c>
      <c r="M1765" s="375">
        <v>7063.7958699999999</v>
      </c>
      <c r="N1765" s="372">
        <v>0.53600000000000003</v>
      </c>
      <c r="O1765" s="704">
        <v>20.145037408488299</v>
      </c>
      <c r="P1765" s="375" t="s">
        <v>16112</v>
      </c>
      <c r="Q1765" s="375" t="s">
        <v>619</v>
      </c>
      <c r="R1765" s="696">
        <v>20171110</v>
      </c>
      <c r="S1765" s="375" t="s">
        <v>11555</v>
      </c>
      <c r="T1765" s="697" t="s">
        <v>768</v>
      </c>
      <c r="U1765" s="372" t="s">
        <v>11556</v>
      </c>
      <c r="V1765" s="722">
        <v>0</v>
      </c>
      <c r="W1765" s="722">
        <v>0</v>
      </c>
      <c r="X1765" s="722">
        <v>0</v>
      </c>
      <c r="Y1765" s="722">
        <v>0</v>
      </c>
      <c r="Z1765" s="382" t="s">
        <v>924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11557</v>
      </c>
      <c r="B1766" s="373" t="s">
        <v>11558</v>
      </c>
      <c r="C1766" s="372" t="s">
        <v>11559</v>
      </c>
      <c r="D1766" s="374">
        <v>1341110078407</v>
      </c>
      <c r="E1766" s="372" t="s">
        <v>11560</v>
      </c>
      <c r="F1766" s="375" t="s">
        <v>766</v>
      </c>
      <c r="G1766" s="375" t="s">
        <v>11561</v>
      </c>
      <c r="H1766" s="375" t="s">
        <v>858</v>
      </c>
      <c r="I1766" s="375" t="s">
        <v>859</v>
      </c>
      <c r="J1766" s="375">
        <v>16900.21819</v>
      </c>
      <c r="K1766" s="375">
        <v>-4489.85142</v>
      </c>
      <c r="L1766" s="375">
        <v>-3903.06322</v>
      </c>
      <c r="M1766" s="375">
        <v>41936.691930000001</v>
      </c>
      <c r="N1766" s="372" t="s">
        <v>1023</v>
      </c>
      <c r="O1766" s="704">
        <v>21.809150692516045</v>
      </c>
      <c r="P1766" s="375" t="s">
        <v>619</v>
      </c>
      <c r="Q1766" s="375" t="s">
        <v>619</v>
      </c>
      <c r="R1766" s="696">
        <v>20231107</v>
      </c>
      <c r="S1766" s="375" t="s">
        <v>11562</v>
      </c>
      <c r="T1766" s="697" t="s">
        <v>768</v>
      </c>
      <c r="U1766" s="372" t="s">
        <v>11563</v>
      </c>
      <c r="V1766" s="722">
        <v>0</v>
      </c>
      <c r="W1766" s="722">
        <v>0</v>
      </c>
      <c r="X1766" s="722">
        <v>0</v>
      </c>
      <c r="Y1766" s="722">
        <v>0</v>
      </c>
      <c r="Z1766" s="382" t="s">
        <v>924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11564</v>
      </c>
      <c r="B1767" s="373" t="s">
        <v>11565</v>
      </c>
      <c r="C1767" s="372" t="s">
        <v>11566</v>
      </c>
      <c r="D1767" s="374">
        <v>2001110093313</v>
      </c>
      <c r="E1767" s="372" t="s">
        <v>11567</v>
      </c>
      <c r="F1767" s="375" t="s">
        <v>842</v>
      </c>
      <c r="G1767" s="375" t="s">
        <v>842</v>
      </c>
      <c r="H1767" s="375" t="s">
        <v>3096</v>
      </c>
      <c r="I1767" s="375" t="s">
        <v>859</v>
      </c>
      <c r="J1767" s="375">
        <v>47744.74667</v>
      </c>
      <c r="K1767" s="375">
        <v>-3187.55917</v>
      </c>
      <c r="L1767" s="375">
        <v>-4948.1248900000001</v>
      </c>
      <c r="M1767" s="375">
        <v>42486.06942</v>
      </c>
      <c r="N1767" s="372">
        <v>0.91900000000000004</v>
      </c>
      <c r="O1767" s="704">
        <v>20.418286634472889</v>
      </c>
      <c r="P1767" s="375" t="s">
        <v>619</v>
      </c>
      <c r="Q1767" s="372" t="s">
        <v>619</v>
      </c>
      <c r="R1767" s="696">
        <v>20121127</v>
      </c>
      <c r="S1767" s="372" t="s">
        <v>11568</v>
      </c>
      <c r="T1767" s="697" t="s">
        <v>768</v>
      </c>
      <c r="U1767" s="372" t="s">
        <v>11569</v>
      </c>
      <c r="V1767" s="722" t="s">
        <v>770</v>
      </c>
      <c r="W1767" s="722">
        <v>1.1000000000000001</v>
      </c>
      <c r="X1767" s="722">
        <v>1.03</v>
      </c>
      <c r="Y1767" s="722" t="s">
        <v>770</v>
      </c>
      <c r="Z1767" s="382" t="s">
        <v>924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11570</v>
      </c>
      <c r="B1768" s="373" t="s">
        <v>11571</v>
      </c>
      <c r="C1768" s="372" t="s">
        <v>11572</v>
      </c>
      <c r="D1768" s="374">
        <v>1101110155378</v>
      </c>
      <c r="E1768" s="372" t="s">
        <v>11573</v>
      </c>
      <c r="F1768" s="372" t="s">
        <v>1566</v>
      </c>
      <c r="G1768" s="375" t="s">
        <v>1566</v>
      </c>
      <c r="H1768" s="375" t="s">
        <v>3096</v>
      </c>
      <c r="I1768" s="375" t="s">
        <v>859</v>
      </c>
      <c r="J1768" s="375">
        <v>55300.876949999998</v>
      </c>
      <c r="K1768" s="375">
        <v>1303.05781</v>
      </c>
      <c r="L1768" s="375">
        <v>1844.01153</v>
      </c>
      <c r="M1768" s="375">
        <v>48903.872430000003</v>
      </c>
      <c r="N1768" s="372">
        <v>0.78300000000000003</v>
      </c>
      <c r="O1768" s="704">
        <v>2.0474047640947337E-3</v>
      </c>
      <c r="P1768" s="375" t="s">
        <v>619</v>
      </c>
      <c r="Q1768" s="372" t="s">
        <v>619</v>
      </c>
      <c r="R1768" s="696">
        <v>19941228</v>
      </c>
      <c r="S1768" s="372" t="s">
        <v>11574</v>
      </c>
      <c r="T1768" s="697">
        <v>0.20900000000000002</v>
      </c>
      <c r="U1768" s="372" t="s">
        <v>11575</v>
      </c>
      <c r="V1768" s="722">
        <v>20.55</v>
      </c>
      <c r="W1768" s="722">
        <v>1.1399999999999999</v>
      </c>
      <c r="X1768" s="722">
        <v>1.02</v>
      </c>
      <c r="Y1768" s="722">
        <v>34.19</v>
      </c>
      <c r="Z1768" s="382" t="s">
        <v>924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11576</v>
      </c>
      <c r="B1769" s="373" t="s">
        <v>11577</v>
      </c>
      <c r="C1769" s="372" t="s">
        <v>11578</v>
      </c>
      <c r="D1769" s="374">
        <v>1101111444241</v>
      </c>
      <c r="E1769" s="372" t="s">
        <v>11579</v>
      </c>
      <c r="F1769" s="375" t="s">
        <v>4181</v>
      </c>
      <c r="G1769" s="375" t="s">
        <v>4181</v>
      </c>
      <c r="H1769" s="375" t="s">
        <v>858</v>
      </c>
      <c r="I1769" s="375" t="s">
        <v>859</v>
      </c>
      <c r="J1769" s="375">
        <v>36804.768279999997</v>
      </c>
      <c r="K1769" s="375">
        <v>3032.0129200000001</v>
      </c>
      <c r="L1769" s="375">
        <v>3348.9007799999999</v>
      </c>
      <c r="M1769" s="375">
        <v>38058.040990000001</v>
      </c>
      <c r="N1769" s="372">
        <v>1.0429999999999999</v>
      </c>
      <c r="O1769" s="704">
        <v>7.1155363476887583</v>
      </c>
      <c r="P1769" s="375" t="s">
        <v>619</v>
      </c>
      <c r="Q1769" s="372" t="s">
        <v>619</v>
      </c>
      <c r="R1769" s="696">
        <v>20070914</v>
      </c>
      <c r="S1769" s="372" t="s">
        <v>11580</v>
      </c>
      <c r="T1769" s="697">
        <v>0.20900000000000002</v>
      </c>
      <c r="U1769" s="372" t="s">
        <v>11581</v>
      </c>
      <c r="V1769" s="722">
        <v>13</v>
      </c>
      <c r="W1769" s="722">
        <v>1.38</v>
      </c>
      <c r="X1769" s="722">
        <v>1.51</v>
      </c>
      <c r="Y1769" s="722">
        <v>15.43</v>
      </c>
      <c r="Z1769" s="382" t="s">
        <v>924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11582</v>
      </c>
      <c r="B1770" s="373" t="s">
        <v>11583</v>
      </c>
      <c r="C1770" s="372" t="s">
        <v>11584</v>
      </c>
      <c r="D1770" s="374">
        <v>1201110007238</v>
      </c>
      <c r="E1770" s="372" t="s">
        <v>11585</v>
      </c>
      <c r="F1770" s="375" t="s">
        <v>2004</v>
      </c>
      <c r="G1770" s="375" t="s">
        <v>2004</v>
      </c>
      <c r="H1770" s="375" t="s">
        <v>858</v>
      </c>
      <c r="I1770" s="375" t="s">
        <v>859</v>
      </c>
      <c r="J1770" s="375">
        <v>27001.869790000001</v>
      </c>
      <c r="K1770" s="375">
        <v>743.33207000000004</v>
      </c>
      <c r="L1770" s="375">
        <v>-12051.86852</v>
      </c>
      <c r="M1770" s="375">
        <v>68697.968980000005</v>
      </c>
      <c r="N1770" s="372">
        <v>0.88200000000000001</v>
      </c>
      <c r="O1770" s="704">
        <v>39.700818387945226</v>
      </c>
      <c r="P1770" s="375" t="s">
        <v>619</v>
      </c>
      <c r="Q1770" s="375" t="s">
        <v>619</v>
      </c>
      <c r="R1770" s="696">
        <v>19931222</v>
      </c>
      <c r="S1770" s="375" t="s">
        <v>11586</v>
      </c>
      <c r="T1770" s="697" t="s">
        <v>768</v>
      </c>
      <c r="U1770" s="372" t="s">
        <v>11587</v>
      </c>
      <c r="V1770" s="722">
        <v>21.83</v>
      </c>
      <c r="W1770" s="722">
        <v>0.76</v>
      </c>
      <c r="X1770" s="722">
        <v>1.91</v>
      </c>
      <c r="Y1770" s="722" t="s">
        <v>770</v>
      </c>
      <c r="Z1770" s="382" t="s">
        <v>924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11588</v>
      </c>
      <c r="B1771" s="373" t="s">
        <v>11589</v>
      </c>
      <c r="C1771" s="372" t="s">
        <v>11590</v>
      </c>
      <c r="D1771" s="374">
        <v>1101118406781</v>
      </c>
      <c r="E1771" s="372" t="s">
        <v>11591</v>
      </c>
      <c r="F1771" s="375" t="s">
        <v>1140</v>
      </c>
      <c r="G1771" s="375" t="s">
        <v>1141</v>
      </c>
      <c r="H1771" s="375" t="s">
        <v>892</v>
      </c>
      <c r="I1771" s="375" t="s">
        <v>859</v>
      </c>
      <c r="J1771" s="375">
        <v>0</v>
      </c>
      <c r="K1771" s="375">
        <v>-64.608239999999995</v>
      </c>
      <c r="L1771" s="375">
        <v>2206.0802600000002</v>
      </c>
      <c r="M1771" s="375">
        <v>77227.991989999995</v>
      </c>
      <c r="N1771" s="372" t="s">
        <v>1023</v>
      </c>
      <c r="O1771" s="704">
        <v>13.095039049466134</v>
      </c>
      <c r="P1771" s="375" t="s">
        <v>619</v>
      </c>
      <c r="Q1771" s="375" t="s">
        <v>619</v>
      </c>
      <c r="R1771" s="696">
        <v>20230315</v>
      </c>
      <c r="S1771" s="375" t="s">
        <v>9015</v>
      </c>
      <c r="T1771" s="697">
        <v>0.20900000000000002</v>
      </c>
      <c r="U1771" s="372">
        <v>0</v>
      </c>
      <c r="V1771" s="722">
        <v>0</v>
      </c>
      <c r="W1771" s="722">
        <v>0</v>
      </c>
      <c r="X1771" s="722">
        <v>0</v>
      </c>
      <c r="Y1771" s="722">
        <v>0</v>
      </c>
      <c r="Z1771" s="382" t="s">
        <v>770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11592</v>
      </c>
      <c r="B1772" s="373" t="s">
        <v>11593</v>
      </c>
      <c r="C1772" s="372" t="s">
        <v>11594</v>
      </c>
      <c r="D1772" s="374">
        <v>1101117263174</v>
      </c>
      <c r="E1772" s="372" t="s">
        <v>11595</v>
      </c>
      <c r="F1772" s="375" t="s">
        <v>618</v>
      </c>
      <c r="G1772" s="375" t="s">
        <v>618</v>
      </c>
      <c r="H1772" s="375" t="s">
        <v>858</v>
      </c>
      <c r="I1772" s="375" t="s">
        <v>859</v>
      </c>
      <c r="J1772" s="375">
        <v>73802.259080000003</v>
      </c>
      <c r="K1772" s="375">
        <v>-1569.3073199999999</v>
      </c>
      <c r="L1772" s="375">
        <v>-1829.32179</v>
      </c>
      <c r="M1772" s="375">
        <v>14739.853230000001</v>
      </c>
      <c r="N1772" s="372">
        <v>0.96799999999999997</v>
      </c>
      <c r="O1772" s="704">
        <v>10.562927577907775</v>
      </c>
      <c r="P1772" s="375" t="s">
        <v>619</v>
      </c>
      <c r="Q1772" s="375" t="s">
        <v>619</v>
      </c>
      <c r="R1772" s="696">
        <v>20191219</v>
      </c>
      <c r="S1772" s="375" t="s">
        <v>11596</v>
      </c>
      <c r="T1772" s="697" t="s">
        <v>768</v>
      </c>
      <c r="U1772" s="372" t="s">
        <v>11597</v>
      </c>
      <c r="V1772" s="722">
        <v>0</v>
      </c>
      <c r="W1772" s="722">
        <v>0</v>
      </c>
      <c r="X1772" s="722">
        <v>0</v>
      </c>
      <c r="Y1772" s="722">
        <v>0</v>
      </c>
      <c r="Z1772" s="382" t="s">
        <v>924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11598</v>
      </c>
      <c r="B1773" s="373" t="s">
        <v>11599</v>
      </c>
      <c r="C1773" s="372" t="s">
        <v>11600</v>
      </c>
      <c r="D1773" s="374">
        <v>1101111953953</v>
      </c>
      <c r="E1773" s="372" t="s">
        <v>11601</v>
      </c>
      <c r="F1773" s="375" t="s">
        <v>1113</v>
      </c>
      <c r="G1773" s="375" t="s">
        <v>1333</v>
      </c>
      <c r="H1773" s="375" t="s">
        <v>1334</v>
      </c>
      <c r="I1773" s="375" t="s">
        <v>859</v>
      </c>
      <c r="J1773" s="375">
        <v>56883.442569999999</v>
      </c>
      <c r="K1773" s="375">
        <v>3829.3820500000002</v>
      </c>
      <c r="L1773" s="375">
        <v>5527.0462399999997</v>
      </c>
      <c r="M1773" s="375">
        <v>69585.410940000002</v>
      </c>
      <c r="N1773" s="372">
        <v>0.86499999999999999</v>
      </c>
      <c r="O1773" s="704">
        <v>3.7408329207303312</v>
      </c>
      <c r="P1773" s="375" t="s">
        <v>619</v>
      </c>
      <c r="Q1773" s="372" t="s">
        <v>619</v>
      </c>
      <c r="R1773" s="696">
        <v>20200522</v>
      </c>
      <c r="S1773" s="372" t="s">
        <v>11602</v>
      </c>
      <c r="T1773" s="697">
        <v>0.20900000000000002</v>
      </c>
      <c r="U1773" s="372" t="s">
        <v>11603</v>
      </c>
      <c r="V1773" s="722">
        <v>14.99</v>
      </c>
      <c r="W1773" s="722">
        <v>1.36</v>
      </c>
      <c r="X1773" s="722">
        <v>1.52</v>
      </c>
      <c r="Y1773" s="722">
        <v>18.440000000000001</v>
      </c>
      <c r="Z1773" s="382" t="s">
        <v>924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11604</v>
      </c>
      <c r="B1774" s="373" t="s">
        <v>11605</v>
      </c>
      <c r="C1774" s="372" t="s">
        <v>11606</v>
      </c>
      <c r="D1774" s="374">
        <v>1101110243793</v>
      </c>
      <c r="E1774" s="372" t="s">
        <v>11607</v>
      </c>
      <c r="F1774" s="375" t="s">
        <v>4843</v>
      </c>
      <c r="G1774" s="375" t="s">
        <v>16114</v>
      </c>
      <c r="H1774" s="375" t="s">
        <v>1383</v>
      </c>
      <c r="I1774" s="375" t="s">
        <v>751</v>
      </c>
      <c r="J1774" s="375">
        <v>275428.05953999999</v>
      </c>
      <c r="K1774" s="375">
        <v>-1767.1563900000001</v>
      </c>
      <c r="L1774" s="375">
        <v>-4967.3261400000001</v>
      </c>
      <c r="M1774" s="375">
        <v>100746.30895000001</v>
      </c>
      <c r="N1774" s="372">
        <v>0.50700000000000001</v>
      </c>
      <c r="O1774" s="704">
        <v>114.61384938032523</v>
      </c>
      <c r="P1774" s="375" t="s">
        <v>619</v>
      </c>
      <c r="Q1774" s="372" t="s">
        <v>619</v>
      </c>
      <c r="R1774" s="696">
        <v>19891130</v>
      </c>
      <c r="S1774" s="375" t="s">
        <v>11608</v>
      </c>
      <c r="T1774" s="697" t="s">
        <v>768</v>
      </c>
      <c r="U1774" s="372" t="s">
        <v>11609</v>
      </c>
      <c r="V1774" s="722">
        <v>92.4</v>
      </c>
      <c r="W1774" s="722">
        <v>0.79</v>
      </c>
      <c r="X1774" s="722">
        <v>0.22</v>
      </c>
      <c r="Y1774" s="722" t="s">
        <v>770</v>
      </c>
      <c r="Z1774" s="382" t="s">
        <v>924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11610</v>
      </c>
      <c r="B1775" s="373" t="s">
        <v>11611</v>
      </c>
      <c r="C1775" s="372" t="s">
        <v>11612</v>
      </c>
      <c r="D1775" s="374">
        <v>1101113977050</v>
      </c>
      <c r="E1775" s="372" t="s">
        <v>11613</v>
      </c>
      <c r="F1775" s="375" t="s">
        <v>16098</v>
      </c>
      <c r="G1775" s="375" t="s">
        <v>16098</v>
      </c>
      <c r="H1775" s="375" t="s">
        <v>858</v>
      </c>
      <c r="I1775" s="375" t="s">
        <v>859</v>
      </c>
      <c r="J1775" s="375">
        <v>91.237170000000006</v>
      </c>
      <c r="K1775" s="375">
        <v>-16182.48266</v>
      </c>
      <c r="L1775" s="375">
        <v>-15890.71175</v>
      </c>
      <c r="M1775" s="375">
        <v>19575.513770000001</v>
      </c>
      <c r="N1775" s="372">
        <v>-0.152</v>
      </c>
      <c r="O1775" s="704">
        <v>0.20268255423031267</v>
      </c>
      <c r="P1775" s="375" t="s">
        <v>619</v>
      </c>
      <c r="Q1775" s="375" t="s">
        <v>619</v>
      </c>
      <c r="R1775" s="696">
        <v>20221019</v>
      </c>
      <c r="S1775" s="375" t="s">
        <v>11614</v>
      </c>
      <c r="T1775" s="697" t="s">
        <v>768</v>
      </c>
      <c r="U1775" s="372" t="s">
        <v>11615</v>
      </c>
      <c r="V1775" s="722" t="s">
        <v>770</v>
      </c>
      <c r="W1775" s="722">
        <v>6.04</v>
      </c>
      <c r="X1775" s="722">
        <v>1083.1199999999999</v>
      </c>
      <c r="Y1775" s="722" t="s">
        <v>770</v>
      </c>
      <c r="Z1775" s="382" t="s">
        <v>924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11616</v>
      </c>
      <c r="B1776" s="373" t="s">
        <v>11617</v>
      </c>
      <c r="C1776" s="372" t="s">
        <v>11618</v>
      </c>
      <c r="D1776" s="374">
        <v>1243110000755</v>
      </c>
      <c r="E1776" s="372" t="s">
        <v>11619</v>
      </c>
      <c r="F1776" s="375" t="s">
        <v>2004</v>
      </c>
      <c r="G1776" s="375" t="s">
        <v>2004</v>
      </c>
      <c r="H1776" s="375" t="s">
        <v>789</v>
      </c>
      <c r="I1776" s="375" t="s">
        <v>751</v>
      </c>
      <c r="J1776" s="375">
        <v>319593.77045000001</v>
      </c>
      <c r="K1776" s="375">
        <v>-736.10188000000005</v>
      </c>
      <c r="L1776" s="375">
        <v>11153.794900000001</v>
      </c>
      <c r="M1776" s="375">
        <v>329219.83260000002</v>
      </c>
      <c r="N1776" s="372">
        <v>0.622</v>
      </c>
      <c r="O1776" s="704">
        <v>19.849748861105837</v>
      </c>
      <c r="P1776" s="375" t="s">
        <v>619</v>
      </c>
      <c r="Q1776" s="372" t="s">
        <v>619</v>
      </c>
      <c r="R1776" s="696">
        <v>19881010</v>
      </c>
      <c r="S1776" s="372" t="s">
        <v>11620</v>
      </c>
      <c r="T1776" s="697">
        <v>0.20900000000000002</v>
      </c>
      <c r="U1776" s="372" t="s">
        <v>11621</v>
      </c>
      <c r="V1776" s="722">
        <v>5.77</v>
      </c>
      <c r="W1776" s="722">
        <v>0.19</v>
      </c>
      <c r="X1776" s="722">
        <v>0.17</v>
      </c>
      <c r="Y1776" s="722" t="s">
        <v>770</v>
      </c>
      <c r="Z1776" s="382" t="s">
        <v>924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11622</v>
      </c>
      <c r="B1777" s="373" t="s">
        <v>11623</v>
      </c>
      <c r="C1777" s="372" t="s">
        <v>15931</v>
      </c>
      <c r="D1777" s="374">
        <v>1101110747414</v>
      </c>
      <c r="E1777" s="372" t="s">
        <v>11624</v>
      </c>
      <c r="F1777" s="375" t="s">
        <v>5766</v>
      </c>
      <c r="G1777" s="375" t="s">
        <v>5766</v>
      </c>
      <c r="H1777" s="375" t="s">
        <v>1334</v>
      </c>
      <c r="I1777" s="375" t="s">
        <v>859</v>
      </c>
      <c r="J1777" s="375">
        <v>55839.691290000002</v>
      </c>
      <c r="K1777" s="375">
        <v>-593.93035999999995</v>
      </c>
      <c r="L1777" s="375">
        <v>-846.16664000000003</v>
      </c>
      <c r="M1777" s="375">
        <v>93771.155060000005</v>
      </c>
      <c r="N1777" s="372">
        <v>1.274</v>
      </c>
      <c r="O1777" s="704">
        <v>7.1190316402443781</v>
      </c>
      <c r="P1777" s="375" t="s">
        <v>619</v>
      </c>
      <c r="Q1777" s="372" t="s">
        <v>619</v>
      </c>
      <c r="R1777" s="696">
        <v>20020809</v>
      </c>
      <c r="S1777" s="375" t="s">
        <v>11625</v>
      </c>
      <c r="T1777" s="697" t="s">
        <v>768</v>
      </c>
      <c r="U1777" s="372" t="s">
        <v>15932</v>
      </c>
      <c r="V1777" s="722">
        <v>376.07</v>
      </c>
      <c r="W1777" s="722">
        <v>1.98</v>
      </c>
      <c r="X1777" s="722">
        <v>2.96</v>
      </c>
      <c r="Y1777" s="722" t="s">
        <v>770</v>
      </c>
      <c r="Z1777" s="382" t="s">
        <v>924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11626</v>
      </c>
      <c r="B1778" s="373" t="s">
        <v>11627</v>
      </c>
      <c r="C1778" s="372" t="s">
        <v>11628</v>
      </c>
      <c r="D1778" s="374">
        <v>1101116728781</v>
      </c>
      <c r="E1778" s="372" t="s">
        <v>11629</v>
      </c>
      <c r="F1778" s="375" t="s">
        <v>1113</v>
      </c>
      <c r="G1778" s="375" t="s">
        <v>1333</v>
      </c>
      <c r="H1778" s="375" t="s">
        <v>1334</v>
      </c>
      <c r="I1778" s="375" t="s">
        <v>859</v>
      </c>
      <c r="J1778" s="375">
        <v>6705.2385299999996</v>
      </c>
      <c r="K1778" s="375">
        <v>-12108.01586</v>
      </c>
      <c r="L1778" s="375">
        <v>-12068.286389999999</v>
      </c>
      <c r="M1778" s="375">
        <v>25922.434740000001</v>
      </c>
      <c r="N1778" s="372">
        <v>1.0229999999999999</v>
      </c>
      <c r="O1778" s="704">
        <v>12.224381505936211</v>
      </c>
      <c r="P1778" s="375" t="s">
        <v>619</v>
      </c>
      <c r="Q1778" s="372" t="s">
        <v>619</v>
      </c>
      <c r="R1778" s="696">
        <v>20211108</v>
      </c>
      <c r="S1778" s="372" t="s">
        <v>11630</v>
      </c>
      <c r="T1778" s="697" t="s">
        <v>768</v>
      </c>
      <c r="U1778" s="372" t="s">
        <v>11631</v>
      </c>
      <c r="V1778" s="722" t="s">
        <v>770</v>
      </c>
      <c r="W1778" s="722">
        <v>2.04</v>
      </c>
      <c r="X1778" s="722">
        <v>7.89</v>
      </c>
      <c r="Y1778" s="722" t="s">
        <v>770</v>
      </c>
      <c r="Z1778" s="382" t="s">
        <v>924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11632</v>
      </c>
      <c r="B1779" s="373" t="s">
        <v>11633</v>
      </c>
      <c r="C1779" s="372" t="s">
        <v>11634</v>
      </c>
      <c r="D1779" s="374">
        <v>1511110009906</v>
      </c>
      <c r="E1779" s="372" t="s">
        <v>11635</v>
      </c>
      <c r="F1779" s="375" t="s">
        <v>4733</v>
      </c>
      <c r="G1779" s="375" t="s">
        <v>4734</v>
      </c>
      <c r="H1779" s="375" t="s">
        <v>1334</v>
      </c>
      <c r="I1779" s="375" t="s">
        <v>859</v>
      </c>
      <c r="J1779" s="375">
        <v>18778.527770000001</v>
      </c>
      <c r="K1779" s="375">
        <v>-460.29599000000002</v>
      </c>
      <c r="L1779" s="375">
        <v>2161.59256</v>
      </c>
      <c r="M1779" s="375">
        <v>35827.519540000001</v>
      </c>
      <c r="N1779" s="372">
        <v>0.67700000000000005</v>
      </c>
      <c r="O1779" s="704">
        <v>0.95675508626758188</v>
      </c>
      <c r="P1779" s="375" t="s">
        <v>619</v>
      </c>
      <c r="Q1779" s="375" t="s">
        <v>619</v>
      </c>
      <c r="R1779" s="696">
        <v>20030528</v>
      </c>
      <c r="S1779" s="375" t="s">
        <v>11636</v>
      </c>
      <c r="T1779" s="697">
        <v>0.20900000000000002</v>
      </c>
      <c r="U1779" s="372" t="s">
        <v>11637</v>
      </c>
      <c r="V1779" s="722">
        <v>49.63</v>
      </c>
      <c r="W1779" s="722">
        <v>3.1</v>
      </c>
      <c r="X1779" s="722">
        <v>6.13</v>
      </c>
      <c r="Y1779" s="722">
        <v>53.26</v>
      </c>
      <c r="Z1779" s="382" t="s">
        <v>924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11638</v>
      </c>
      <c r="B1780" s="373" t="s">
        <v>11639</v>
      </c>
      <c r="C1780" s="372" t="s">
        <v>11640</v>
      </c>
      <c r="D1780" s="374">
        <v>1101116929959</v>
      </c>
      <c r="E1780" s="372" t="s">
        <v>11641</v>
      </c>
      <c r="F1780" s="375" t="s">
        <v>2100</v>
      </c>
      <c r="G1780" s="375" t="s">
        <v>2100</v>
      </c>
      <c r="H1780" s="375" t="s">
        <v>892</v>
      </c>
      <c r="I1780" s="375" t="s">
        <v>859</v>
      </c>
      <c r="J1780" s="375">
        <v>0</v>
      </c>
      <c r="K1780" s="375">
        <v>0</v>
      </c>
      <c r="L1780" s="375">
        <v>0</v>
      </c>
      <c r="M1780" s="375">
        <v>0</v>
      </c>
      <c r="N1780" s="372" t="s">
        <v>1023</v>
      </c>
      <c r="O1780" s="704" t="s">
        <v>16298</v>
      </c>
      <c r="P1780" s="375" t="s">
        <v>619</v>
      </c>
      <c r="Q1780" s="372" t="s">
        <v>619</v>
      </c>
      <c r="R1780" s="696">
        <v>20231115</v>
      </c>
      <c r="S1780" s="375" t="s">
        <v>9057</v>
      </c>
      <c r="T1780" s="697" t="s">
        <v>768</v>
      </c>
      <c r="U1780" s="372" t="s">
        <v>11642</v>
      </c>
      <c r="V1780" s="722">
        <v>0</v>
      </c>
      <c r="W1780" s="722">
        <v>0</v>
      </c>
      <c r="X1780" s="722">
        <v>0</v>
      </c>
      <c r="Y1780" s="722">
        <v>0</v>
      </c>
      <c r="Z1780" s="382" t="s">
        <v>924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11643</v>
      </c>
      <c r="B1781" s="373" t="s">
        <v>11644</v>
      </c>
      <c r="C1781" s="372" t="s">
        <v>11645</v>
      </c>
      <c r="D1781" s="374">
        <v>1311110243912</v>
      </c>
      <c r="E1781" s="372" t="s">
        <v>11646</v>
      </c>
      <c r="F1781" s="375" t="s">
        <v>1793</v>
      </c>
      <c r="G1781" s="375" t="s">
        <v>1794</v>
      </c>
      <c r="H1781" s="375" t="s">
        <v>858</v>
      </c>
      <c r="I1781" s="375" t="s">
        <v>859</v>
      </c>
      <c r="J1781" s="375">
        <v>24182.58293</v>
      </c>
      <c r="K1781" s="375">
        <v>-3226.4679500000002</v>
      </c>
      <c r="L1781" s="375">
        <v>-1740.93398</v>
      </c>
      <c r="M1781" s="375">
        <v>66045.610570000004</v>
      </c>
      <c r="N1781" s="372">
        <v>0.54</v>
      </c>
      <c r="O1781" s="704">
        <v>1.3844114356377339</v>
      </c>
      <c r="P1781" s="375" t="s">
        <v>619</v>
      </c>
      <c r="Q1781" s="375" t="s">
        <v>619</v>
      </c>
      <c r="R1781" s="696">
        <v>20150629</v>
      </c>
      <c r="S1781" s="375" t="s">
        <v>11647</v>
      </c>
      <c r="T1781" s="697" t="s">
        <v>768</v>
      </c>
      <c r="U1781" s="372" t="s">
        <v>11648</v>
      </c>
      <c r="V1781" s="722" t="s">
        <v>770</v>
      </c>
      <c r="W1781" s="722">
        <v>0.91</v>
      </c>
      <c r="X1781" s="722">
        <v>2.46</v>
      </c>
      <c r="Y1781" s="722" t="s">
        <v>770</v>
      </c>
      <c r="Z1781" s="382" t="s">
        <v>924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11649</v>
      </c>
      <c r="B1782" s="373" t="s">
        <v>11650</v>
      </c>
      <c r="C1782" s="372" t="s">
        <v>11651</v>
      </c>
      <c r="D1782" s="374">
        <v>1101111903643</v>
      </c>
      <c r="E1782" s="372" t="s">
        <v>11652</v>
      </c>
      <c r="F1782" s="375" t="s">
        <v>16116</v>
      </c>
      <c r="G1782" s="375" t="s">
        <v>16116</v>
      </c>
      <c r="H1782" s="375" t="s">
        <v>1528</v>
      </c>
      <c r="I1782" s="375" t="s">
        <v>859</v>
      </c>
      <c r="J1782" s="375">
        <v>46596.042309999997</v>
      </c>
      <c r="K1782" s="375">
        <v>545.36566000000005</v>
      </c>
      <c r="L1782" s="375">
        <v>2324.4928399999999</v>
      </c>
      <c r="M1782" s="375">
        <v>62796.520400000001</v>
      </c>
      <c r="N1782" s="372">
        <v>0.97599999999999998</v>
      </c>
      <c r="O1782" s="704">
        <v>2.9443950769751313</v>
      </c>
      <c r="P1782" s="375" t="s">
        <v>619</v>
      </c>
      <c r="Q1782" s="372" t="s">
        <v>619</v>
      </c>
      <c r="R1782" s="696">
        <v>20050119</v>
      </c>
      <c r="S1782" s="372" t="s">
        <v>11653</v>
      </c>
      <c r="T1782" s="697">
        <v>0.20900000000000002</v>
      </c>
      <c r="U1782" s="372" t="s">
        <v>11654</v>
      </c>
      <c r="V1782" s="722">
        <v>16.920000000000002</v>
      </c>
      <c r="W1782" s="722">
        <v>1.01</v>
      </c>
      <c r="X1782" s="722">
        <v>1.32</v>
      </c>
      <c r="Y1782" s="722">
        <v>35.35</v>
      </c>
      <c r="Z1782" s="382" t="s">
        <v>924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11655</v>
      </c>
      <c r="B1783" s="373" t="s">
        <v>11656</v>
      </c>
      <c r="C1783" s="372" t="s">
        <v>11657</v>
      </c>
      <c r="D1783" s="374">
        <v>1101110342181</v>
      </c>
      <c r="E1783" s="372" t="s">
        <v>11658</v>
      </c>
      <c r="F1783" s="372" t="s">
        <v>1868</v>
      </c>
      <c r="G1783" s="375" t="s">
        <v>7527</v>
      </c>
      <c r="H1783" s="375" t="s">
        <v>1040</v>
      </c>
      <c r="I1783" s="375" t="s">
        <v>751</v>
      </c>
      <c r="J1783" s="375">
        <v>215814.51126999999</v>
      </c>
      <c r="K1783" s="375">
        <v>1551.20876</v>
      </c>
      <c r="L1783" s="375">
        <v>5375.2439999999997</v>
      </c>
      <c r="M1783" s="375">
        <v>141206.32076</v>
      </c>
      <c r="N1783" s="372">
        <v>1.0069999999999999</v>
      </c>
      <c r="O1783" s="704">
        <v>0.48264713862466863</v>
      </c>
      <c r="P1783" s="375" t="s">
        <v>619</v>
      </c>
      <c r="Q1783" s="372" t="s">
        <v>619</v>
      </c>
      <c r="R1783" s="696">
        <v>19881212</v>
      </c>
      <c r="S1783" s="372" t="s">
        <v>11659</v>
      </c>
      <c r="T1783" s="697">
        <v>0.20900000000000002</v>
      </c>
      <c r="U1783" s="372" t="s">
        <v>11660</v>
      </c>
      <c r="V1783" s="722">
        <v>0</v>
      </c>
      <c r="W1783" s="722">
        <v>0</v>
      </c>
      <c r="X1783" s="722">
        <v>0</v>
      </c>
      <c r="Y1783" s="722">
        <v>0</v>
      </c>
      <c r="Z1783" s="382" t="s">
        <v>924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11661</v>
      </c>
      <c r="B1784" s="373" t="s">
        <v>11662</v>
      </c>
      <c r="C1784" s="372" t="s">
        <v>11663</v>
      </c>
      <c r="D1784" s="374">
        <v>1348110011677</v>
      </c>
      <c r="E1784" s="372" t="s">
        <v>11664</v>
      </c>
      <c r="F1784" s="375" t="s">
        <v>3718</v>
      </c>
      <c r="G1784" s="375" t="s">
        <v>3719</v>
      </c>
      <c r="H1784" s="375" t="s">
        <v>858</v>
      </c>
      <c r="I1784" s="375" t="s">
        <v>859</v>
      </c>
      <c r="J1784" s="375">
        <v>233163.48267</v>
      </c>
      <c r="K1784" s="375">
        <v>1532.47624</v>
      </c>
      <c r="L1784" s="375">
        <v>-5268.3846899999999</v>
      </c>
      <c r="M1784" s="375">
        <v>91355.804260000004</v>
      </c>
      <c r="N1784" s="372">
        <v>0.63100000000000001</v>
      </c>
      <c r="O1784" s="704">
        <v>157.8283617442568</v>
      </c>
      <c r="P1784" s="375" t="s">
        <v>619</v>
      </c>
      <c r="Q1784" s="372" t="s">
        <v>619</v>
      </c>
      <c r="R1784" s="696">
        <v>20011211</v>
      </c>
      <c r="S1784" s="372" t="s">
        <v>11665</v>
      </c>
      <c r="T1784" s="697" t="s">
        <v>768</v>
      </c>
      <c r="U1784" s="372" t="s">
        <v>11666</v>
      </c>
      <c r="V1784" s="722">
        <v>8.5299999999999994</v>
      </c>
      <c r="W1784" s="722">
        <v>0.56000000000000005</v>
      </c>
      <c r="X1784" s="722">
        <v>0.23</v>
      </c>
      <c r="Y1784" s="722" t="s">
        <v>770</v>
      </c>
      <c r="Z1784" s="382" t="s">
        <v>924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11667</v>
      </c>
      <c r="B1785" s="373" t="s">
        <v>11668</v>
      </c>
      <c r="C1785" s="372" t="s">
        <v>11669</v>
      </c>
      <c r="D1785" s="374">
        <v>1351110069710</v>
      </c>
      <c r="E1785" s="372" t="s">
        <v>11670</v>
      </c>
      <c r="F1785" s="375" t="s">
        <v>2181</v>
      </c>
      <c r="G1785" s="375" t="s">
        <v>3520</v>
      </c>
      <c r="H1785" s="375" t="s">
        <v>858</v>
      </c>
      <c r="I1785" s="375" t="s">
        <v>859</v>
      </c>
      <c r="J1785" s="375">
        <v>31421.154829999999</v>
      </c>
      <c r="K1785" s="375">
        <v>-9770.0369499999997</v>
      </c>
      <c r="L1785" s="375">
        <v>-10348.04139</v>
      </c>
      <c r="M1785" s="375">
        <v>38583.944750000002</v>
      </c>
      <c r="N1785" s="372">
        <v>1.2470000000000001</v>
      </c>
      <c r="O1785" s="704">
        <v>50.060913255038727</v>
      </c>
      <c r="P1785" s="375" t="s">
        <v>619</v>
      </c>
      <c r="Q1785" s="372" t="s">
        <v>619</v>
      </c>
      <c r="R1785" s="696">
        <v>20161212</v>
      </c>
      <c r="S1785" s="372" t="s">
        <v>11671</v>
      </c>
      <c r="T1785" s="697" t="s">
        <v>768</v>
      </c>
      <c r="U1785" s="372" t="s">
        <v>11672</v>
      </c>
      <c r="V1785" s="722">
        <v>0</v>
      </c>
      <c r="W1785" s="722">
        <v>0</v>
      </c>
      <c r="X1785" s="722">
        <v>0</v>
      </c>
      <c r="Y1785" s="722">
        <v>0</v>
      </c>
      <c r="Z1785" s="382" t="s">
        <v>924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11673</v>
      </c>
      <c r="B1786" s="373" t="s">
        <v>11674</v>
      </c>
      <c r="C1786" s="372" t="s">
        <v>11675</v>
      </c>
      <c r="D1786" s="374">
        <v>1101110234776</v>
      </c>
      <c r="E1786" s="372" t="s">
        <v>11676</v>
      </c>
      <c r="F1786" s="375" t="s">
        <v>1381</v>
      </c>
      <c r="G1786" s="375" t="s">
        <v>1382</v>
      </c>
      <c r="H1786" s="375" t="s">
        <v>1383</v>
      </c>
      <c r="I1786" s="375" t="s">
        <v>751</v>
      </c>
      <c r="J1786" s="375">
        <v>547619.39003000001</v>
      </c>
      <c r="K1786" s="375">
        <v>5230.4791500000001</v>
      </c>
      <c r="L1786" s="375">
        <v>3289.5178500000002</v>
      </c>
      <c r="M1786" s="375">
        <v>124356.18210000001</v>
      </c>
      <c r="N1786" s="372">
        <v>0.84699999999999998</v>
      </c>
      <c r="O1786" s="704">
        <v>185.7621917566276</v>
      </c>
      <c r="P1786" s="375" t="s">
        <v>619</v>
      </c>
      <c r="Q1786" s="372" t="s">
        <v>619</v>
      </c>
      <c r="R1786" s="696">
        <v>19891202</v>
      </c>
      <c r="S1786" s="372" t="s">
        <v>11677</v>
      </c>
      <c r="T1786" s="697">
        <v>0.20900000000000002</v>
      </c>
      <c r="U1786" s="372" t="s">
        <v>11678</v>
      </c>
      <c r="V1786" s="722">
        <v>15.26</v>
      </c>
      <c r="W1786" s="722">
        <v>0.57999999999999996</v>
      </c>
      <c r="X1786" s="722">
        <v>0.13</v>
      </c>
      <c r="Y1786" s="722">
        <v>29.56</v>
      </c>
      <c r="Z1786" s="382" t="s">
        <v>924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11679</v>
      </c>
      <c r="B1787" s="373" t="s">
        <v>11680</v>
      </c>
      <c r="C1787" s="372" t="s">
        <v>11681</v>
      </c>
      <c r="D1787" s="374">
        <v>1311110043271</v>
      </c>
      <c r="E1787" s="372" t="s">
        <v>11682</v>
      </c>
      <c r="F1787" s="375" t="s">
        <v>3118</v>
      </c>
      <c r="G1787" s="375" t="s">
        <v>3118</v>
      </c>
      <c r="H1787" s="375" t="s">
        <v>858</v>
      </c>
      <c r="I1787" s="375" t="s">
        <v>859</v>
      </c>
      <c r="J1787" s="375">
        <v>80973.787509999995</v>
      </c>
      <c r="K1787" s="375">
        <v>1659.9835700000001</v>
      </c>
      <c r="L1787" s="375">
        <v>1559.7871500000001</v>
      </c>
      <c r="M1787" s="375">
        <v>56637.909149999999</v>
      </c>
      <c r="N1787" s="372">
        <v>0.55600000000000005</v>
      </c>
      <c r="O1787" s="704">
        <v>6.2354515526302698</v>
      </c>
      <c r="P1787" s="375" t="s">
        <v>619</v>
      </c>
      <c r="Q1787" s="372" t="s">
        <v>619</v>
      </c>
      <c r="R1787" s="696">
        <v>20070912</v>
      </c>
      <c r="S1787" s="372" t="s">
        <v>11683</v>
      </c>
      <c r="T1787" s="697">
        <v>0.20900000000000002</v>
      </c>
      <c r="U1787" s="372" t="s">
        <v>11684</v>
      </c>
      <c r="V1787" s="722">
        <v>16.02</v>
      </c>
      <c r="W1787" s="722">
        <v>0.96</v>
      </c>
      <c r="X1787" s="722">
        <v>0.83</v>
      </c>
      <c r="Y1787" s="722">
        <v>45.38</v>
      </c>
      <c r="Z1787" s="382" t="s">
        <v>924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810</v>
      </c>
      <c r="AF1787" s="372">
        <v>0</v>
      </c>
      <c r="AG1787" s="372">
        <v>0</v>
      </c>
      <c r="AH1787" s="372">
        <v>0</v>
      </c>
    </row>
    <row r="1788" spans="1:34">
      <c r="A1788" s="372" t="s">
        <v>11685</v>
      </c>
      <c r="B1788" s="373" t="s">
        <v>11686</v>
      </c>
      <c r="C1788" s="372" t="s">
        <v>11687</v>
      </c>
      <c r="D1788" s="374">
        <v>1101110233629</v>
      </c>
      <c r="E1788" s="372" t="s">
        <v>11688</v>
      </c>
      <c r="F1788" s="372" t="s">
        <v>1320</v>
      </c>
      <c r="G1788" s="375" t="s">
        <v>16103</v>
      </c>
      <c r="H1788" s="375" t="s">
        <v>858</v>
      </c>
      <c r="I1788" s="375" t="s">
        <v>859</v>
      </c>
      <c r="J1788" s="375">
        <v>111030.09742999999</v>
      </c>
      <c r="K1788" s="375">
        <v>7489.7956599999998</v>
      </c>
      <c r="L1788" s="375">
        <v>35223.917800000003</v>
      </c>
      <c r="M1788" s="375">
        <v>118023.45793999999</v>
      </c>
      <c r="N1788" s="372">
        <v>0.55400000000000005</v>
      </c>
      <c r="O1788" s="704">
        <v>127.56598821513512</v>
      </c>
      <c r="P1788" s="375" t="s">
        <v>619</v>
      </c>
      <c r="Q1788" s="372" t="s">
        <v>619</v>
      </c>
      <c r="R1788" s="696">
        <v>20000725</v>
      </c>
      <c r="S1788" s="375" t="s">
        <v>11689</v>
      </c>
      <c r="T1788" s="697">
        <v>0.23100000000000001</v>
      </c>
      <c r="U1788" s="372" t="s">
        <v>11690</v>
      </c>
      <c r="V1788" s="722">
        <v>0</v>
      </c>
      <c r="W1788" s="722">
        <v>0</v>
      </c>
      <c r="X1788" s="722">
        <v>0</v>
      </c>
      <c r="Y1788" s="722">
        <v>0</v>
      </c>
      <c r="Z1788" s="382" t="s">
        <v>924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11691</v>
      </c>
      <c r="B1789" s="373" t="s">
        <v>11692</v>
      </c>
      <c r="C1789" s="372" t="s">
        <v>11693</v>
      </c>
      <c r="D1789" s="374">
        <v>1243110030413</v>
      </c>
      <c r="E1789" s="372" t="s">
        <v>11694</v>
      </c>
      <c r="F1789" s="375" t="s">
        <v>2181</v>
      </c>
      <c r="G1789" s="375" t="s">
        <v>2182</v>
      </c>
      <c r="H1789" s="375" t="s">
        <v>2053</v>
      </c>
      <c r="I1789" s="375" t="s">
        <v>751</v>
      </c>
      <c r="J1789" s="375">
        <v>19907.63104</v>
      </c>
      <c r="K1789" s="375">
        <v>-8784.1099599999998</v>
      </c>
      <c r="L1789" s="375">
        <v>-13021.64633</v>
      </c>
      <c r="M1789" s="375">
        <v>82249.112659999999</v>
      </c>
      <c r="N1789" s="372">
        <v>0.56100000000000005</v>
      </c>
      <c r="O1789" s="704">
        <v>39.684247688761431</v>
      </c>
      <c r="P1789" s="375" t="s">
        <v>619</v>
      </c>
      <c r="Q1789" s="375" t="s">
        <v>619</v>
      </c>
      <c r="R1789" s="696">
        <v>19961122</v>
      </c>
      <c r="S1789" s="375" t="s">
        <v>11695</v>
      </c>
      <c r="T1789" s="697" t="s">
        <v>768</v>
      </c>
      <c r="U1789" s="372" t="s">
        <v>11696</v>
      </c>
      <c r="V1789" s="722" t="s">
        <v>770</v>
      </c>
      <c r="W1789" s="722">
        <v>0.49</v>
      </c>
      <c r="X1789" s="722">
        <v>2.0699999999999998</v>
      </c>
      <c r="Y1789" s="722" t="s">
        <v>770</v>
      </c>
      <c r="Z1789" s="382" t="s">
        <v>924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11697</v>
      </c>
      <c r="B1790" s="373" t="s">
        <v>11698</v>
      </c>
      <c r="C1790" s="372" t="s">
        <v>11699</v>
      </c>
      <c r="D1790" s="374">
        <v>1101116178564</v>
      </c>
      <c r="E1790" s="372" t="s">
        <v>11700</v>
      </c>
      <c r="F1790" s="375" t="s">
        <v>1959</v>
      </c>
      <c r="G1790" s="375" t="s">
        <v>1959</v>
      </c>
      <c r="H1790" s="375" t="s">
        <v>858</v>
      </c>
      <c r="I1790" s="375" t="s">
        <v>859</v>
      </c>
      <c r="J1790" s="375">
        <v>44001.64733</v>
      </c>
      <c r="K1790" s="375">
        <v>2100.7628399999999</v>
      </c>
      <c r="L1790" s="375">
        <v>1575.1623400000001</v>
      </c>
      <c r="M1790" s="375">
        <v>28425.003000000001</v>
      </c>
      <c r="N1790" s="372">
        <v>1.2450000000000001</v>
      </c>
      <c r="O1790" s="704">
        <v>5.7713116332799412</v>
      </c>
      <c r="P1790" s="375" t="s">
        <v>619</v>
      </c>
      <c r="Q1790" s="372" t="s">
        <v>619</v>
      </c>
      <c r="R1790" s="696">
        <v>20161202</v>
      </c>
      <c r="S1790" s="375" t="s">
        <v>11701</v>
      </c>
      <c r="T1790" s="697">
        <v>0.20900000000000002</v>
      </c>
      <c r="U1790" s="372" t="s">
        <v>11702</v>
      </c>
      <c r="V1790" s="722">
        <v>20.43</v>
      </c>
      <c r="W1790" s="722">
        <v>2.2599999999999998</v>
      </c>
      <c r="X1790" s="722">
        <v>1.46</v>
      </c>
      <c r="Y1790" s="722">
        <v>37.86</v>
      </c>
      <c r="Z1790" s="382" t="s">
        <v>924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11703</v>
      </c>
      <c r="B1791" s="373" t="s">
        <v>11704</v>
      </c>
      <c r="C1791" s="372" t="s">
        <v>11705</v>
      </c>
      <c r="D1791" s="374">
        <v>1101111927958</v>
      </c>
      <c r="E1791" s="372" t="s">
        <v>11706</v>
      </c>
      <c r="F1791" s="372" t="s">
        <v>972</v>
      </c>
      <c r="G1791" s="375" t="s">
        <v>973</v>
      </c>
      <c r="H1791" s="375" t="s">
        <v>1334</v>
      </c>
      <c r="I1791" s="375" t="s">
        <v>859</v>
      </c>
      <c r="J1791" s="375">
        <v>171051.23993000001</v>
      </c>
      <c r="K1791" s="375">
        <v>17119.829689999999</v>
      </c>
      <c r="L1791" s="375">
        <v>20281.541969999998</v>
      </c>
      <c r="M1791" s="375">
        <v>104652.40978</v>
      </c>
      <c r="N1791" s="372">
        <v>0.55800000000000005</v>
      </c>
      <c r="O1791" s="704">
        <v>6.0835300716677969E-2</v>
      </c>
      <c r="P1791" s="375" t="s">
        <v>619</v>
      </c>
      <c r="Q1791" s="372" t="s">
        <v>619</v>
      </c>
      <c r="R1791" s="696">
        <v>20020108</v>
      </c>
      <c r="S1791" s="372" t="s">
        <v>11707</v>
      </c>
      <c r="T1791" s="697">
        <v>0.23100000000000001</v>
      </c>
      <c r="U1791" s="372" t="s">
        <v>11708</v>
      </c>
      <c r="V1791" s="722">
        <v>5.14</v>
      </c>
      <c r="W1791" s="722">
        <v>0.78</v>
      </c>
      <c r="X1791" s="722">
        <v>0.53</v>
      </c>
      <c r="Y1791" s="722">
        <v>5.73</v>
      </c>
      <c r="Z1791" s="382" t="s">
        <v>924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11709</v>
      </c>
      <c r="B1792" s="373" t="s">
        <v>11710</v>
      </c>
      <c r="C1792" s="372" t="s">
        <v>11711</v>
      </c>
      <c r="D1792" s="374">
        <v>1101113891169</v>
      </c>
      <c r="E1792" s="372" t="s">
        <v>11712</v>
      </c>
      <c r="F1792" s="375" t="s">
        <v>5275</v>
      </c>
      <c r="G1792" s="375" t="s">
        <v>5275</v>
      </c>
      <c r="H1792" s="375" t="s">
        <v>1536</v>
      </c>
      <c r="I1792" s="375" t="s">
        <v>751</v>
      </c>
      <c r="J1792" s="375">
        <v>88177.608699999997</v>
      </c>
      <c r="K1792" s="375">
        <v>-1711.6675</v>
      </c>
      <c r="L1792" s="375">
        <v>-24953.165209999999</v>
      </c>
      <c r="M1792" s="375">
        <v>100563.19379</v>
      </c>
      <c r="N1792" s="372">
        <v>0.53600000000000003</v>
      </c>
      <c r="O1792" s="704">
        <v>20.279935163325639</v>
      </c>
      <c r="P1792" s="375" t="s">
        <v>16112</v>
      </c>
      <c r="Q1792" s="372" t="s">
        <v>619</v>
      </c>
      <c r="R1792" s="696">
        <v>20080610</v>
      </c>
      <c r="S1792" s="372">
        <v>0</v>
      </c>
      <c r="T1792" s="697" t="s">
        <v>768</v>
      </c>
      <c r="U1792" s="372" t="s">
        <v>11713</v>
      </c>
      <c r="V1792" s="722" t="s">
        <v>770</v>
      </c>
      <c r="W1792" s="722">
        <v>0.7</v>
      </c>
      <c r="X1792" s="722">
        <v>0.8</v>
      </c>
      <c r="Y1792" s="722" t="s">
        <v>770</v>
      </c>
      <c r="Z1792" s="382" t="s">
        <v>924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11714</v>
      </c>
      <c r="B1793" s="373" t="s">
        <v>11715</v>
      </c>
      <c r="C1793" s="372" t="s">
        <v>11716</v>
      </c>
      <c r="D1793" s="374">
        <v>1101111877103</v>
      </c>
      <c r="E1793" s="372" t="s">
        <v>11717</v>
      </c>
      <c r="F1793" s="372" t="s">
        <v>4263</v>
      </c>
      <c r="G1793" s="375" t="s">
        <v>4264</v>
      </c>
      <c r="H1793" s="375" t="s">
        <v>1334</v>
      </c>
      <c r="I1793" s="375" t="s">
        <v>859</v>
      </c>
      <c r="J1793" s="375">
        <v>24508.127779999999</v>
      </c>
      <c r="K1793" s="375">
        <v>8254.4953800000003</v>
      </c>
      <c r="L1793" s="375">
        <v>9207.6679700000004</v>
      </c>
      <c r="M1793" s="375">
        <v>111550.09867000001</v>
      </c>
      <c r="N1793" s="372">
        <v>0.76100000000000001</v>
      </c>
      <c r="O1793" s="704">
        <v>1.1278654705597015</v>
      </c>
      <c r="P1793" s="375" t="s">
        <v>619</v>
      </c>
      <c r="Q1793" s="372" t="s">
        <v>619</v>
      </c>
      <c r="R1793" s="696">
        <v>20100209</v>
      </c>
      <c r="S1793" s="372" t="s">
        <v>11718</v>
      </c>
      <c r="T1793" s="697">
        <v>0.20900000000000002</v>
      </c>
      <c r="U1793" s="372" t="s">
        <v>11719</v>
      </c>
      <c r="V1793" s="722">
        <v>7.19</v>
      </c>
      <c r="W1793" s="722">
        <v>0.49</v>
      </c>
      <c r="X1793" s="722">
        <v>2.72</v>
      </c>
      <c r="Y1793" s="722">
        <v>8.4499999999999993</v>
      </c>
      <c r="Z1793" s="382" t="s">
        <v>924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11720</v>
      </c>
      <c r="B1794" s="373" t="s">
        <v>11721</v>
      </c>
      <c r="C1794" s="372" t="s">
        <v>11722</v>
      </c>
      <c r="D1794" s="374">
        <v>1615110028766</v>
      </c>
      <c r="E1794" s="372" t="s">
        <v>11723</v>
      </c>
      <c r="F1794" s="375" t="s">
        <v>2219</v>
      </c>
      <c r="G1794" s="375" t="s">
        <v>2219</v>
      </c>
      <c r="H1794" s="375" t="s">
        <v>858</v>
      </c>
      <c r="I1794" s="375" t="s">
        <v>859</v>
      </c>
      <c r="J1794" s="375">
        <v>106435.54274</v>
      </c>
      <c r="K1794" s="375">
        <v>17864.494019999998</v>
      </c>
      <c r="L1794" s="375">
        <v>18911.536609999999</v>
      </c>
      <c r="M1794" s="375">
        <v>62463.779190000001</v>
      </c>
      <c r="N1794" s="372">
        <v>0.73699999999999999</v>
      </c>
      <c r="O1794" s="704">
        <v>0.30963371467697098</v>
      </c>
      <c r="P1794" s="375" t="s">
        <v>619</v>
      </c>
      <c r="Q1794" s="375" t="s">
        <v>619</v>
      </c>
      <c r="R1794" s="696">
        <v>20161229</v>
      </c>
      <c r="S1794" s="375" t="s">
        <v>11724</v>
      </c>
      <c r="T1794" s="697">
        <v>0.20900000000000002</v>
      </c>
      <c r="U1794" s="372" t="s">
        <v>11725</v>
      </c>
      <c r="V1794" s="722">
        <v>0</v>
      </c>
      <c r="W1794" s="722">
        <v>0</v>
      </c>
      <c r="X1794" s="722">
        <v>0</v>
      </c>
      <c r="Y1794" s="722">
        <v>0</v>
      </c>
      <c r="Z1794" s="382" t="s">
        <v>924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11726</v>
      </c>
      <c r="B1795" s="373" t="s">
        <v>11727</v>
      </c>
      <c r="C1795" s="372" t="s">
        <v>11728</v>
      </c>
      <c r="D1795" s="374">
        <v>1301110010932</v>
      </c>
      <c r="E1795" s="372" t="s">
        <v>11729</v>
      </c>
      <c r="F1795" s="375" t="s">
        <v>842</v>
      </c>
      <c r="G1795" s="375" t="s">
        <v>842</v>
      </c>
      <c r="H1795" s="375" t="s">
        <v>3096</v>
      </c>
      <c r="I1795" s="375" t="s">
        <v>859</v>
      </c>
      <c r="J1795" s="375">
        <v>33312.293530000003</v>
      </c>
      <c r="K1795" s="375">
        <v>-9879.9992000000002</v>
      </c>
      <c r="L1795" s="375">
        <v>-21920.377560000001</v>
      </c>
      <c r="M1795" s="375">
        <v>99937.097899999993</v>
      </c>
      <c r="N1795" s="372">
        <v>1.107</v>
      </c>
      <c r="O1795" s="704">
        <v>59.045949280069053</v>
      </c>
      <c r="P1795" s="375" t="s">
        <v>619</v>
      </c>
      <c r="Q1795" s="372" t="s">
        <v>619</v>
      </c>
      <c r="R1795" s="696">
        <v>20030103</v>
      </c>
      <c r="S1795" s="372" t="s">
        <v>11730</v>
      </c>
      <c r="T1795" s="697" t="s">
        <v>768</v>
      </c>
      <c r="U1795" s="372" t="s">
        <v>11731</v>
      </c>
      <c r="V1795" s="722" t="s">
        <v>770</v>
      </c>
      <c r="W1795" s="722">
        <v>0.53</v>
      </c>
      <c r="X1795" s="722">
        <v>1.62</v>
      </c>
      <c r="Y1795" s="722" t="s">
        <v>770</v>
      </c>
      <c r="Z1795" s="382" t="s">
        <v>924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11732</v>
      </c>
      <c r="B1796" s="373" t="s">
        <v>11733</v>
      </c>
      <c r="C1796" s="372" t="s">
        <v>11734</v>
      </c>
      <c r="D1796" s="374">
        <v>1801110028042</v>
      </c>
      <c r="E1796" s="372" t="s">
        <v>11735</v>
      </c>
      <c r="F1796" s="375" t="s">
        <v>10611</v>
      </c>
      <c r="G1796" s="375" t="s">
        <v>10611</v>
      </c>
      <c r="H1796" s="375" t="s">
        <v>858</v>
      </c>
      <c r="I1796" s="375" t="s">
        <v>859</v>
      </c>
      <c r="J1796" s="375">
        <v>61275.313139999998</v>
      </c>
      <c r="K1796" s="375">
        <v>625.45726000000002</v>
      </c>
      <c r="L1796" s="375">
        <v>389.23081000000002</v>
      </c>
      <c r="M1796" s="375">
        <v>36116.749530000001</v>
      </c>
      <c r="N1796" s="372">
        <v>1.105</v>
      </c>
      <c r="O1796" s="704">
        <v>119.89699976458323</v>
      </c>
      <c r="P1796" s="375" t="s">
        <v>619</v>
      </c>
      <c r="Q1796" s="372" t="s">
        <v>619</v>
      </c>
      <c r="R1796" s="696">
        <v>20071217</v>
      </c>
      <c r="S1796" s="372" t="s">
        <v>11736</v>
      </c>
      <c r="T1796" s="697">
        <v>0.20900000000000002</v>
      </c>
      <c r="U1796" s="372" t="s">
        <v>11737</v>
      </c>
      <c r="V1796" s="722">
        <v>77.36</v>
      </c>
      <c r="W1796" s="722">
        <v>1.9</v>
      </c>
      <c r="X1796" s="722">
        <v>1.03</v>
      </c>
      <c r="Y1796" s="722">
        <v>393.4</v>
      </c>
      <c r="Z1796" s="382" t="s">
        <v>924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11738</v>
      </c>
      <c r="B1797" s="373" t="s">
        <v>11739</v>
      </c>
      <c r="C1797" s="372" t="s">
        <v>11740</v>
      </c>
      <c r="D1797" s="374">
        <v>1101110570442</v>
      </c>
      <c r="E1797" s="372" t="s">
        <v>11741</v>
      </c>
      <c r="F1797" s="375" t="s">
        <v>3545</v>
      </c>
      <c r="G1797" s="375" t="s">
        <v>3545</v>
      </c>
      <c r="H1797" s="375" t="s">
        <v>1334</v>
      </c>
      <c r="I1797" s="375" t="s">
        <v>859</v>
      </c>
      <c r="J1797" s="375">
        <v>59549.12945</v>
      </c>
      <c r="K1797" s="375">
        <v>-1407.0289499999999</v>
      </c>
      <c r="L1797" s="375">
        <v>-5618.07953</v>
      </c>
      <c r="M1797" s="375">
        <v>66983.301529999997</v>
      </c>
      <c r="N1797" s="372">
        <v>1.08</v>
      </c>
      <c r="O1797" s="704">
        <v>55.195599362652445</v>
      </c>
      <c r="P1797" s="375" t="s">
        <v>619</v>
      </c>
      <c r="Q1797" s="372" t="s">
        <v>619</v>
      </c>
      <c r="R1797" s="696">
        <v>19970718</v>
      </c>
      <c r="S1797" s="372" t="s">
        <v>11742</v>
      </c>
      <c r="T1797" s="697" t="s">
        <v>768</v>
      </c>
      <c r="U1797" s="372" t="s">
        <v>11743</v>
      </c>
      <c r="V1797" s="722">
        <v>122.71</v>
      </c>
      <c r="W1797" s="722">
        <v>0.95</v>
      </c>
      <c r="X1797" s="722">
        <v>0.87</v>
      </c>
      <c r="Y1797" s="722" t="s">
        <v>770</v>
      </c>
      <c r="Z1797" s="382" t="s">
        <v>924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11744</v>
      </c>
      <c r="B1798" s="373" t="s">
        <v>11745</v>
      </c>
      <c r="C1798" s="372" t="s">
        <v>11746</v>
      </c>
      <c r="D1798" s="374">
        <v>1101110030116</v>
      </c>
      <c r="E1798" s="372" t="s">
        <v>11747</v>
      </c>
      <c r="F1798" s="375" t="s">
        <v>1246</v>
      </c>
      <c r="G1798" s="375" t="s">
        <v>1246</v>
      </c>
      <c r="H1798" s="375" t="s">
        <v>781</v>
      </c>
      <c r="I1798" s="375" t="s">
        <v>751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0.72299999999999998</v>
      </c>
      <c r="O1798" s="704" t="s">
        <v>16298</v>
      </c>
      <c r="P1798" s="375" t="s">
        <v>619</v>
      </c>
      <c r="Q1798" s="375" t="s">
        <v>619</v>
      </c>
      <c r="R1798" s="696">
        <v>19761228</v>
      </c>
      <c r="S1798" s="375" t="s">
        <v>11748</v>
      </c>
      <c r="T1798" s="697" t="s">
        <v>768</v>
      </c>
      <c r="U1798" s="372" t="s">
        <v>11749</v>
      </c>
      <c r="V1798" s="722">
        <v>0</v>
      </c>
      <c r="W1798" s="722">
        <v>0</v>
      </c>
      <c r="X1798" s="722">
        <v>0</v>
      </c>
      <c r="Y1798" s="722">
        <v>0</v>
      </c>
      <c r="Z1798" s="382" t="s">
        <v>924</v>
      </c>
      <c r="AA1798" s="372">
        <v>520.20405170000004</v>
      </c>
      <c r="AB1798" s="372">
        <v>262.76462470000001</v>
      </c>
      <c r="AC1798" s="372">
        <v>288.1902814</v>
      </c>
      <c r="AD1798" s="372">
        <v>280.05127320000003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11750</v>
      </c>
      <c r="B1799" s="373" t="s">
        <v>11751</v>
      </c>
      <c r="C1799" s="372" t="s">
        <v>11752</v>
      </c>
      <c r="D1799" s="374">
        <v>1615110041619</v>
      </c>
      <c r="E1799" s="372" t="s">
        <v>11753</v>
      </c>
      <c r="F1799" s="375" t="s">
        <v>2278</v>
      </c>
      <c r="G1799" s="375" t="s">
        <v>5093</v>
      </c>
      <c r="H1799" s="375" t="s">
        <v>858</v>
      </c>
      <c r="I1799" s="375" t="s">
        <v>859</v>
      </c>
      <c r="J1799" s="375">
        <v>0</v>
      </c>
      <c r="K1799" s="375">
        <v>0</v>
      </c>
      <c r="L1799" s="375">
        <v>0</v>
      </c>
      <c r="M1799" s="375">
        <v>44376.357000000004</v>
      </c>
      <c r="N1799" s="372">
        <v>0.69599999999999995</v>
      </c>
      <c r="O1799" s="704">
        <v>0.39755897318764821</v>
      </c>
      <c r="P1799" s="375" t="s">
        <v>619</v>
      </c>
      <c r="Q1799" s="375" t="s">
        <v>619</v>
      </c>
      <c r="R1799" s="696">
        <v>20190801</v>
      </c>
      <c r="S1799" s="375" t="s">
        <v>11754</v>
      </c>
      <c r="T1799" s="697" t="s">
        <v>768</v>
      </c>
      <c r="U1799" s="372" t="s">
        <v>11755</v>
      </c>
      <c r="V1799" s="722">
        <v>0</v>
      </c>
      <c r="W1799" s="722">
        <v>1.23</v>
      </c>
      <c r="X1799" s="722">
        <v>0</v>
      </c>
      <c r="Y1799" s="722">
        <v>0</v>
      </c>
      <c r="Z1799" s="382" t="s">
        <v>924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11756</v>
      </c>
      <c r="B1800" s="373" t="s">
        <v>11757</v>
      </c>
      <c r="C1800" s="372" t="s">
        <v>11758</v>
      </c>
      <c r="D1800" s="374">
        <v>1101112427098</v>
      </c>
      <c r="E1800" s="372" t="s">
        <v>11759</v>
      </c>
      <c r="F1800" s="372" t="s">
        <v>6361</v>
      </c>
      <c r="G1800" s="375" t="s">
        <v>6361</v>
      </c>
      <c r="H1800" s="375" t="s">
        <v>814</v>
      </c>
      <c r="I1800" s="375" t="s">
        <v>751</v>
      </c>
      <c r="J1800" s="375">
        <v>243463.02652000001</v>
      </c>
      <c r="K1800" s="375">
        <v>1508.8478500000001</v>
      </c>
      <c r="L1800" s="375">
        <v>-4653.6575999999995</v>
      </c>
      <c r="M1800" s="375">
        <v>171900.43917</v>
      </c>
      <c r="N1800" s="372">
        <v>0.61</v>
      </c>
      <c r="O1800" s="704">
        <v>230.54428899730479</v>
      </c>
      <c r="P1800" s="375" t="s">
        <v>619</v>
      </c>
      <c r="Q1800" s="372" t="s">
        <v>619</v>
      </c>
      <c r="R1800" s="696">
        <v>20080630</v>
      </c>
      <c r="S1800" s="372" t="s">
        <v>11760</v>
      </c>
      <c r="T1800" s="697" t="s">
        <v>768</v>
      </c>
      <c r="U1800" s="372" t="s">
        <v>11761</v>
      </c>
      <c r="V1800" s="722">
        <v>17.5</v>
      </c>
      <c r="W1800" s="722">
        <v>0.35</v>
      </c>
      <c r="X1800" s="722">
        <v>0.27</v>
      </c>
      <c r="Y1800" s="722" t="s">
        <v>770</v>
      </c>
      <c r="Z1800" s="382" t="s">
        <v>924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11762</v>
      </c>
      <c r="B1801" s="373" t="s">
        <v>11763</v>
      </c>
      <c r="C1801" s="372" t="s">
        <v>11764</v>
      </c>
      <c r="D1801" s="374">
        <v>1101110414302</v>
      </c>
      <c r="E1801" s="372" t="s">
        <v>11765</v>
      </c>
      <c r="F1801" s="375" t="s">
        <v>1273</v>
      </c>
      <c r="G1801" s="375" t="s">
        <v>16106</v>
      </c>
      <c r="H1801" s="375" t="s">
        <v>858</v>
      </c>
      <c r="I1801" s="375" t="s">
        <v>859</v>
      </c>
      <c r="J1801" s="375">
        <v>478791.93044000003</v>
      </c>
      <c r="K1801" s="375">
        <v>10217.29522</v>
      </c>
      <c r="L1801" s="375">
        <v>13608.653630000001</v>
      </c>
      <c r="M1801" s="375">
        <v>144446.24590000001</v>
      </c>
      <c r="N1801" s="372">
        <v>0.46899999999999997</v>
      </c>
      <c r="O1801" s="704">
        <v>84.30621773832479</v>
      </c>
      <c r="P1801" s="375" t="s">
        <v>619</v>
      </c>
      <c r="Q1801" s="372" t="s">
        <v>619</v>
      </c>
      <c r="R1801" s="696">
        <v>20000620</v>
      </c>
      <c r="S1801" s="372" t="s">
        <v>11766</v>
      </c>
      <c r="T1801" s="697">
        <v>0.20900000000000002</v>
      </c>
      <c r="U1801" s="372" t="s">
        <v>11767</v>
      </c>
      <c r="V1801" s="722">
        <v>8.6999999999999993</v>
      </c>
      <c r="W1801" s="722">
        <v>0.71</v>
      </c>
      <c r="X1801" s="722">
        <v>0.18</v>
      </c>
      <c r="Y1801" s="722">
        <v>12.05</v>
      </c>
      <c r="Z1801" s="382" t="s">
        <v>924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11768</v>
      </c>
      <c r="B1802" s="373" t="s">
        <v>11769</v>
      </c>
      <c r="C1802" s="372" t="s">
        <v>11770</v>
      </c>
      <c r="D1802" s="374">
        <v>1801110157643</v>
      </c>
      <c r="E1802" s="372" t="s">
        <v>11771</v>
      </c>
      <c r="F1802" s="375" t="s">
        <v>7041</v>
      </c>
      <c r="G1802" s="375" t="s">
        <v>8264</v>
      </c>
      <c r="H1802" s="375" t="s">
        <v>858</v>
      </c>
      <c r="I1802" s="375" t="s">
        <v>859</v>
      </c>
      <c r="J1802" s="375">
        <v>31513.307209999999</v>
      </c>
      <c r="K1802" s="375">
        <v>354.13247000000001</v>
      </c>
      <c r="L1802" s="375">
        <v>-23163.963830000001</v>
      </c>
      <c r="M1802" s="375">
        <v>59200.700559999997</v>
      </c>
      <c r="N1802" s="372">
        <v>0.50600000000000001</v>
      </c>
      <c r="O1802" s="704">
        <v>31.921881682127633</v>
      </c>
      <c r="P1802" s="375" t="s">
        <v>16112</v>
      </c>
      <c r="Q1802" s="372" t="s">
        <v>16113</v>
      </c>
      <c r="R1802" s="696">
        <v>20010116</v>
      </c>
      <c r="S1802" s="372" t="s">
        <v>11772</v>
      </c>
      <c r="T1802" s="697" t="s">
        <v>768</v>
      </c>
      <c r="U1802" s="372" t="s">
        <v>11773</v>
      </c>
      <c r="V1802" s="722">
        <v>0</v>
      </c>
      <c r="W1802" s="722">
        <v>0</v>
      </c>
      <c r="X1802" s="722">
        <v>0</v>
      </c>
      <c r="Y1802" s="722">
        <v>0</v>
      </c>
      <c r="Z1802" s="382" t="s">
        <v>924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11774</v>
      </c>
      <c r="B1803" s="373" t="s">
        <v>11775</v>
      </c>
      <c r="C1803" s="372" t="s">
        <v>11776</v>
      </c>
      <c r="D1803" s="374">
        <v>1348110000563</v>
      </c>
      <c r="E1803" s="372" t="s">
        <v>11777</v>
      </c>
      <c r="F1803" s="375" t="s">
        <v>5622</v>
      </c>
      <c r="G1803" s="375" t="s">
        <v>5622</v>
      </c>
      <c r="H1803" s="375" t="s">
        <v>750</v>
      </c>
      <c r="I1803" s="375" t="s">
        <v>751</v>
      </c>
      <c r="J1803" s="375">
        <v>37690.970710000001</v>
      </c>
      <c r="K1803" s="375">
        <v>-6470.77621</v>
      </c>
      <c r="L1803" s="375">
        <v>-7822.6602499999999</v>
      </c>
      <c r="M1803" s="375">
        <v>22348.192490000001</v>
      </c>
      <c r="N1803" s="372">
        <v>0.54700000000000004</v>
      </c>
      <c r="O1803" s="704">
        <v>52.310390864696501</v>
      </c>
      <c r="P1803" s="375" t="s">
        <v>619</v>
      </c>
      <c r="Q1803" s="372" t="s">
        <v>619</v>
      </c>
      <c r="R1803" s="696">
        <v>19870525</v>
      </c>
      <c r="S1803" s="372" t="s">
        <v>11778</v>
      </c>
      <c r="T1803" s="697" t="s">
        <v>768</v>
      </c>
      <c r="U1803" s="372" t="s">
        <v>11779</v>
      </c>
      <c r="V1803" s="722" t="s">
        <v>770</v>
      </c>
      <c r="W1803" s="722">
        <v>2.97</v>
      </c>
      <c r="X1803" s="722">
        <v>1.36</v>
      </c>
      <c r="Y1803" s="722" t="s">
        <v>770</v>
      </c>
      <c r="Z1803" s="382" t="s">
        <v>924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11780</v>
      </c>
      <c r="B1804" s="373" t="s">
        <v>11781</v>
      </c>
      <c r="C1804" s="372" t="s">
        <v>11782</v>
      </c>
      <c r="D1804" s="374">
        <v>1101110017411</v>
      </c>
      <c r="E1804" s="372" t="s">
        <v>11783</v>
      </c>
      <c r="F1804" s="375" t="s">
        <v>1381</v>
      </c>
      <c r="G1804" s="375" t="s">
        <v>1382</v>
      </c>
      <c r="H1804" s="375" t="s">
        <v>1383</v>
      </c>
      <c r="I1804" s="375" t="s">
        <v>751</v>
      </c>
      <c r="J1804" s="375">
        <v>519684.37654000003</v>
      </c>
      <c r="K1804" s="375">
        <v>13708.804099999999</v>
      </c>
      <c r="L1804" s="375">
        <v>11703.755209999999</v>
      </c>
      <c r="M1804" s="375">
        <v>119577.93106</v>
      </c>
      <c r="N1804" s="372">
        <v>0.90100000000000002</v>
      </c>
      <c r="O1804" s="704">
        <v>59.894798837325148</v>
      </c>
      <c r="P1804" s="375" t="s">
        <v>619</v>
      </c>
      <c r="Q1804" s="372" t="s">
        <v>619</v>
      </c>
      <c r="R1804" s="696">
        <v>19761228</v>
      </c>
      <c r="S1804" s="375" t="s">
        <v>11784</v>
      </c>
      <c r="T1804" s="697">
        <v>0.20900000000000002</v>
      </c>
      <c r="U1804" s="375" t="s">
        <v>11785</v>
      </c>
      <c r="V1804" s="722">
        <v>4.76</v>
      </c>
      <c r="W1804" s="722">
        <v>0.52</v>
      </c>
      <c r="X1804" s="722">
        <v>0.12</v>
      </c>
      <c r="Y1804" s="722">
        <v>5.67</v>
      </c>
      <c r="Z1804" s="382" t="s">
        <v>924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11786</v>
      </c>
      <c r="B1805" s="373" t="s">
        <v>11787</v>
      </c>
      <c r="C1805" s="372" t="s">
        <v>16031</v>
      </c>
      <c r="D1805" s="374">
        <v>1101111511834</v>
      </c>
      <c r="E1805" s="372" t="s">
        <v>15933</v>
      </c>
      <c r="F1805" s="375" t="s">
        <v>842</v>
      </c>
      <c r="G1805" s="375" t="s">
        <v>842</v>
      </c>
      <c r="H1805" s="375" t="s">
        <v>3096</v>
      </c>
      <c r="I1805" s="375" t="s">
        <v>859</v>
      </c>
      <c r="J1805" s="375">
        <v>16027.85678</v>
      </c>
      <c r="K1805" s="375">
        <v>1121.30414</v>
      </c>
      <c r="L1805" s="375">
        <v>19660.645909999999</v>
      </c>
      <c r="M1805" s="375">
        <v>324299.52402999997</v>
      </c>
      <c r="N1805" s="372">
        <v>0.54</v>
      </c>
      <c r="O1805" s="704">
        <v>27.351496245011948</v>
      </c>
      <c r="P1805" s="375" t="s">
        <v>619</v>
      </c>
      <c r="Q1805" s="372" t="s">
        <v>619</v>
      </c>
      <c r="R1805" s="696">
        <v>20091113</v>
      </c>
      <c r="S1805" s="372" t="s">
        <v>11788</v>
      </c>
      <c r="T1805" s="697">
        <v>0.20900000000000002</v>
      </c>
      <c r="U1805" s="372" t="s">
        <v>11789</v>
      </c>
      <c r="V1805" s="722">
        <v>38.93</v>
      </c>
      <c r="W1805" s="722">
        <v>0.19</v>
      </c>
      <c r="X1805" s="722">
        <v>3.5</v>
      </c>
      <c r="Y1805" s="722">
        <v>3.48</v>
      </c>
      <c r="Z1805" s="382" t="s">
        <v>924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11790</v>
      </c>
      <c r="B1806" s="373" t="s">
        <v>11791</v>
      </c>
      <c r="C1806" s="372" t="s">
        <v>11792</v>
      </c>
      <c r="D1806" s="374">
        <v>1311110251048</v>
      </c>
      <c r="E1806" s="372" t="s">
        <v>11793</v>
      </c>
      <c r="F1806" s="375" t="s">
        <v>1693</v>
      </c>
      <c r="G1806" s="375" t="s">
        <v>1693</v>
      </c>
      <c r="H1806" s="375" t="s">
        <v>1334</v>
      </c>
      <c r="I1806" s="375" t="s">
        <v>859</v>
      </c>
      <c r="J1806" s="375">
        <v>38051.828390000002</v>
      </c>
      <c r="K1806" s="375">
        <v>4002.4545899999998</v>
      </c>
      <c r="L1806" s="375">
        <v>5465.8458199999995</v>
      </c>
      <c r="M1806" s="375">
        <v>84557.730599999995</v>
      </c>
      <c r="N1806" s="372">
        <v>1.288</v>
      </c>
      <c r="O1806" s="704">
        <v>3.515664598162247</v>
      </c>
      <c r="P1806" s="375" t="s">
        <v>619</v>
      </c>
      <c r="Q1806" s="375" t="s">
        <v>619</v>
      </c>
      <c r="R1806" s="696">
        <v>20200312</v>
      </c>
      <c r="S1806" s="375" t="s">
        <v>11794</v>
      </c>
      <c r="T1806" s="697">
        <v>0.20900000000000002</v>
      </c>
      <c r="U1806" s="372" t="s">
        <v>11795</v>
      </c>
      <c r="V1806" s="722">
        <v>0</v>
      </c>
      <c r="W1806" s="722">
        <v>0</v>
      </c>
      <c r="X1806" s="722">
        <v>0</v>
      </c>
      <c r="Y1806" s="722">
        <v>0</v>
      </c>
      <c r="Z1806" s="382" t="s">
        <v>924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11796</v>
      </c>
      <c r="B1807" s="373" t="s">
        <v>11797</v>
      </c>
      <c r="C1807" s="372" t="s">
        <v>11798</v>
      </c>
      <c r="D1807" s="374">
        <v>1101115478626</v>
      </c>
      <c r="E1807" s="372" t="s">
        <v>11799</v>
      </c>
      <c r="F1807" s="372" t="s">
        <v>1566</v>
      </c>
      <c r="G1807" s="375" t="s">
        <v>1566</v>
      </c>
      <c r="H1807" s="375" t="s">
        <v>3096</v>
      </c>
      <c r="I1807" s="375" t="s">
        <v>859</v>
      </c>
      <c r="J1807" s="375">
        <v>24900.200949999999</v>
      </c>
      <c r="K1807" s="375">
        <v>-2530.9139500000001</v>
      </c>
      <c r="L1807" s="375">
        <v>-3449.0677300000002</v>
      </c>
      <c r="M1807" s="375">
        <v>19581.287660000002</v>
      </c>
      <c r="N1807" s="372">
        <v>0.60699999999999998</v>
      </c>
      <c r="O1807" s="704">
        <v>17.906731982760601</v>
      </c>
      <c r="P1807" s="375" t="s">
        <v>619</v>
      </c>
      <c r="Q1807" s="372" t="s">
        <v>619</v>
      </c>
      <c r="R1807" s="696">
        <v>20141120</v>
      </c>
      <c r="S1807" s="372" t="s">
        <v>11800</v>
      </c>
      <c r="T1807" s="697" t="s">
        <v>768</v>
      </c>
      <c r="U1807" s="372" t="s">
        <v>11801</v>
      </c>
      <c r="V1807" s="722" t="s">
        <v>770</v>
      </c>
      <c r="W1807" s="722">
        <v>4.51</v>
      </c>
      <c r="X1807" s="722">
        <v>3.27</v>
      </c>
      <c r="Y1807" s="722" t="s">
        <v>770</v>
      </c>
      <c r="Z1807" s="382" t="s">
        <v>924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11802</v>
      </c>
      <c r="B1808" s="373" t="s">
        <v>11803</v>
      </c>
      <c r="C1808" s="372" t="s">
        <v>11804</v>
      </c>
      <c r="D1808" s="374">
        <v>1341110003462</v>
      </c>
      <c r="E1808" s="372" t="s">
        <v>11805</v>
      </c>
      <c r="F1808" s="375" t="s">
        <v>8669</v>
      </c>
      <c r="G1808" s="375" t="s">
        <v>8825</v>
      </c>
      <c r="H1808" s="375" t="s">
        <v>1040</v>
      </c>
      <c r="I1808" s="375" t="s">
        <v>751</v>
      </c>
      <c r="J1808" s="375">
        <v>163450.81005999999</v>
      </c>
      <c r="K1808" s="375">
        <v>10023.964400000001</v>
      </c>
      <c r="L1808" s="375">
        <v>8963.6093799999999</v>
      </c>
      <c r="M1808" s="375">
        <v>111878.35845</v>
      </c>
      <c r="N1808" s="372">
        <v>0.60399999999999998</v>
      </c>
      <c r="O1808" s="704">
        <v>118.25233870428586</v>
      </c>
      <c r="P1808" s="375" t="s">
        <v>619</v>
      </c>
      <c r="Q1808" s="372" t="s">
        <v>619</v>
      </c>
      <c r="R1808" s="696">
        <v>19760528</v>
      </c>
      <c r="S1808" s="372" t="s">
        <v>11806</v>
      </c>
      <c r="T1808" s="697">
        <v>0.20900000000000002</v>
      </c>
      <c r="U1808" s="372" t="s">
        <v>11807</v>
      </c>
      <c r="V1808" s="722">
        <v>6</v>
      </c>
      <c r="W1808" s="722">
        <v>0.56999999999999995</v>
      </c>
      <c r="X1808" s="722">
        <v>0.42</v>
      </c>
      <c r="Y1808" s="722">
        <v>11.26</v>
      </c>
      <c r="Z1808" s="382" t="s">
        <v>924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11808</v>
      </c>
      <c r="B1809" s="373" t="s">
        <v>11809</v>
      </c>
      <c r="C1809" s="372" t="s">
        <v>11810</v>
      </c>
      <c r="D1809" s="374">
        <v>1101112539322</v>
      </c>
      <c r="E1809" s="372" t="s">
        <v>11811</v>
      </c>
      <c r="F1809" s="375" t="s">
        <v>1367</v>
      </c>
      <c r="G1809" s="375" t="s">
        <v>1367</v>
      </c>
      <c r="H1809" s="375" t="s">
        <v>858</v>
      </c>
      <c r="I1809" s="375" t="s">
        <v>859</v>
      </c>
      <c r="J1809" s="375">
        <v>52444.603020000002</v>
      </c>
      <c r="K1809" s="375">
        <v>-750.08858999999995</v>
      </c>
      <c r="L1809" s="375">
        <v>-6462.4021000000002</v>
      </c>
      <c r="M1809" s="375">
        <v>67131.916230000003</v>
      </c>
      <c r="N1809" s="372">
        <v>1.073</v>
      </c>
      <c r="O1809" s="704">
        <v>10.302100686945339</v>
      </c>
      <c r="P1809" s="375" t="s">
        <v>619</v>
      </c>
      <c r="Q1809" s="372" t="s">
        <v>619</v>
      </c>
      <c r="R1809" s="696">
        <v>20091006</v>
      </c>
      <c r="S1809" s="372" t="s">
        <v>11812</v>
      </c>
      <c r="T1809" s="697" t="s">
        <v>768</v>
      </c>
      <c r="U1809" s="372" t="s">
        <v>11813</v>
      </c>
      <c r="V1809" s="722">
        <v>0</v>
      </c>
      <c r="W1809" s="722">
        <v>0</v>
      </c>
      <c r="X1809" s="722">
        <v>0</v>
      </c>
      <c r="Y1809" s="722">
        <v>0</v>
      </c>
      <c r="Z1809" s="382" t="s">
        <v>924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11814</v>
      </c>
      <c r="B1810" s="373" t="s">
        <v>11815</v>
      </c>
      <c r="C1810" s="372" t="s">
        <v>11816</v>
      </c>
      <c r="D1810" s="374">
        <v>1601110012742</v>
      </c>
      <c r="E1810" s="372" t="s">
        <v>11817</v>
      </c>
      <c r="F1810" s="375" t="s">
        <v>10980</v>
      </c>
      <c r="G1810" s="375" t="s">
        <v>10980</v>
      </c>
      <c r="H1810" s="375" t="s">
        <v>823</v>
      </c>
      <c r="I1810" s="375" t="s">
        <v>751</v>
      </c>
      <c r="J1810" s="375">
        <v>110274.0481</v>
      </c>
      <c r="K1810" s="375">
        <v>18860.826690000002</v>
      </c>
      <c r="L1810" s="375">
        <v>22770.34129</v>
      </c>
      <c r="M1810" s="375">
        <v>175952.91873999999</v>
      </c>
      <c r="N1810" s="372">
        <v>0.71499999999999997</v>
      </c>
      <c r="O1810" s="704">
        <v>0.46691920999962239</v>
      </c>
      <c r="P1810" s="375" t="s">
        <v>619</v>
      </c>
      <c r="Q1810" s="372" t="s">
        <v>619</v>
      </c>
      <c r="R1810" s="696">
        <v>19970827</v>
      </c>
      <c r="S1810" s="372" t="s">
        <v>11818</v>
      </c>
      <c r="T1810" s="697">
        <v>0.23100000000000001</v>
      </c>
      <c r="U1810" s="372" t="s">
        <v>11819</v>
      </c>
      <c r="V1810" s="722">
        <v>2.54</v>
      </c>
      <c r="W1810" s="722">
        <v>0.39</v>
      </c>
      <c r="X1810" s="722">
        <v>0.62</v>
      </c>
      <c r="Y1810" s="722">
        <v>3.75</v>
      </c>
      <c r="Z1810" s="382" t="s">
        <v>924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11820</v>
      </c>
      <c r="B1811" s="373" t="s">
        <v>11821</v>
      </c>
      <c r="C1811" s="372" t="s">
        <v>11822</v>
      </c>
      <c r="D1811" s="374">
        <v>1942110000034</v>
      </c>
      <c r="E1811" s="372" t="s">
        <v>11823</v>
      </c>
      <c r="F1811" s="375" t="s">
        <v>1860</v>
      </c>
      <c r="G1811" s="375" t="s">
        <v>1861</v>
      </c>
      <c r="H1811" s="375" t="s">
        <v>789</v>
      </c>
      <c r="I1811" s="375" t="s">
        <v>751</v>
      </c>
      <c r="J1811" s="375">
        <v>116395.08296</v>
      </c>
      <c r="K1811" s="375">
        <v>5373.2181399999999</v>
      </c>
      <c r="L1811" s="375">
        <v>14680.121429999999</v>
      </c>
      <c r="M1811" s="375">
        <v>280472.51001999999</v>
      </c>
      <c r="N1811" s="372">
        <v>0.73099999999999998</v>
      </c>
      <c r="O1811" s="704">
        <v>2.6071642396660848</v>
      </c>
      <c r="P1811" s="375" t="s">
        <v>619</v>
      </c>
      <c r="Q1811" s="372" t="s">
        <v>619</v>
      </c>
      <c r="R1811" s="696">
        <v>19871128</v>
      </c>
      <c r="S1811" s="372" t="s">
        <v>11824</v>
      </c>
      <c r="T1811" s="697">
        <v>0.20900000000000002</v>
      </c>
      <c r="U1811" s="372" t="s">
        <v>11825</v>
      </c>
      <c r="V1811" s="722">
        <v>12.12</v>
      </c>
      <c r="W1811" s="722">
        <v>0.36</v>
      </c>
      <c r="X1811" s="722">
        <v>0.86</v>
      </c>
      <c r="Y1811" s="722">
        <v>8.9600000000000009</v>
      </c>
      <c r="Z1811" s="382" t="s">
        <v>924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11826</v>
      </c>
      <c r="B1812" s="373" t="s">
        <v>11827</v>
      </c>
      <c r="C1812" s="372" t="s">
        <v>11828</v>
      </c>
      <c r="D1812" s="374">
        <v>1101114401438</v>
      </c>
      <c r="E1812" s="372" t="s">
        <v>11829</v>
      </c>
      <c r="F1812" s="372" t="s">
        <v>1367</v>
      </c>
      <c r="G1812" s="375" t="s">
        <v>1367</v>
      </c>
      <c r="H1812" s="375" t="s">
        <v>858</v>
      </c>
      <c r="I1812" s="375" t="s">
        <v>859</v>
      </c>
      <c r="J1812" s="375">
        <v>7824.23398</v>
      </c>
      <c r="K1812" s="375">
        <v>-6823.6657400000004</v>
      </c>
      <c r="L1812" s="375">
        <v>-6752.0022499999995</v>
      </c>
      <c r="M1812" s="375">
        <v>9917.7150700000002</v>
      </c>
      <c r="N1812" s="372">
        <v>1.1679999999999999</v>
      </c>
      <c r="O1812" s="704">
        <v>2.9119440142657984</v>
      </c>
      <c r="P1812" s="375" t="s">
        <v>619</v>
      </c>
      <c r="Q1812" s="372" t="s">
        <v>619</v>
      </c>
      <c r="R1812" s="696">
        <v>20131224</v>
      </c>
      <c r="S1812" s="372" t="s">
        <v>11830</v>
      </c>
      <c r="T1812" s="697" t="s">
        <v>768</v>
      </c>
      <c r="U1812" s="372" t="s">
        <v>11831</v>
      </c>
      <c r="V1812" s="722" t="s">
        <v>770</v>
      </c>
      <c r="W1812" s="722">
        <v>4.2699999999999996</v>
      </c>
      <c r="X1812" s="722">
        <v>5.41</v>
      </c>
      <c r="Y1812" s="722" t="s">
        <v>770</v>
      </c>
      <c r="Z1812" s="382" t="s">
        <v>924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11832</v>
      </c>
      <c r="B1813" s="373" t="s">
        <v>11833</v>
      </c>
      <c r="C1813" s="372" t="s">
        <v>11834</v>
      </c>
      <c r="D1813" s="374">
        <v>1746110001179</v>
      </c>
      <c r="E1813" s="372" t="s">
        <v>11835</v>
      </c>
      <c r="F1813" s="375" t="s">
        <v>1573</v>
      </c>
      <c r="G1813" s="375" t="s">
        <v>1574</v>
      </c>
      <c r="H1813" s="375" t="s">
        <v>858</v>
      </c>
      <c r="I1813" s="375" t="s">
        <v>859</v>
      </c>
      <c r="J1813" s="375">
        <v>225588.44485</v>
      </c>
      <c r="K1813" s="375">
        <v>27815.478080000001</v>
      </c>
      <c r="L1813" s="375">
        <v>28820.161550000001</v>
      </c>
      <c r="M1813" s="375">
        <v>129110.63496</v>
      </c>
      <c r="N1813" s="372">
        <v>1.042</v>
      </c>
      <c r="O1813" s="704">
        <v>27.049847103026924</v>
      </c>
      <c r="P1813" s="375" t="s">
        <v>619</v>
      </c>
      <c r="Q1813" s="372" t="s">
        <v>619</v>
      </c>
      <c r="R1813" s="696">
        <v>20000107</v>
      </c>
      <c r="S1813" s="372" t="s">
        <v>11836</v>
      </c>
      <c r="T1813" s="697">
        <v>0.23100000000000001</v>
      </c>
      <c r="U1813" s="372" t="s">
        <v>11837</v>
      </c>
      <c r="V1813" s="722">
        <v>2.0299999999999998</v>
      </c>
      <c r="W1813" s="722">
        <v>0.49</v>
      </c>
      <c r="X1813" s="722">
        <v>0.28000000000000003</v>
      </c>
      <c r="Y1813" s="722">
        <v>2.91</v>
      </c>
      <c r="Z1813" s="382" t="s">
        <v>924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11838</v>
      </c>
      <c r="B1814" s="373" t="s">
        <v>11839</v>
      </c>
      <c r="C1814" s="372" t="s">
        <v>11840</v>
      </c>
      <c r="D1814" s="374">
        <v>2001110002843</v>
      </c>
      <c r="E1814" s="372" t="s">
        <v>11841</v>
      </c>
      <c r="F1814" s="372" t="s">
        <v>2256</v>
      </c>
      <c r="G1814" s="375" t="s">
        <v>2256</v>
      </c>
      <c r="H1814" s="375" t="s">
        <v>4844</v>
      </c>
      <c r="I1814" s="375" t="s">
        <v>859</v>
      </c>
      <c r="J1814" s="375">
        <v>51748.899250000002</v>
      </c>
      <c r="K1814" s="375">
        <v>-5103.5319600000003</v>
      </c>
      <c r="L1814" s="375">
        <v>-22577.07588</v>
      </c>
      <c r="M1814" s="375">
        <v>166494.47375999999</v>
      </c>
      <c r="N1814" s="372">
        <v>0.47799999999999998</v>
      </c>
      <c r="O1814" s="704">
        <v>0</v>
      </c>
      <c r="P1814" s="375" t="s">
        <v>619</v>
      </c>
      <c r="Q1814" s="375" t="s">
        <v>619</v>
      </c>
      <c r="R1814" s="696">
        <v>20120131</v>
      </c>
      <c r="S1814" s="375" t="s">
        <v>11842</v>
      </c>
      <c r="T1814" s="697" t="s">
        <v>768</v>
      </c>
      <c r="U1814" s="372" t="s">
        <v>11843</v>
      </c>
      <c r="V1814" s="722" t="s">
        <v>770</v>
      </c>
      <c r="W1814" s="722">
        <v>0.31</v>
      </c>
      <c r="X1814" s="722">
        <v>0.95</v>
      </c>
      <c r="Y1814" s="722" t="s">
        <v>770</v>
      </c>
      <c r="Z1814" s="382" t="s">
        <v>924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11844</v>
      </c>
      <c r="B1815" s="373" t="s">
        <v>11845</v>
      </c>
      <c r="C1815" s="372" t="s">
        <v>11846</v>
      </c>
      <c r="D1815" s="374">
        <v>1101110795455</v>
      </c>
      <c r="E1815" s="372" t="s">
        <v>11847</v>
      </c>
      <c r="F1815" s="375" t="s">
        <v>11848</v>
      </c>
      <c r="G1815" s="375" t="s">
        <v>11848</v>
      </c>
      <c r="H1815" s="375" t="s">
        <v>858</v>
      </c>
      <c r="I1815" s="375" t="s">
        <v>859</v>
      </c>
      <c r="J1815" s="375">
        <v>926704.20605000004</v>
      </c>
      <c r="K1815" s="375">
        <v>-11780.6566</v>
      </c>
      <c r="L1815" s="375">
        <v>-22531.909210000002</v>
      </c>
      <c r="M1815" s="375">
        <v>156604.41763000001</v>
      </c>
      <c r="N1815" s="372">
        <v>0.64500000000000002</v>
      </c>
      <c r="O1815" s="704">
        <v>538.80407128518095</v>
      </c>
      <c r="P1815" s="375" t="s">
        <v>619</v>
      </c>
      <c r="Q1815" s="372" t="s">
        <v>619</v>
      </c>
      <c r="R1815" s="696">
        <v>20031112</v>
      </c>
      <c r="S1815" s="372" t="s">
        <v>11849</v>
      </c>
      <c r="T1815" s="697" t="s">
        <v>768</v>
      </c>
      <c r="U1815" s="372" t="s">
        <v>11850</v>
      </c>
      <c r="V1815" s="722" t="s">
        <v>770</v>
      </c>
      <c r="W1815" s="722">
        <v>0.42</v>
      </c>
      <c r="X1815" s="722">
        <v>0.06</v>
      </c>
      <c r="Y1815" s="722" t="s">
        <v>770</v>
      </c>
      <c r="Z1815" s="382" t="s">
        <v>924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11851</v>
      </c>
      <c r="B1816" s="373" t="s">
        <v>11852</v>
      </c>
      <c r="C1816" s="372" t="s">
        <v>11853</v>
      </c>
      <c r="D1816" s="374">
        <v>1101110059702</v>
      </c>
      <c r="E1816" s="372" t="s">
        <v>11854</v>
      </c>
      <c r="F1816" s="375" t="s">
        <v>2219</v>
      </c>
      <c r="G1816" s="375" t="s">
        <v>2219</v>
      </c>
      <c r="H1816" s="375" t="s">
        <v>1313</v>
      </c>
      <c r="I1816" s="375" t="s">
        <v>751</v>
      </c>
      <c r="J1816" s="375">
        <v>60064.308900000004</v>
      </c>
      <c r="K1816" s="375">
        <v>-630.74847</v>
      </c>
      <c r="L1816" s="375">
        <v>-1922.6278</v>
      </c>
      <c r="M1816" s="375">
        <v>24608.867999999999</v>
      </c>
      <c r="N1816" s="372">
        <v>0.63500000000000001</v>
      </c>
      <c r="O1816" s="704">
        <v>45.778431113076309</v>
      </c>
      <c r="P1816" s="375" t="s">
        <v>619</v>
      </c>
      <c r="Q1816" s="375" t="s">
        <v>619</v>
      </c>
      <c r="R1816" s="696">
        <v>19731228</v>
      </c>
      <c r="S1816" s="375" t="s">
        <v>11855</v>
      </c>
      <c r="T1816" s="697" t="s">
        <v>768</v>
      </c>
      <c r="U1816" s="372" t="s">
        <v>11856</v>
      </c>
      <c r="V1816" s="722">
        <v>0</v>
      </c>
      <c r="W1816" s="722">
        <v>0</v>
      </c>
      <c r="X1816" s="722">
        <v>0</v>
      </c>
      <c r="Y1816" s="722">
        <v>0</v>
      </c>
      <c r="Z1816" s="382" t="s">
        <v>924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11857</v>
      </c>
      <c r="B1817" s="373" t="s">
        <v>11858</v>
      </c>
      <c r="C1817" s="372" t="s">
        <v>11859</v>
      </c>
      <c r="D1817" s="374">
        <v>1101110030413</v>
      </c>
      <c r="E1817" s="372" t="s">
        <v>11860</v>
      </c>
      <c r="F1817" s="375" t="s">
        <v>7811</v>
      </c>
      <c r="G1817" s="375" t="s">
        <v>11861</v>
      </c>
      <c r="H1817" s="375" t="s">
        <v>843</v>
      </c>
      <c r="I1817" s="375" t="s">
        <v>751</v>
      </c>
      <c r="J1817" s="375">
        <v>233658.56591</v>
      </c>
      <c r="K1817" s="375">
        <v>8316.6787199999999</v>
      </c>
      <c r="L1817" s="375">
        <v>9001.2680299999993</v>
      </c>
      <c r="M1817" s="375">
        <v>116557.41194999999</v>
      </c>
      <c r="N1817" s="372">
        <v>1.042</v>
      </c>
      <c r="O1817" s="704">
        <v>79.955436143881983</v>
      </c>
      <c r="P1817" s="375" t="s">
        <v>619</v>
      </c>
      <c r="Q1817" s="372" t="s">
        <v>619</v>
      </c>
      <c r="R1817" s="696">
        <v>19880920</v>
      </c>
      <c r="S1817" s="372" t="s">
        <v>11862</v>
      </c>
      <c r="T1817" s="697">
        <v>0.20900000000000002</v>
      </c>
      <c r="U1817" s="372" t="s">
        <v>11863</v>
      </c>
      <c r="V1817" s="722">
        <v>0</v>
      </c>
      <c r="W1817" s="722">
        <v>0</v>
      </c>
      <c r="X1817" s="722">
        <v>0</v>
      </c>
      <c r="Y1817" s="722">
        <v>0</v>
      </c>
      <c r="Z1817" s="382" t="s">
        <v>924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11864</v>
      </c>
      <c r="B1818" s="373" t="s">
        <v>11865</v>
      </c>
      <c r="C1818" s="372" t="s">
        <v>11866</v>
      </c>
      <c r="D1818" s="374">
        <v>1101117525110</v>
      </c>
      <c r="E1818" s="372" t="s">
        <v>11867</v>
      </c>
      <c r="F1818" s="372" t="s">
        <v>2715</v>
      </c>
      <c r="G1818" s="375" t="s">
        <v>2715</v>
      </c>
      <c r="H1818" s="375" t="s">
        <v>1334</v>
      </c>
      <c r="I1818" s="375" t="s">
        <v>859</v>
      </c>
      <c r="J1818" s="375">
        <v>61218.637620000001</v>
      </c>
      <c r="K1818" s="375">
        <v>6911.26026</v>
      </c>
      <c r="L1818" s="375">
        <v>6304.94902</v>
      </c>
      <c r="M1818" s="375">
        <v>47001.792399999998</v>
      </c>
      <c r="N1818" s="372">
        <v>0.35499999999999998</v>
      </c>
      <c r="O1818" s="704">
        <v>6.6531643219308796</v>
      </c>
      <c r="P1818" s="375" t="s">
        <v>619</v>
      </c>
      <c r="Q1818" s="375" t="s">
        <v>619</v>
      </c>
      <c r="R1818" s="696">
        <v>20200923</v>
      </c>
      <c r="S1818" s="375" t="s">
        <v>11489</v>
      </c>
      <c r="T1818" s="697">
        <v>0.20900000000000002</v>
      </c>
      <c r="U1818" s="372" t="s">
        <v>11868</v>
      </c>
      <c r="V1818" s="722">
        <v>9.0399999999999991</v>
      </c>
      <c r="W1818" s="722">
        <v>1.56</v>
      </c>
      <c r="X1818" s="722">
        <v>1.18</v>
      </c>
      <c r="Y1818" s="722">
        <v>12.01</v>
      </c>
      <c r="Z1818" s="382" t="s">
        <v>924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11869</v>
      </c>
      <c r="B1819" s="373" t="s">
        <v>11870</v>
      </c>
      <c r="C1819" s="372" t="s">
        <v>11871</v>
      </c>
      <c r="D1819" s="374">
        <v>2001110001704</v>
      </c>
      <c r="E1819" s="372" t="s">
        <v>11872</v>
      </c>
      <c r="F1819" s="375" t="s">
        <v>1868</v>
      </c>
      <c r="G1819" s="375" t="s">
        <v>7527</v>
      </c>
      <c r="H1819" s="375" t="s">
        <v>1040</v>
      </c>
      <c r="I1819" s="375" t="s">
        <v>751</v>
      </c>
      <c r="J1819" s="375">
        <v>222715.18410000001</v>
      </c>
      <c r="K1819" s="375">
        <v>-960.88923</v>
      </c>
      <c r="L1819" s="375">
        <v>7572.9047099999998</v>
      </c>
      <c r="M1819" s="375">
        <v>343682.36322</v>
      </c>
      <c r="N1819" s="372">
        <v>0.80600000000000005</v>
      </c>
      <c r="O1819" s="704">
        <v>61.139171466980343</v>
      </c>
      <c r="P1819" s="375" t="s">
        <v>619</v>
      </c>
      <c r="Q1819" s="372" t="s">
        <v>619</v>
      </c>
      <c r="R1819" s="696">
        <v>19991118</v>
      </c>
      <c r="S1819" s="372" t="s">
        <v>11873</v>
      </c>
      <c r="T1819" s="697">
        <v>0.20900000000000002</v>
      </c>
      <c r="U1819" s="372" t="s">
        <v>11660</v>
      </c>
      <c r="V1819" s="722">
        <v>14.4</v>
      </c>
      <c r="W1819" s="722">
        <v>0.19</v>
      </c>
      <c r="X1819" s="722">
        <v>0.28999999999999998</v>
      </c>
      <c r="Y1819" s="722">
        <v>10.74</v>
      </c>
      <c r="Z1819" s="382" t="s">
        <v>924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11874</v>
      </c>
      <c r="B1820" s="373" t="s">
        <v>11875</v>
      </c>
      <c r="C1820" s="372" t="s">
        <v>11876</v>
      </c>
      <c r="D1820" s="374">
        <v>1101110033623</v>
      </c>
      <c r="E1820" s="372" t="s">
        <v>11877</v>
      </c>
      <c r="F1820" s="372" t="s">
        <v>2181</v>
      </c>
      <c r="G1820" s="375" t="s">
        <v>11878</v>
      </c>
      <c r="H1820" s="375" t="s">
        <v>858</v>
      </c>
      <c r="I1820" s="375" t="s">
        <v>859</v>
      </c>
      <c r="J1820" s="375">
        <v>79544.545110000006</v>
      </c>
      <c r="K1820" s="375">
        <v>2928.0465199999999</v>
      </c>
      <c r="L1820" s="375">
        <v>1152.5346099999999</v>
      </c>
      <c r="M1820" s="375">
        <v>126024.28397999999</v>
      </c>
      <c r="N1820" s="372">
        <v>0.60599999999999998</v>
      </c>
      <c r="O1820" s="704">
        <v>22.796351852972148</v>
      </c>
      <c r="P1820" s="375" t="s">
        <v>619</v>
      </c>
      <c r="Q1820" s="372" t="s">
        <v>619</v>
      </c>
      <c r="R1820" s="696">
        <v>19901228</v>
      </c>
      <c r="S1820" s="372" t="s">
        <v>11879</v>
      </c>
      <c r="T1820" s="697">
        <v>0.20900000000000002</v>
      </c>
      <c r="U1820" s="372" t="s">
        <v>11880</v>
      </c>
      <c r="V1820" s="722">
        <v>15.93</v>
      </c>
      <c r="W1820" s="722">
        <v>0.55000000000000004</v>
      </c>
      <c r="X1820" s="722">
        <v>0.95</v>
      </c>
      <c r="Y1820" s="722">
        <v>61.1</v>
      </c>
      <c r="Z1820" s="382" t="s">
        <v>924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11881</v>
      </c>
      <c r="B1821" s="373" t="s">
        <v>11882</v>
      </c>
      <c r="C1821" s="372" t="s">
        <v>11883</v>
      </c>
      <c r="D1821" s="374">
        <v>1101114264828</v>
      </c>
      <c r="E1821" s="372" t="s">
        <v>11884</v>
      </c>
      <c r="F1821" s="375" t="s">
        <v>1860</v>
      </c>
      <c r="G1821" s="375" t="s">
        <v>16110</v>
      </c>
      <c r="H1821" s="375" t="s">
        <v>858</v>
      </c>
      <c r="I1821" s="375" t="s">
        <v>859</v>
      </c>
      <c r="J1821" s="375">
        <v>2661970.27385</v>
      </c>
      <c r="K1821" s="375">
        <v>61562.376750000003</v>
      </c>
      <c r="L1821" s="375">
        <v>29798.994330000001</v>
      </c>
      <c r="M1821" s="375">
        <v>272227.94371999998</v>
      </c>
      <c r="N1821" s="372">
        <v>0.68100000000000005</v>
      </c>
      <c r="O1821" s="704">
        <v>1350.4369301377499</v>
      </c>
      <c r="P1821" s="375" t="s">
        <v>619</v>
      </c>
      <c r="Q1821" s="372" t="s">
        <v>619</v>
      </c>
      <c r="R1821" s="696">
        <v>20100525</v>
      </c>
      <c r="S1821" s="372" t="s">
        <v>11885</v>
      </c>
      <c r="T1821" s="697">
        <v>0.23100000000000001</v>
      </c>
      <c r="U1821" s="372" t="s">
        <v>11886</v>
      </c>
      <c r="V1821" s="722">
        <v>6.18</v>
      </c>
      <c r="W1821" s="722">
        <v>0.55000000000000004</v>
      </c>
      <c r="X1821" s="722">
        <v>0.02</v>
      </c>
      <c r="Y1821" s="722">
        <v>19.649999999999999</v>
      </c>
      <c r="Z1821" s="382" t="s">
        <v>924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11887</v>
      </c>
      <c r="B1822" s="373" t="s">
        <v>11888</v>
      </c>
      <c r="C1822" s="372" t="s">
        <v>11889</v>
      </c>
      <c r="D1822" s="374">
        <v>1101111518830</v>
      </c>
      <c r="E1822" s="372" t="s">
        <v>11890</v>
      </c>
      <c r="F1822" s="375" t="s">
        <v>1367</v>
      </c>
      <c r="G1822" s="375" t="s">
        <v>1367</v>
      </c>
      <c r="H1822" s="375" t="s">
        <v>858</v>
      </c>
      <c r="I1822" s="375" t="s">
        <v>859</v>
      </c>
      <c r="J1822" s="375">
        <v>25952.279760000001</v>
      </c>
      <c r="K1822" s="375">
        <v>6252.1482800000003</v>
      </c>
      <c r="L1822" s="375">
        <v>3978.74397</v>
      </c>
      <c r="M1822" s="375">
        <v>87570.984830000001</v>
      </c>
      <c r="N1822" s="372">
        <v>0.95399999999999996</v>
      </c>
      <c r="O1822" s="704">
        <v>0.27987737983040434</v>
      </c>
      <c r="P1822" s="375" t="s">
        <v>619</v>
      </c>
      <c r="Q1822" s="372" t="s">
        <v>619</v>
      </c>
      <c r="R1822" s="696">
        <v>20161011</v>
      </c>
      <c r="S1822" s="372" t="s">
        <v>11891</v>
      </c>
      <c r="T1822" s="697">
        <v>0.20900000000000002</v>
      </c>
      <c r="U1822" s="372" t="s">
        <v>11892</v>
      </c>
      <c r="V1822" s="722">
        <v>0</v>
      </c>
      <c r="W1822" s="722">
        <v>0</v>
      </c>
      <c r="X1822" s="722">
        <v>0</v>
      </c>
      <c r="Y1822" s="722">
        <v>0</v>
      </c>
      <c r="Z1822" s="382" t="s">
        <v>924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11893</v>
      </c>
      <c r="B1823" s="373" t="s">
        <v>11894</v>
      </c>
      <c r="C1823" s="372" t="s">
        <v>11895</v>
      </c>
      <c r="D1823" s="374">
        <v>1201110001959</v>
      </c>
      <c r="E1823" s="372" t="s">
        <v>11896</v>
      </c>
      <c r="F1823" s="372" t="s">
        <v>2242</v>
      </c>
      <c r="G1823" s="375" t="s">
        <v>11897</v>
      </c>
      <c r="H1823" s="375" t="s">
        <v>3954</v>
      </c>
      <c r="I1823" s="375" t="s">
        <v>751</v>
      </c>
      <c r="J1823" s="375">
        <v>321709.66100000002</v>
      </c>
      <c r="K1823" s="375">
        <v>8287.9469399999998</v>
      </c>
      <c r="L1823" s="375">
        <v>-1893.6731500000001</v>
      </c>
      <c r="M1823" s="375">
        <v>192670.98597000001</v>
      </c>
      <c r="N1823" s="372">
        <v>0.75700000000000001</v>
      </c>
      <c r="O1823" s="704">
        <v>288.35427012185824</v>
      </c>
      <c r="P1823" s="375" t="s">
        <v>619</v>
      </c>
      <c r="Q1823" s="372" t="s">
        <v>619</v>
      </c>
      <c r="R1823" s="696">
        <v>19881021</v>
      </c>
      <c r="S1823" s="372" t="s">
        <v>11898</v>
      </c>
      <c r="T1823" s="697" t="s">
        <v>768</v>
      </c>
      <c r="U1823" s="372" t="s">
        <v>11899</v>
      </c>
      <c r="V1823" s="722">
        <v>7.17</v>
      </c>
      <c r="W1823" s="722">
        <v>0.28999999999999998</v>
      </c>
      <c r="X1823" s="722">
        <v>0.18</v>
      </c>
      <c r="Y1823" s="722" t="s">
        <v>770</v>
      </c>
      <c r="Z1823" s="382" t="s">
        <v>924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11900</v>
      </c>
      <c r="B1824" s="373" t="s">
        <v>11901</v>
      </c>
      <c r="C1824" s="372" t="s">
        <v>11902</v>
      </c>
      <c r="D1824" s="374">
        <v>1101113364372</v>
      </c>
      <c r="E1824" s="372" t="s">
        <v>11903</v>
      </c>
      <c r="F1824" s="372" t="s">
        <v>10460</v>
      </c>
      <c r="G1824" s="375" t="s">
        <v>11904</v>
      </c>
      <c r="H1824" s="375" t="s">
        <v>858</v>
      </c>
      <c r="I1824" s="375" t="s">
        <v>859</v>
      </c>
      <c r="J1824" s="375">
        <v>33983.030980000003</v>
      </c>
      <c r="K1824" s="375">
        <v>1185.9489599999999</v>
      </c>
      <c r="L1824" s="375">
        <v>3063.33898</v>
      </c>
      <c r="M1824" s="375">
        <v>60139.510799999996</v>
      </c>
      <c r="N1824" s="372">
        <v>1.08</v>
      </c>
      <c r="O1824" s="704">
        <v>1.9071817285154304</v>
      </c>
      <c r="P1824" s="375" t="s">
        <v>619</v>
      </c>
      <c r="Q1824" s="372" t="s">
        <v>619</v>
      </c>
      <c r="R1824" s="696">
        <v>20220809</v>
      </c>
      <c r="S1824" s="372" t="s">
        <v>11905</v>
      </c>
      <c r="T1824" s="697">
        <v>0.20900000000000002</v>
      </c>
      <c r="U1824" s="372" t="s">
        <v>11906</v>
      </c>
      <c r="V1824" s="722">
        <v>16.25</v>
      </c>
      <c r="W1824" s="722">
        <v>0.79</v>
      </c>
      <c r="X1824" s="722">
        <v>1.47</v>
      </c>
      <c r="Y1824" s="722">
        <v>14.84</v>
      </c>
      <c r="Z1824" s="382" t="s">
        <v>924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11907</v>
      </c>
      <c r="B1825" s="373" t="s">
        <v>11908</v>
      </c>
      <c r="C1825" s="372" t="s">
        <v>11909</v>
      </c>
      <c r="D1825" s="374">
        <v>1801110602755</v>
      </c>
      <c r="E1825" s="372" t="s">
        <v>11910</v>
      </c>
      <c r="F1825" s="375" t="s">
        <v>877</v>
      </c>
      <c r="G1825" s="375" t="s">
        <v>877</v>
      </c>
      <c r="H1825" s="375" t="s">
        <v>858</v>
      </c>
      <c r="I1825" s="375" t="s">
        <v>859</v>
      </c>
      <c r="J1825" s="375">
        <v>122444.55362000001</v>
      </c>
      <c r="K1825" s="375">
        <v>-4422.1481400000002</v>
      </c>
      <c r="L1825" s="375">
        <v>-8837.7866200000008</v>
      </c>
      <c r="M1825" s="375">
        <v>81870.279110000003</v>
      </c>
      <c r="N1825" s="372">
        <v>1.034</v>
      </c>
      <c r="O1825" s="704">
        <v>139.16334252509495</v>
      </c>
      <c r="P1825" s="375" t="s">
        <v>619</v>
      </c>
      <c r="Q1825" s="372" t="s">
        <v>619</v>
      </c>
      <c r="R1825" s="696">
        <v>20181205</v>
      </c>
      <c r="S1825" s="372" t="s">
        <v>11911</v>
      </c>
      <c r="T1825" s="697" t="s">
        <v>768</v>
      </c>
      <c r="U1825" s="372" t="s">
        <v>11912</v>
      </c>
      <c r="V1825" s="722">
        <v>70.8</v>
      </c>
      <c r="W1825" s="722">
        <v>0.46</v>
      </c>
      <c r="X1825" s="722">
        <v>0.32</v>
      </c>
      <c r="Y1825" s="722" t="s">
        <v>770</v>
      </c>
      <c r="Z1825" s="382" t="s">
        <v>924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11913</v>
      </c>
      <c r="B1826" s="373" t="s">
        <v>11914</v>
      </c>
      <c r="C1826" s="372" t="s">
        <v>11915</v>
      </c>
      <c r="D1826" s="374">
        <v>1801110000777</v>
      </c>
      <c r="E1826" s="372" t="s">
        <v>11916</v>
      </c>
      <c r="F1826" s="372" t="s">
        <v>2341</v>
      </c>
      <c r="G1826" s="375" t="s">
        <v>2341</v>
      </c>
      <c r="H1826" s="375" t="s">
        <v>809</v>
      </c>
      <c r="I1826" s="375" t="s">
        <v>751</v>
      </c>
      <c r="J1826" s="375">
        <v>286056.06101</v>
      </c>
      <c r="K1826" s="375">
        <v>16844.410749999999</v>
      </c>
      <c r="L1826" s="375">
        <v>18719.25675</v>
      </c>
      <c r="M1826" s="375">
        <v>230302.17366999999</v>
      </c>
      <c r="N1826" s="372">
        <v>0.73</v>
      </c>
      <c r="O1826" s="704">
        <v>139.89094266160947</v>
      </c>
      <c r="P1826" s="375" t="s">
        <v>619</v>
      </c>
      <c r="Q1826" s="375" t="s">
        <v>619</v>
      </c>
      <c r="R1826" s="696">
        <v>20130515</v>
      </c>
      <c r="S1826" s="375" t="s">
        <v>11917</v>
      </c>
      <c r="T1826" s="697">
        <v>0.20900000000000002</v>
      </c>
      <c r="U1826" s="372" t="s">
        <v>11918</v>
      </c>
      <c r="V1826" s="722">
        <v>4.74</v>
      </c>
      <c r="W1826" s="722">
        <v>0.28000000000000003</v>
      </c>
      <c r="X1826" s="722">
        <v>0.22</v>
      </c>
      <c r="Y1826" s="722">
        <v>4.1399999999999997</v>
      </c>
      <c r="Z1826" s="382" t="s">
        <v>924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11919</v>
      </c>
      <c r="B1827" s="373" t="s">
        <v>11920</v>
      </c>
      <c r="C1827" s="372" t="s">
        <v>11921</v>
      </c>
      <c r="D1827" s="374">
        <v>1101110086599</v>
      </c>
      <c r="E1827" s="372" t="s">
        <v>11922</v>
      </c>
      <c r="F1827" s="375" t="s">
        <v>4096</v>
      </c>
      <c r="G1827" s="375" t="s">
        <v>4097</v>
      </c>
      <c r="H1827" s="375" t="s">
        <v>823</v>
      </c>
      <c r="I1827" s="375" t="s">
        <v>751</v>
      </c>
      <c r="J1827" s="375">
        <v>108151.81572</v>
      </c>
      <c r="K1827" s="375">
        <v>4049.2672200000002</v>
      </c>
      <c r="L1827" s="375">
        <v>1711.6866600000001</v>
      </c>
      <c r="M1827" s="375">
        <v>54594.44672</v>
      </c>
      <c r="N1827" s="372">
        <v>0.754</v>
      </c>
      <c r="O1827" s="704">
        <v>83.16532249352872</v>
      </c>
      <c r="P1827" s="375" t="s">
        <v>619</v>
      </c>
      <c r="Q1827" s="372" t="s">
        <v>619</v>
      </c>
      <c r="R1827" s="696">
        <v>19761228</v>
      </c>
      <c r="S1827" s="372" t="s">
        <v>11923</v>
      </c>
      <c r="T1827" s="697">
        <v>0.20900000000000002</v>
      </c>
      <c r="U1827" s="372" t="s">
        <v>11924</v>
      </c>
      <c r="V1827" s="722">
        <v>0</v>
      </c>
      <c r="W1827" s="722">
        <v>0</v>
      </c>
      <c r="X1827" s="722">
        <v>0</v>
      </c>
      <c r="Y1827" s="722">
        <v>0</v>
      </c>
      <c r="Z1827" s="382" t="s">
        <v>924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11925</v>
      </c>
      <c r="B1828" s="373" t="s">
        <v>11926</v>
      </c>
      <c r="C1828" s="372" t="s">
        <v>11927</v>
      </c>
      <c r="D1828" s="374">
        <v>1101110134819</v>
      </c>
      <c r="E1828" s="372" t="s">
        <v>11928</v>
      </c>
      <c r="F1828" s="375" t="s">
        <v>618</v>
      </c>
      <c r="G1828" s="375" t="s">
        <v>618</v>
      </c>
      <c r="H1828" s="375" t="s">
        <v>750</v>
      </c>
      <c r="I1828" s="375" t="s">
        <v>751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0.106</v>
      </c>
      <c r="O1828" s="704" t="s">
        <v>16298</v>
      </c>
      <c r="P1828" s="375" t="s">
        <v>16112</v>
      </c>
      <c r="Q1828" s="372" t="s">
        <v>16113</v>
      </c>
      <c r="R1828" s="696">
        <v>19900605</v>
      </c>
      <c r="S1828" s="372" t="s">
        <v>11929</v>
      </c>
      <c r="T1828" s="697" t="s">
        <v>768</v>
      </c>
      <c r="U1828" s="372" t="s">
        <v>11930</v>
      </c>
      <c r="V1828" s="722">
        <v>0</v>
      </c>
      <c r="W1828" s="722">
        <v>0</v>
      </c>
      <c r="X1828" s="722">
        <v>0</v>
      </c>
      <c r="Y1828" s="722">
        <v>0</v>
      </c>
      <c r="Z1828" s="382" t="s">
        <v>924</v>
      </c>
      <c r="AA1828" s="372">
        <v>398.06759260000001</v>
      </c>
      <c r="AB1828" s="372">
        <v>436.21572190000001</v>
      </c>
      <c r="AC1828" s="372">
        <v>412.82867440000001</v>
      </c>
      <c r="AD1828" s="372">
        <v>290.25438339999999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11931</v>
      </c>
      <c r="B1829" s="373" t="s">
        <v>11932</v>
      </c>
      <c r="C1829" s="372" t="s">
        <v>11933</v>
      </c>
      <c r="D1829" s="374">
        <v>1101114690768</v>
      </c>
      <c r="E1829" s="372" t="s">
        <v>11934</v>
      </c>
      <c r="F1829" s="375" t="s">
        <v>1052</v>
      </c>
      <c r="G1829" s="375" t="s">
        <v>16101</v>
      </c>
      <c r="H1829" s="375" t="s">
        <v>858</v>
      </c>
      <c r="I1829" s="375" t="s">
        <v>859</v>
      </c>
      <c r="J1829" s="375">
        <v>3393.5113700000002</v>
      </c>
      <c r="K1829" s="375">
        <v>-10158.116400000001</v>
      </c>
      <c r="L1829" s="375">
        <v>-13421.594649999999</v>
      </c>
      <c r="M1829" s="375">
        <v>8509.7423199999994</v>
      </c>
      <c r="N1829" s="372">
        <v>1.0980000000000001</v>
      </c>
      <c r="O1829" s="704">
        <v>27.32915043875057</v>
      </c>
      <c r="P1829" s="375" t="s">
        <v>619</v>
      </c>
      <c r="Q1829" s="372" t="s">
        <v>619</v>
      </c>
      <c r="R1829" s="696">
        <v>20151027</v>
      </c>
      <c r="S1829" s="372" t="s">
        <v>11935</v>
      </c>
      <c r="T1829" s="697" t="s">
        <v>768</v>
      </c>
      <c r="U1829" s="372" t="s">
        <v>11936</v>
      </c>
      <c r="V1829" s="722" t="s">
        <v>770</v>
      </c>
      <c r="W1829" s="722">
        <v>3.83</v>
      </c>
      <c r="X1829" s="722">
        <v>11.35</v>
      </c>
      <c r="Y1829" s="722" t="s">
        <v>770</v>
      </c>
      <c r="Z1829" s="382" t="s">
        <v>924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11937</v>
      </c>
      <c r="B1830" s="373" t="s">
        <v>11938</v>
      </c>
      <c r="C1830" s="372" t="s">
        <v>11939</v>
      </c>
      <c r="D1830" s="374">
        <v>1101117067138</v>
      </c>
      <c r="E1830" s="372" t="s">
        <v>11940</v>
      </c>
      <c r="F1830" s="375" t="s">
        <v>11941</v>
      </c>
      <c r="G1830" s="375" t="s">
        <v>11941</v>
      </c>
      <c r="H1830" s="375" t="s">
        <v>858</v>
      </c>
      <c r="I1830" s="375" t="s">
        <v>859</v>
      </c>
      <c r="J1830" s="375">
        <v>0</v>
      </c>
      <c r="K1830" s="375">
        <v>0</v>
      </c>
      <c r="L1830" s="375">
        <v>0</v>
      </c>
      <c r="M1830" s="375">
        <v>0</v>
      </c>
      <c r="N1830" s="372">
        <v>0.59699999999999998</v>
      </c>
      <c r="O1830" s="704" t="s">
        <v>16298</v>
      </c>
      <c r="P1830" s="375" t="s">
        <v>16112</v>
      </c>
      <c r="Q1830" s="372" t="s">
        <v>16113</v>
      </c>
      <c r="R1830" s="696">
        <v>20190619</v>
      </c>
      <c r="S1830" s="372" t="s">
        <v>11942</v>
      </c>
      <c r="T1830" s="697" t="s">
        <v>768</v>
      </c>
      <c r="U1830" s="372" t="s">
        <v>11943</v>
      </c>
      <c r="V1830" s="722">
        <v>0</v>
      </c>
      <c r="W1830" s="722">
        <v>0</v>
      </c>
      <c r="X1830" s="722">
        <v>0</v>
      </c>
      <c r="Y1830" s="722">
        <v>0</v>
      </c>
      <c r="Z1830" s="382" t="s">
        <v>924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11944</v>
      </c>
      <c r="B1831" s="373" t="s">
        <v>11945</v>
      </c>
      <c r="C1831" s="372" t="s">
        <v>16032</v>
      </c>
      <c r="D1831" s="374">
        <v>1101111407314</v>
      </c>
      <c r="E1831" s="372" t="s">
        <v>16033</v>
      </c>
      <c r="F1831" s="375" t="s">
        <v>5766</v>
      </c>
      <c r="G1831" s="375" t="s">
        <v>5766</v>
      </c>
      <c r="H1831" s="375" t="s">
        <v>1334</v>
      </c>
      <c r="I1831" s="375" t="s">
        <v>859</v>
      </c>
      <c r="J1831" s="375">
        <v>8094.9597899999999</v>
      </c>
      <c r="K1831" s="375">
        <v>-5124.2339400000001</v>
      </c>
      <c r="L1831" s="375">
        <v>-14562.99259</v>
      </c>
      <c r="M1831" s="375">
        <v>36735.673990000003</v>
      </c>
      <c r="N1831" s="372">
        <v>0.79500000000000004</v>
      </c>
      <c r="O1831" s="704">
        <v>32.990294877071122</v>
      </c>
      <c r="P1831" s="375" t="s">
        <v>619</v>
      </c>
      <c r="Q1831" s="375" t="s">
        <v>619</v>
      </c>
      <c r="R1831" s="696">
        <v>20020108</v>
      </c>
      <c r="S1831" s="375" t="s">
        <v>11946</v>
      </c>
      <c r="T1831" s="697" t="s">
        <v>768</v>
      </c>
      <c r="U1831" s="372" t="s">
        <v>11947</v>
      </c>
      <c r="V1831" s="722" t="s">
        <v>770</v>
      </c>
      <c r="W1831" s="722">
        <v>2.89</v>
      </c>
      <c r="X1831" s="722">
        <v>12.57</v>
      </c>
      <c r="Y1831" s="722" t="s">
        <v>770</v>
      </c>
      <c r="Z1831" s="382" t="s">
        <v>924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11948</v>
      </c>
      <c r="B1832" s="373" t="s">
        <v>11949</v>
      </c>
      <c r="C1832" s="372" t="s">
        <v>11950</v>
      </c>
      <c r="D1832" s="374">
        <v>1101112686024</v>
      </c>
      <c r="E1832" s="372" t="s">
        <v>11951</v>
      </c>
      <c r="F1832" s="375" t="s">
        <v>2482</v>
      </c>
      <c r="G1832" s="375" t="s">
        <v>2483</v>
      </c>
      <c r="H1832" s="375" t="s">
        <v>809</v>
      </c>
      <c r="I1832" s="375" t="s">
        <v>751</v>
      </c>
      <c r="J1832" s="375">
        <v>246109.6237</v>
      </c>
      <c r="K1832" s="375">
        <v>1066.9095199999999</v>
      </c>
      <c r="L1832" s="375">
        <v>-4607.7065899999998</v>
      </c>
      <c r="M1832" s="375">
        <v>144688.03135</v>
      </c>
      <c r="N1832" s="372">
        <v>1.0589999999999999</v>
      </c>
      <c r="O1832" s="704">
        <v>142.07863430969107</v>
      </c>
      <c r="P1832" s="375" t="s">
        <v>619</v>
      </c>
      <c r="Q1832" s="372" t="s">
        <v>619</v>
      </c>
      <c r="R1832" s="696">
        <v>20030217</v>
      </c>
      <c r="S1832" s="372" t="s">
        <v>11952</v>
      </c>
      <c r="T1832" s="697" t="s">
        <v>768</v>
      </c>
      <c r="U1832" s="372" t="s">
        <v>11953</v>
      </c>
      <c r="V1832" s="722">
        <v>17.86</v>
      </c>
      <c r="W1832" s="722">
        <v>0.48</v>
      </c>
      <c r="X1832" s="722">
        <v>0.28000000000000003</v>
      </c>
      <c r="Y1832" s="722" t="s">
        <v>770</v>
      </c>
      <c r="Z1832" s="382" t="s">
        <v>924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11954</v>
      </c>
      <c r="B1833" s="373" t="s">
        <v>11955</v>
      </c>
      <c r="C1833" s="372" t="s">
        <v>11956</v>
      </c>
      <c r="D1833" s="374">
        <v>1101110150659</v>
      </c>
      <c r="E1833" s="372" t="s">
        <v>11957</v>
      </c>
      <c r="F1833" s="375" t="s">
        <v>1148</v>
      </c>
      <c r="G1833" s="375" t="s">
        <v>1149</v>
      </c>
      <c r="H1833" s="375" t="s">
        <v>906</v>
      </c>
      <c r="I1833" s="375" t="s">
        <v>751</v>
      </c>
      <c r="J1833" s="375">
        <v>696620.82570000004</v>
      </c>
      <c r="K1833" s="375">
        <v>20292.918150000001</v>
      </c>
      <c r="L1833" s="375">
        <v>19381.80215</v>
      </c>
      <c r="M1833" s="375">
        <v>130338.46093</v>
      </c>
      <c r="N1833" s="372">
        <v>0.67500000000000004</v>
      </c>
      <c r="O1833" s="704">
        <v>82.122456133957584</v>
      </c>
      <c r="P1833" s="375" t="s">
        <v>619</v>
      </c>
      <c r="Q1833" s="372" t="s">
        <v>619</v>
      </c>
      <c r="R1833" s="696">
        <v>19891113</v>
      </c>
      <c r="S1833" s="372" t="s">
        <v>11958</v>
      </c>
      <c r="T1833" s="697">
        <v>0.20900000000000002</v>
      </c>
      <c r="U1833" s="372" t="s">
        <v>11959</v>
      </c>
      <c r="V1833" s="722">
        <v>2.2200000000000002</v>
      </c>
      <c r="W1833" s="722">
        <v>0.53</v>
      </c>
      <c r="X1833" s="722">
        <v>0.1</v>
      </c>
      <c r="Y1833" s="722">
        <v>6.13</v>
      </c>
      <c r="Z1833" s="382" t="s">
        <v>924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11960</v>
      </c>
      <c r="B1834" s="373" t="s">
        <v>11961</v>
      </c>
      <c r="C1834" s="372" t="s">
        <v>11962</v>
      </c>
      <c r="D1834" s="374">
        <v>1101110952055</v>
      </c>
      <c r="E1834" s="372" t="s">
        <v>11963</v>
      </c>
      <c r="F1834" s="375" t="s">
        <v>2072</v>
      </c>
      <c r="G1834" s="375" t="s">
        <v>2073</v>
      </c>
      <c r="H1834" s="375" t="s">
        <v>858</v>
      </c>
      <c r="I1834" s="375" t="s">
        <v>859</v>
      </c>
      <c r="J1834" s="375">
        <v>216072.66115</v>
      </c>
      <c r="K1834" s="375">
        <v>25325.653490000001</v>
      </c>
      <c r="L1834" s="375">
        <v>45873.325340000003</v>
      </c>
      <c r="M1834" s="375">
        <v>151248.90867</v>
      </c>
      <c r="N1834" s="372">
        <v>0.86399999999999999</v>
      </c>
      <c r="O1834" s="704">
        <v>49.595738308717777</v>
      </c>
      <c r="P1834" s="375" t="s">
        <v>619</v>
      </c>
      <c r="Q1834" s="372" t="s">
        <v>619</v>
      </c>
      <c r="R1834" s="696">
        <v>20131002</v>
      </c>
      <c r="S1834" s="375" t="s">
        <v>11964</v>
      </c>
      <c r="T1834" s="697">
        <v>0.23100000000000001</v>
      </c>
      <c r="U1834" s="372" t="s">
        <v>11965</v>
      </c>
      <c r="V1834" s="722">
        <v>3.34</v>
      </c>
      <c r="W1834" s="722">
        <v>0.6</v>
      </c>
      <c r="X1834" s="722">
        <v>0.43</v>
      </c>
      <c r="Y1834" s="722">
        <v>2.3199999999999998</v>
      </c>
      <c r="Z1834" s="382" t="s">
        <v>924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11966</v>
      </c>
      <c r="B1835" s="373" t="s">
        <v>11967</v>
      </c>
      <c r="C1835" s="372" t="s">
        <v>11968</v>
      </c>
      <c r="D1835" s="374">
        <v>1954110007168</v>
      </c>
      <c r="E1835" s="372" t="s">
        <v>11969</v>
      </c>
      <c r="F1835" s="372" t="s">
        <v>1125</v>
      </c>
      <c r="G1835" s="375" t="s">
        <v>7419</v>
      </c>
      <c r="H1835" s="375" t="s">
        <v>858</v>
      </c>
      <c r="I1835" s="375" t="s">
        <v>859</v>
      </c>
      <c r="J1835" s="375">
        <v>159793.36533</v>
      </c>
      <c r="K1835" s="375">
        <v>-425.90845000000002</v>
      </c>
      <c r="L1835" s="375">
        <v>-5645.1854999999996</v>
      </c>
      <c r="M1835" s="375">
        <v>288232.87507000001</v>
      </c>
      <c r="N1835" s="372">
        <v>0.64200000000000002</v>
      </c>
      <c r="O1835" s="704">
        <v>98.272759812844029</v>
      </c>
      <c r="P1835" s="375" t="s">
        <v>619</v>
      </c>
      <c r="Q1835" s="375" t="s">
        <v>619</v>
      </c>
      <c r="R1835" s="696">
        <v>20141224</v>
      </c>
      <c r="S1835" s="375" t="s">
        <v>11970</v>
      </c>
      <c r="T1835" s="697" t="s">
        <v>768</v>
      </c>
      <c r="U1835" s="372" t="s">
        <v>11971</v>
      </c>
      <c r="V1835" s="722">
        <v>29.04</v>
      </c>
      <c r="W1835" s="722">
        <v>0.66</v>
      </c>
      <c r="X1835" s="722">
        <v>0.67</v>
      </c>
      <c r="Y1835" s="722" t="s">
        <v>770</v>
      </c>
      <c r="Z1835" s="382" t="s">
        <v>924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11972</v>
      </c>
      <c r="B1836" s="373" t="s">
        <v>11973</v>
      </c>
      <c r="C1836" s="372" t="s">
        <v>11974</v>
      </c>
      <c r="D1836" s="374">
        <v>1345110233665</v>
      </c>
      <c r="E1836" s="372" t="s">
        <v>11975</v>
      </c>
      <c r="F1836" s="375" t="s">
        <v>4868</v>
      </c>
      <c r="G1836" s="375" t="s">
        <v>4868</v>
      </c>
      <c r="H1836" s="375" t="s">
        <v>858</v>
      </c>
      <c r="I1836" s="375" t="s">
        <v>859</v>
      </c>
      <c r="J1836" s="375">
        <v>278131.54197999998</v>
      </c>
      <c r="K1836" s="375">
        <v>-7965.0718100000004</v>
      </c>
      <c r="L1836" s="375">
        <v>-16836.517639999998</v>
      </c>
      <c r="M1836" s="375">
        <v>67117.391900000002</v>
      </c>
      <c r="N1836" s="372">
        <v>0.92200000000000004</v>
      </c>
      <c r="O1836" s="704">
        <v>144.14760696107129</v>
      </c>
      <c r="P1836" s="375" t="s">
        <v>619</v>
      </c>
      <c r="Q1836" s="372" t="s">
        <v>619</v>
      </c>
      <c r="R1836" s="696">
        <v>20140602</v>
      </c>
      <c r="S1836" s="372" t="s">
        <v>11976</v>
      </c>
      <c r="T1836" s="697" t="s">
        <v>768</v>
      </c>
      <c r="U1836" s="372" t="s">
        <v>15934</v>
      </c>
      <c r="V1836" s="722">
        <v>7.17</v>
      </c>
      <c r="W1836" s="722">
        <v>0.81</v>
      </c>
      <c r="X1836" s="722">
        <v>0.18</v>
      </c>
      <c r="Y1836" s="722" t="s">
        <v>770</v>
      </c>
      <c r="Z1836" s="382" t="s">
        <v>924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11977</v>
      </c>
      <c r="B1837" s="373" t="s">
        <v>11978</v>
      </c>
      <c r="C1837" s="372" t="s">
        <v>11979</v>
      </c>
      <c r="D1837" s="374">
        <v>1101114722917</v>
      </c>
      <c r="E1837" s="372" t="s">
        <v>11980</v>
      </c>
      <c r="F1837" s="375" t="s">
        <v>10611</v>
      </c>
      <c r="G1837" s="375" t="s">
        <v>10611</v>
      </c>
      <c r="H1837" s="375" t="s">
        <v>858</v>
      </c>
      <c r="I1837" s="375" t="s">
        <v>859</v>
      </c>
      <c r="J1837" s="375">
        <v>31227.051800000001</v>
      </c>
      <c r="K1837" s="375">
        <v>4000.0750899999998</v>
      </c>
      <c r="L1837" s="375">
        <v>7617.3561900000004</v>
      </c>
      <c r="M1837" s="375">
        <v>77646.296830000007</v>
      </c>
      <c r="N1837" s="372">
        <v>1.2310000000000001</v>
      </c>
      <c r="O1837" s="704">
        <v>0.1941566638757618</v>
      </c>
      <c r="P1837" s="375" t="s">
        <v>619</v>
      </c>
      <c r="Q1837" s="375" t="s">
        <v>619</v>
      </c>
      <c r="R1837" s="696">
        <v>20120213</v>
      </c>
      <c r="S1837" s="375" t="s">
        <v>11981</v>
      </c>
      <c r="T1837" s="697">
        <v>0.20900000000000002</v>
      </c>
      <c r="U1837" s="372" t="s">
        <v>11982</v>
      </c>
      <c r="V1837" s="722">
        <v>0</v>
      </c>
      <c r="W1837" s="722">
        <v>0</v>
      </c>
      <c r="X1837" s="722">
        <v>0</v>
      </c>
      <c r="Y1837" s="722">
        <v>0</v>
      </c>
      <c r="Z1837" s="382" t="s">
        <v>924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11983</v>
      </c>
      <c r="B1838" s="373" t="s">
        <v>11984</v>
      </c>
      <c r="C1838" s="372" t="s">
        <v>11985</v>
      </c>
      <c r="D1838" s="374">
        <v>1701110309329</v>
      </c>
      <c r="E1838" s="372" t="s">
        <v>11986</v>
      </c>
      <c r="F1838" s="375" t="s">
        <v>1860</v>
      </c>
      <c r="G1838" s="375" t="s">
        <v>1861</v>
      </c>
      <c r="H1838" s="375" t="s">
        <v>789</v>
      </c>
      <c r="I1838" s="375" t="s">
        <v>751</v>
      </c>
      <c r="J1838" s="375">
        <v>579706.60669000004</v>
      </c>
      <c r="K1838" s="375">
        <v>10951.38012</v>
      </c>
      <c r="L1838" s="375">
        <v>1857.1018999999999</v>
      </c>
      <c r="M1838" s="375">
        <v>45320.271809999998</v>
      </c>
      <c r="N1838" s="372">
        <v>0.92500000000000004</v>
      </c>
      <c r="O1838" s="704">
        <v>148.00233765744821</v>
      </c>
      <c r="P1838" s="375" t="s">
        <v>619</v>
      </c>
      <c r="Q1838" s="375" t="s">
        <v>619</v>
      </c>
      <c r="R1838" s="696">
        <v>20060602</v>
      </c>
      <c r="S1838" s="375" t="s">
        <v>11987</v>
      </c>
      <c r="T1838" s="697">
        <v>0.20900000000000002</v>
      </c>
      <c r="U1838" s="375" t="s">
        <v>11988</v>
      </c>
      <c r="V1838" s="722">
        <v>5.34</v>
      </c>
      <c r="W1838" s="722">
        <v>1.23</v>
      </c>
      <c r="X1838" s="722">
        <v>0.1</v>
      </c>
      <c r="Y1838" s="722">
        <v>50.34</v>
      </c>
      <c r="Z1838" s="382" t="s">
        <v>924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11989</v>
      </c>
      <c r="B1839" s="373" t="s">
        <v>11990</v>
      </c>
      <c r="C1839" s="372" t="s">
        <v>11991</v>
      </c>
      <c r="D1839" s="374">
        <v>1101111833486</v>
      </c>
      <c r="E1839" s="372" t="s">
        <v>11992</v>
      </c>
      <c r="F1839" s="375" t="s">
        <v>1354</v>
      </c>
      <c r="G1839" s="375" t="s">
        <v>1354</v>
      </c>
      <c r="H1839" s="375" t="s">
        <v>858</v>
      </c>
      <c r="I1839" s="375" t="s">
        <v>859</v>
      </c>
      <c r="J1839" s="375">
        <v>77820.020969999998</v>
      </c>
      <c r="K1839" s="375">
        <v>-19157.448769999999</v>
      </c>
      <c r="L1839" s="375">
        <v>-62600.3367</v>
      </c>
      <c r="M1839" s="375">
        <v>120583.52503999999</v>
      </c>
      <c r="N1839" s="372">
        <v>1.635</v>
      </c>
      <c r="O1839" s="704">
        <v>192.97326434290505</v>
      </c>
      <c r="P1839" s="375" t="s">
        <v>619</v>
      </c>
      <c r="Q1839" s="372" t="s">
        <v>619</v>
      </c>
      <c r="R1839" s="696">
        <v>20020621</v>
      </c>
      <c r="S1839" s="372" t="s">
        <v>11993</v>
      </c>
      <c r="T1839" s="697" t="s">
        <v>768</v>
      </c>
      <c r="U1839" s="372" t="s">
        <v>15935</v>
      </c>
      <c r="V1839" s="722" t="s">
        <v>770</v>
      </c>
      <c r="W1839" s="722">
        <v>0.6</v>
      </c>
      <c r="X1839" s="722">
        <v>0.63</v>
      </c>
      <c r="Y1839" s="722" t="s">
        <v>770</v>
      </c>
      <c r="Z1839" s="382" t="s">
        <v>924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11994</v>
      </c>
      <c r="B1840" s="373" t="s">
        <v>11995</v>
      </c>
      <c r="C1840" s="372" t="s">
        <v>11996</v>
      </c>
      <c r="D1840" s="374">
        <v>1201110127961</v>
      </c>
      <c r="E1840" s="372" t="s">
        <v>11997</v>
      </c>
      <c r="F1840" s="375" t="s">
        <v>2508</v>
      </c>
      <c r="G1840" s="375" t="s">
        <v>2508</v>
      </c>
      <c r="H1840" s="375" t="s">
        <v>858</v>
      </c>
      <c r="I1840" s="375" t="s">
        <v>859</v>
      </c>
      <c r="J1840" s="375">
        <v>0</v>
      </c>
      <c r="K1840" s="375">
        <v>0</v>
      </c>
      <c r="L1840" s="375">
        <v>0</v>
      </c>
      <c r="M1840" s="375">
        <v>40648.279990000003</v>
      </c>
      <c r="N1840" s="372" t="s">
        <v>1023</v>
      </c>
      <c r="O1840" s="704">
        <v>19.487420282206884</v>
      </c>
      <c r="P1840" s="375" t="s">
        <v>619</v>
      </c>
      <c r="Q1840" s="375" t="s">
        <v>619</v>
      </c>
      <c r="R1840" s="696">
        <v>20230601</v>
      </c>
      <c r="S1840" s="375" t="s">
        <v>11998</v>
      </c>
      <c r="T1840" s="697" t="s">
        <v>768</v>
      </c>
      <c r="U1840" s="372" t="s">
        <v>11999</v>
      </c>
      <c r="V1840" s="722">
        <v>0</v>
      </c>
      <c r="W1840" s="722">
        <v>1.07</v>
      </c>
      <c r="X1840" s="722">
        <v>0</v>
      </c>
      <c r="Y1840" s="722">
        <v>0</v>
      </c>
      <c r="Z1840" s="382" t="s">
        <v>924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12000</v>
      </c>
      <c r="B1841" s="373" t="s">
        <v>12001</v>
      </c>
      <c r="C1841" s="372" t="s">
        <v>12002</v>
      </c>
      <c r="D1841" s="374">
        <v>1201110002212</v>
      </c>
      <c r="E1841" s="372" t="s">
        <v>12003</v>
      </c>
      <c r="F1841" s="375" t="s">
        <v>2744</v>
      </c>
      <c r="G1841" s="375" t="s">
        <v>2745</v>
      </c>
      <c r="H1841" s="375" t="s">
        <v>809</v>
      </c>
      <c r="I1841" s="375" t="s">
        <v>751</v>
      </c>
      <c r="J1841" s="375">
        <v>206849.43453999999</v>
      </c>
      <c r="K1841" s="375">
        <v>1592.86456</v>
      </c>
      <c r="L1841" s="375">
        <v>-2865.60131</v>
      </c>
      <c r="M1841" s="375">
        <v>105344.03412</v>
      </c>
      <c r="N1841" s="372">
        <v>1.012</v>
      </c>
      <c r="O1841" s="704">
        <v>27.115566283136367</v>
      </c>
      <c r="P1841" s="375" t="s">
        <v>619</v>
      </c>
      <c r="Q1841" s="375" t="s">
        <v>619</v>
      </c>
      <c r="R1841" s="696">
        <v>19940429</v>
      </c>
      <c r="S1841" s="375" t="s">
        <v>12004</v>
      </c>
      <c r="T1841" s="697" t="s">
        <v>768</v>
      </c>
      <c r="U1841" s="372" t="s">
        <v>12005</v>
      </c>
      <c r="V1841" s="722">
        <v>0</v>
      </c>
      <c r="W1841" s="722">
        <v>0</v>
      </c>
      <c r="X1841" s="722">
        <v>0</v>
      </c>
      <c r="Y1841" s="722">
        <v>0</v>
      </c>
      <c r="Z1841" s="382" t="s">
        <v>924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12006</v>
      </c>
      <c r="B1842" s="373" t="s">
        <v>12007</v>
      </c>
      <c r="C1842" s="372" t="s">
        <v>12008</v>
      </c>
      <c r="D1842" s="374">
        <v>1101116471554</v>
      </c>
      <c r="E1842" s="372" t="s">
        <v>12009</v>
      </c>
      <c r="F1842" s="372" t="s">
        <v>2219</v>
      </c>
      <c r="G1842" s="375" t="s">
        <v>2219</v>
      </c>
      <c r="H1842" s="375" t="s">
        <v>858</v>
      </c>
      <c r="I1842" s="375" t="s">
        <v>859</v>
      </c>
      <c r="J1842" s="375">
        <v>34701.194150000003</v>
      </c>
      <c r="K1842" s="375">
        <v>2537.0244899999998</v>
      </c>
      <c r="L1842" s="375">
        <v>1602.06943</v>
      </c>
      <c r="M1842" s="375">
        <v>64278.283750000002</v>
      </c>
      <c r="N1842" s="372">
        <v>0.58399999999999996</v>
      </c>
      <c r="O1842" s="704">
        <v>62.976421717457058</v>
      </c>
      <c r="P1842" s="375" t="s">
        <v>619</v>
      </c>
      <c r="Q1842" s="372" t="s">
        <v>619</v>
      </c>
      <c r="R1842" s="696">
        <v>20170929</v>
      </c>
      <c r="S1842" s="372" t="s">
        <v>12010</v>
      </c>
      <c r="T1842" s="697">
        <v>0.20900000000000002</v>
      </c>
      <c r="U1842" s="372" t="s">
        <v>12011</v>
      </c>
      <c r="V1842" s="722">
        <v>15.05</v>
      </c>
      <c r="W1842" s="722">
        <v>0.86</v>
      </c>
      <c r="X1842" s="722">
        <v>1.61</v>
      </c>
      <c r="Y1842" s="722">
        <v>39.979999999999997</v>
      </c>
      <c r="Z1842" s="382" t="s">
        <v>924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12012</v>
      </c>
      <c r="B1843" s="373" t="s">
        <v>12013</v>
      </c>
      <c r="C1843" s="372" t="s">
        <v>12014</v>
      </c>
      <c r="D1843" s="374">
        <v>1311110248194</v>
      </c>
      <c r="E1843" s="372" t="s">
        <v>12015</v>
      </c>
      <c r="F1843" s="375" t="s">
        <v>1246</v>
      </c>
      <c r="G1843" s="375" t="s">
        <v>1246</v>
      </c>
      <c r="H1843" s="375" t="s">
        <v>858</v>
      </c>
      <c r="I1843" s="375" t="s">
        <v>859</v>
      </c>
      <c r="J1843" s="375">
        <v>13723.636689999999</v>
      </c>
      <c r="K1843" s="375">
        <v>-68.121669999999995</v>
      </c>
      <c r="L1843" s="375">
        <v>-551.47667000000001</v>
      </c>
      <c r="M1843" s="375">
        <v>18019.023980000002</v>
      </c>
      <c r="N1843" s="372">
        <v>0.58899999999999997</v>
      </c>
      <c r="O1843" s="704">
        <v>4.1368006930491568</v>
      </c>
      <c r="P1843" s="375" t="s">
        <v>619</v>
      </c>
      <c r="Q1843" s="372" t="s">
        <v>619</v>
      </c>
      <c r="R1843" s="696">
        <v>20160311</v>
      </c>
      <c r="S1843" s="372" t="s">
        <v>12016</v>
      </c>
      <c r="T1843" s="697" t="s">
        <v>768</v>
      </c>
      <c r="U1843" s="372" t="s">
        <v>12017</v>
      </c>
      <c r="V1843" s="722">
        <v>0</v>
      </c>
      <c r="W1843" s="722">
        <v>0</v>
      </c>
      <c r="X1843" s="722">
        <v>0</v>
      </c>
      <c r="Y1843" s="722">
        <v>0</v>
      </c>
      <c r="Z1843" s="382" t="s">
        <v>924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12018</v>
      </c>
      <c r="B1844" s="373" t="s">
        <v>12019</v>
      </c>
      <c r="C1844" s="372" t="s">
        <v>12020</v>
      </c>
      <c r="D1844" s="374">
        <v>1101110155683</v>
      </c>
      <c r="E1844" s="372" t="s">
        <v>12021</v>
      </c>
      <c r="F1844" s="375" t="s">
        <v>890</v>
      </c>
      <c r="G1844" s="375" t="s">
        <v>891</v>
      </c>
      <c r="H1844" s="375" t="s">
        <v>852</v>
      </c>
      <c r="I1844" s="375" t="s">
        <v>751</v>
      </c>
      <c r="J1844" s="375">
        <v>610839.54709000001</v>
      </c>
      <c r="K1844" s="375">
        <v>-110203.6488</v>
      </c>
      <c r="L1844" s="375">
        <v>27295.136699999999</v>
      </c>
      <c r="M1844" s="375">
        <v>201183.80923000001</v>
      </c>
      <c r="N1844" s="372">
        <v>0.247</v>
      </c>
      <c r="O1844" s="704">
        <v>795.41500064825618</v>
      </c>
      <c r="P1844" s="375" t="s">
        <v>619</v>
      </c>
      <c r="Q1844" s="372" t="s">
        <v>16113</v>
      </c>
      <c r="R1844" s="696">
        <v>19941105</v>
      </c>
      <c r="S1844" s="372" t="s">
        <v>15936</v>
      </c>
      <c r="T1844" s="697">
        <v>0.23100000000000001</v>
      </c>
      <c r="U1844" s="372" t="s">
        <v>12022</v>
      </c>
      <c r="V1844" s="722" t="s">
        <v>770</v>
      </c>
      <c r="W1844" s="722">
        <v>0.1</v>
      </c>
      <c r="X1844" s="722">
        <v>0.03</v>
      </c>
      <c r="Y1844" s="722">
        <v>0.23</v>
      </c>
      <c r="Z1844" s="382" t="s">
        <v>924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12023</v>
      </c>
      <c r="B1845" s="373" t="s">
        <v>12024</v>
      </c>
      <c r="C1845" s="372" t="s">
        <v>12025</v>
      </c>
      <c r="D1845" s="374">
        <v>1101112606171</v>
      </c>
      <c r="E1845" s="372" t="s">
        <v>12026</v>
      </c>
      <c r="F1845" s="375" t="s">
        <v>1052</v>
      </c>
      <c r="G1845" s="375" t="s">
        <v>16101</v>
      </c>
      <c r="H1845" s="375" t="s">
        <v>858</v>
      </c>
      <c r="I1845" s="375" t="s">
        <v>859</v>
      </c>
      <c r="J1845" s="375">
        <v>4372.5080200000002</v>
      </c>
      <c r="K1845" s="375">
        <v>-13009.93779</v>
      </c>
      <c r="L1845" s="375">
        <v>-13753.50742</v>
      </c>
      <c r="M1845" s="375">
        <v>9305.2288200000003</v>
      </c>
      <c r="N1845" s="372">
        <v>0.20699999999999999</v>
      </c>
      <c r="O1845" s="704">
        <v>9.4054389195870449</v>
      </c>
      <c r="P1845" s="375" t="s">
        <v>619</v>
      </c>
      <c r="Q1845" s="375" t="s">
        <v>619</v>
      </c>
      <c r="R1845" s="696">
        <v>20201019</v>
      </c>
      <c r="S1845" s="375" t="s">
        <v>12027</v>
      </c>
      <c r="T1845" s="697" t="s">
        <v>768</v>
      </c>
      <c r="U1845" s="372" t="s">
        <v>12028</v>
      </c>
      <c r="V1845" s="722" t="s">
        <v>770</v>
      </c>
      <c r="W1845" s="722">
        <v>7.54</v>
      </c>
      <c r="X1845" s="722">
        <v>16.97</v>
      </c>
      <c r="Y1845" s="722" t="s">
        <v>770</v>
      </c>
      <c r="Z1845" s="382" t="s">
        <v>924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12029</v>
      </c>
      <c r="B1846" s="373" t="s">
        <v>12030</v>
      </c>
      <c r="C1846" s="372" t="s">
        <v>12031</v>
      </c>
      <c r="D1846" s="374">
        <v>1801110132801</v>
      </c>
      <c r="E1846" s="372" t="s">
        <v>12032</v>
      </c>
      <c r="F1846" s="372" t="s">
        <v>1059</v>
      </c>
      <c r="G1846" s="375" t="s">
        <v>1059</v>
      </c>
      <c r="H1846" s="375" t="s">
        <v>1334</v>
      </c>
      <c r="I1846" s="375" t="s">
        <v>859</v>
      </c>
      <c r="J1846" s="375">
        <v>182141.13764</v>
      </c>
      <c r="K1846" s="375">
        <v>-508.74855000000002</v>
      </c>
      <c r="L1846" s="375">
        <v>8580.6899900000008</v>
      </c>
      <c r="M1846" s="375">
        <v>205768.66260000001</v>
      </c>
      <c r="N1846" s="372">
        <v>0.97499999999999998</v>
      </c>
      <c r="O1846" s="704">
        <v>48.131352110060753</v>
      </c>
      <c r="P1846" s="375" t="s">
        <v>619</v>
      </c>
      <c r="Q1846" s="372" t="s">
        <v>619</v>
      </c>
      <c r="R1846" s="696">
        <v>19970725</v>
      </c>
      <c r="S1846" s="372" t="s">
        <v>12033</v>
      </c>
      <c r="T1846" s="697">
        <v>0.20900000000000002</v>
      </c>
      <c r="U1846" s="372" t="s">
        <v>12034</v>
      </c>
      <c r="V1846" s="722">
        <v>34.33</v>
      </c>
      <c r="W1846" s="722">
        <v>0.28999999999999998</v>
      </c>
      <c r="X1846" s="722">
        <v>0.23</v>
      </c>
      <c r="Y1846" s="722">
        <v>8.51</v>
      </c>
      <c r="Z1846" s="382" t="s">
        <v>924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12035</v>
      </c>
      <c r="B1847" s="373" t="s">
        <v>12036</v>
      </c>
      <c r="C1847" s="372" t="s">
        <v>12037</v>
      </c>
      <c r="D1847" s="374">
        <v>1101110074479</v>
      </c>
      <c r="E1847" s="372" t="s">
        <v>12038</v>
      </c>
      <c r="F1847" s="372" t="s">
        <v>5622</v>
      </c>
      <c r="G1847" s="375" t="s">
        <v>5622</v>
      </c>
      <c r="H1847" s="375" t="s">
        <v>750</v>
      </c>
      <c r="I1847" s="375" t="s">
        <v>751</v>
      </c>
      <c r="J1847" s="375">
        <v>50467.649230000003</v>
      </c>
      <c r="K1847" s="375">
        <v>-3892.47435</v>
      </c>
      <c r="L1847" s="375">
        <v>712.83559000000002</v>
      </c>
      <c r="M1847" s="375">
        <v>54374.125330000003</v>
      </c>
      <c r="N1847" s="372">
        <v>0.30199999999999999</v>
      </c>
      <c r="O1847" s="704">
        <v>34.805746998962576</v>
      </c>
      <c r="P1847" s="375" t="s">
        <v>619</v>
      </c>
      <c r="Q1847" s="375" t="s">
        <v>619</v>
      </c>
      <c r="R1847" s="696">
        <v>19891130</v>
      </c>
      <c r="S1847" s="375" t="s">
        <v>12039</v>
      </c>
      <c r="T1847" s="697">
        <v>0.20900000000000002</v>
      </c>
      <c r="U1847" s="375" t="s">
        <v>12040</v>
      </c>
      <c r="V1847" s="722" t="s">
        <v>770</v>
      </c>
      <c r="W1847" s="722">
        <v>1.1599999999999999</v>
      </c>
      <c r="X1847" s="722">
        <v>1.25</v>
      </c>
      <c r="Y1847" s="722">
        <v>608.86</v>
      </c>
      <c r="Z1847" s="382" t="s">
        <v>924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12041</v>
      </c>
      <c r="B1848" s="373" t="s">
        <v>12042</v>
      </c>
      <c r="C1848" s="372" t="s">
        <v>12043</v>
      </c>
      <c r="D1848" s="374">
        <v>1101115255214</v>
      </c>
      <c r="E1848" s="372" t="s">
        <v>12044</v>
      </c>
      <c r="F1848" s="375" t="s">
        <v>1793</v>
      </c>
      <c r="G1848" s="375" t="s">
        <v>1794</v>
      </c>
      <c r="H1848" s="375" t="s">
        <v>858</v>
      </c>
      <c r="I1848" s="375" t="s">
        <v>859</v>
      </c>
      <c r="J1848" s="375">
        <v>31672.375329999999</v>
      </c>
      <c r="K1848" s="375">
        <v>-9663.0556300000007</v>
      </c>
      <c r="L1848" s="375">
        <v>-9858.5313499999993</v>
      </c>
      <c r="M1848" s="375">
        <v>13661.675380000001</v>
      </c>
      <c r="N1848" s="372">
        <v>0.80800000000000005</v>
      </c>
      <c r="O1848" s="704">
        <v>107.24406760480751</v>
      </c>
      <c r="P1848" s="375" t="s">
        <v>619</v>
      </c>
      <c r="Q1848" s="372" t="s">
        <v>619</v>
      </c>
      <c r="R1848" s="696">
        <v>20211110</v>
      </c>
      <c r="S1848" s="375" t="s">
        <v>12045</v>
      </c>
      <c r="T1848" s="697" t="s">
        <v>768</v>
      </c>
      <c r="U1848" s="375" t="s">
        <v>12046</v>
      </c>
      <c r="V1848" s="722" t="s">
        <v>770</v>
      </c>
      <c r="W1848" s="722">
        <v>2.34</v>
      </c>
      <c r="X1848" s="722">
        <v>0.83</v>
      </c>
      <c r="Y1848" s="722" t="s">
        <v>770</v>
      </c>
      <c r="Z1848" s="382" t="s">
        <v>924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12047</v>
      </c>
      <c r="B1849" s="373" t="s">
        <v>12048</v>
      </c>
      <c r="C1849" s="372" t="s">
        <v>12049</v>
      </c>
      <c r="D1849" s="374">
        <v>1341110025060</v>
      </c>
      <c r="E1849" s="372" t="s">
        <v>12050</v>
      </c>
      <c r="F1849" s="375" t="s">
        <v>1273</v>
      </c>
      <c r="G1849" s="375" t="s">
        <v>1273</v>
      </c>
      <c r="H1849" s="375" t="s">
        <v>858</v>
      </c>
      <c r="I1849" s="375" t="s">
        <v>859</v>
      </c>
      <c r="J1849" s="375">
        <v>118322.88927</v>
      </c>
      <c r="K1849" s="375">
        <v>1371.7818400000001</v>
      </c>
      <c r="L1849" s="375">
        <v>2543.5392999999999</v>
      </c>
      <c r="M1849" s="375">
        <v>44539.529390000003</v>
      </c>
      <c r="N1849" s="372">
        <v>0.80500000000000005</v>
      </c>
      <c r="O1849" s="704">
        <v>46.501289361367384</v>
      </c>
      <c r="P1849" s="375" t="s">
        <v>619</v>
      </c>
      <c r="Q1849" s="372" t="s">
        <v>619</v>
      </c>
      <c r="R1849" s="696">
        <v>20171016</v>
      </c>
      <c r="S1849" s="372" t="s">
        <v>12051</v>
      </c>
      <c r="T1849" s="697">
        <v>0.20900000000000002</v>
      </c>
      <c r="U1849" s="372" t="s">
        <v>12052</v>
      </c>
      <c r="V1849" s="722">
        <v>18.27</v>
      </c>
      <c r="W1849" s="722">
        <v>1.05</v>
      </c>
      <c r="X1849" s="722">
        <v>0.4</v>
      </c>
      <c r="Y1849" s="722">
        <v>21.16</v>
      </c>
      <c r="Z1849" s="382" t="s">
        <v>924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12053</v>
      </c>
      <c r="B1850" s="373" t="s">
        <v>12054</v>
      </c>
      <c r="C1850" s="372" t="s">
        <v>12055</v>
      </c>
      <c r="D1850" s="374">
        <v>1101111020299</v>
      </c>
      <c r="E1850" s="372" t="s">
        <v>12056</v>
      </c>
      <c r="F1850" s="375" t="s">
        <v>5129</v>
      </c>
      <c r="G1850" s="375" t="s">
        <v>5130</v>
      </c>
      <c r="H1850" s="375" t="s">
        <v>3096</v>
      </c>
      <c r="I1850" s="375" t="s">
        <v>859</v>
      </c>
      <c r="J1850" s="375">
        <v>87767.58541</v>
      </c>
      <c r="K1850" s="375">
        <v>-13210.548779999999</v>
      </c>
      <c r="L1850" s="375">
        <v>-20458.106650000002</v>
      </c>
      <c r="M1850" s="375">
        <v>82642.426720000003</v>
      </c>
      <c r="N1850" s="372">
        <v>1.0649999999999999</v>
      </c>
      <c r="O1850" s="704">
        <v>105.34973702224796</v>
      </c>
      <c r="P1850" s="375" t="s">
        <v>619</v>
      </c>
      <c r="Q1850" s="372" t="s">
        <v>619</v>
      </c>
      <c r="R1850" s="696">
        <v>20090519</v>
      </c>
      <c r="S1850" s="372" t="s">
        <v>12057</v>
      </c>
      <c r="T1850" s="697" t="s">
        <v>768</v>
      </c>
      <c r="U1850" s="372" t="s">
        <v>12058</v>
      </c>
      <c r="V1850" s="722" t="s">
        <v>770</v>
      </c>
      <c r="W1850" s="722">
        <v>0.95</v>
      </c>
      <c r="X1850" s="722">
        <v>0.95</v>
      </c>
      <c r="Y1850" s="722" t="s">
        <v>770</v>
      </c>
      <c r="Z1850" s="382" t="s">
        <v>924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12059</v>
      </c>
      <c r="B1851" s="373" t="s">
        <v>12060</v>
      </c>
      <c r="C1851" s="372" t="s">
        <v>12061</v>
      </c>
      <c r="D1851" s="374">
        <v>1753110001158</v>
      </c>
      <c r="E1851" s="372" t="s">
        <v>12062</v>
      </c>
      <c r="F1851" s="372" t="s">
        <v>5129</v>
      </c>
      <c r="G1851" s="375" t="s">
        <v>8120</v>
      </c>
      <c r="H1851" s="375" t="s">
        <v>3096</v>
      </c>
      <c r="I1851" s="375" t="s">
        <v>859</v>
      </c>
      <c r="J1851" s="375">
        <v>138819.21674</v>
      </c>
      <c r="K1851" s="375">
        <v>11597.808940000001</v>
      </c>
      <c r="L1851" s="375">
        <v>-714.55106999999998</v>
      </c>
      <c r="M1851" s="375">
        <v>251937.82921</v>
      </c>
      <c r="N1851" s="372">
        <v>0.82199999999999995</v>
      </c>
      <c r="O1851" s="704">
        <v>70.335593316376603</v>
      </c>
      <c r="P1851" s="375" t="s">
        <v>619</v>
      </c>
      <c r="Q1851" s="372" t="s">
        <v>619</v>
      </c>
      <c r="R1851" s="696">
        <v>19970718</v>
      </c>
      <c r="S1851" s="375" t="s">
        <v>12063</v>
      </c>
      <c r="T1851" s="697" t="s">
        <v>768</v>
      </c>
      <c r="U1851" s="372" t="s">
        <v>12064</v>
      </c>
      <c r="V1851" s="722">
        <v>8.4700000000000006</v>
      </c>
      <c r="W1851" s="722">
        <v>0.3</v>
      </c>
      <c r="X1851" s="722">
        <v>0.54</v>
      </c>
      <c r="Y1851" s="722" t="s">
        <v>770</v>
      </c>
      <c r="Z1851" s="382" t="s">
        <v>924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12065</v>
      </c>
      <c r="B1852" s="373" t="s">
        <v>12066</v>
      </c>
      <c r="C1852" s="372" t="s">
        <v>12067</v>
      </c>
      <c r="D1852" s="374">
        <v>1801110006915</v>
      </c>
      <c r="E1852" s="372" t="s">
        <v>12068</v>
      </c>
      <c r="F1852" s="375" t="s">
        <v>12069</v>
      </c>
      <c r="G1852" s="375" t="s">
        <v>12069</v>
      </c>
      <c r="H1852" s="375" t="s">
        <v>906</v>
      </c>
      <c r="I1852" s="375" t="s">
        <v>751</v>
      </c>
      <c r="J1852" s="375">
        <v>44349.405359999997</v>
      </c>
      <c r="K1852" s="375">
        <v>-6494.7151999999996</v>
      </c>
      <c r="L1852" s="375">
        <v>-5977.2223000000004</v>
      </c>
      <c r="M1852" s="375">
        <v>15406.392099999999</v>
      </c>
      <c r="N1852" s="372">
        <v>0.53900000000000003</v>
      </c>
      <c r="O1852" s="704">
        <v>25.20855234886637</v>
      </c>
      <c r="P1852" s="375" t="s">
        <v>619</v>
      </c>
      <c r="Q1852" s="375" t="s">
        <v>619</v>
      </c>
      <c r="R1852" s="696">
        <v>19770623</v>
      </c>
      <c r="S1852" s="375" t="s">
        <v>12070</v>
      </c>
      <c r="T1852" s="697" t="s">
        <v>768</v>
      </c>
      <c r="U1852" s="372" t="s">
        <v>12071</v>
      </c>
      <c r="V1852" s="722">
        <v>0</v>
      </c>
      <c r="W1852" s="722">
        <v>0</v>
      </c>
      <c r="X1852" s="722">
        <v>0</v>
      </c>
      <c r="Y1852" s="722">
        <v>0</v>
      </c>
      <c r="Z1852" s="382" t="s">
        <v>924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12072</v>
      </c>
      <c r="B1853" s="373" t="s">
        <v>12073</v>
      </c>
      <c r="C1853" s="372" t="s">
        <v>12074</v>
      </c>
      <c r="D1853" s="374">
        <v>1344110015635</v>
      </c>
      <c r="E1853" s="372" t="s">
        <v>12075</v>
      </c>
      <c r="F1853" s="375" t="s">
        <v>10335</v>
      </c>
      <c r="G1853" s="375" t="s">
        <v>12076</v>
      </c>
      <c r="H1853" s="375" t="s">
        <v>1334</v>
      </c>
      <c r="I1853" s="375" t="s">
        <v>859</v>
      </c>
      <c r="J1853" s="375">
        <v>87870.108900000007</v>
      </c>
      <c r="K1853" s="375">
        <v>10406.137189999999</v>
      </c>
      <c r="L1853" s="375">
        <v>9372.8408600000002</v>
      </c>
      <c r="M1853" s="375">
        <v>91053.871549999996</v>
      </c>
      <c r="N1853" s="372">
        <v>0.59799999999999998</v>
      </c>
      <c r="O1853" s="704">
        <v>77.410038471731866</v>
      </c>
      <c r="P1853" s="375" t="s">
        <v>619</v>
      </c>
      <c r="Q1853" s="372" t="s">
        <v>619</v>
      </c>
      <c r="R1853" s="696">
        <v>20161017</v>
      </c>
      <c r="S1853" s="372" t="s">
        <v>12077</v>
      </c>
      <c r="T1853" s="697">
        <v>0.20900000000000002</v>
      </c>
      <c r="U1853" s="372" t="s">
        <v>12078</v>
      </c>
      <c r="V1853" s="722">
        <v>5.2</v>
      </c>
      <c r="W1853" s="722">
        <v>0.87</v>
      </c>
      <c r="X1853" s="722">
        <v>0.9</v>
      </c>
      <c r="Y1853" s="722">
        <v>8.34</v>
      </c>
      <c r="Z1853" s="382">
        <v>8.9704035509477587E-2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856</v>
      </c>
      <c r="AF1853" s="372">
        <v>971</v>
      </c>
      <c r="AG1853" s="372">
        <v>1045</v>
      </c>
      <c r="AH1853" s="372">
        <v>1117</v>
      </c>
    </row>
    <row r="1854" spans="1:34">
      <c r="A1854" s="372" t="s">
        <v>12079</v>
      </c>
      <c r="B1854" s="373" t="s">
        <v>12080</v>
      </c>
      <c r="C1854" s="372" t="s">
        <v>12081</v>
      </c>
      <c r="D1854" s="374">
        <v>1501110003058</v>
      </c>
      <c r="E1854" s="372" t="s">
        <v>12082</v>
      </c>
      <c r="F1854" s="372" t="s">
        <v>1846</v>
      </c>
      <c r="G1854" s="375" t="s">
        <v>1847</v>
      </c>
      <c r="H1854" s="375" t="s">
        <v>4844</v>
      </c>
      <c r="I1854" s="375" t="s">
        <v>859</v>
      </c>
      <c r="J1854" s="375">
        <v>301469.48212</v>
      </c>
      <c r="K1854" s="375">
        <v>-39309.802989999996</v>
      </c>
      <c r="L1854" s="375">
        <v>-45900.498420000004</v>
      </c>
      <c r="M1854" s="375">
        <v>288577.62075</v>
      </c>
      <c r="N1854" s="372">
        <v>0.505</v>
      </c>
      <c r="O1854" s="704">
        <v>205.15358816332454</v>
      </c>
      <c r="P1854" s="375" t="s">
        <v>619</v>
      </c>
      <c r="Q1854" s="375" t="s">
        <v>619</v>
      </c>
      <c r="R1854" s="696">
        <v>20171201</v>
      </c>
      <c r="S1854" s="375" t="s">
        <v>12083</v>
      </c>
      <c r="T1854" s="697" t="s">
        <v>768</v>
      </c>
      <c r="U1854" s="372" t="s">
        <v>12084</v>
      </c>
      <c r="V1854" s="722" t="s">
        <v>770</v>
      </c>
      <c r="W1854" s="722">
        <v>0.21</v>
      </c>
      <c r="X1854" s="722">
        <v>0.2</v>
      </c>
      <c r="Y1854" s="722" t="s">
        <v>770</v>
      </c>
      <c r="Z1854" s="382" t="s">
        <v>924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12085</v>
      </c>
      <c r="B1855" s="373" t="s">
        <v>12086</v>
      </c>
      <c r="C1855" s="372" t="s">
        <v>12087</v>
      </c>
      <c r="D1855" s="374">
        <v>0</v>
      </c>
      <c r="E1855" s="372" t="s">
        <v>12088</v>
      </c>
      <c r="F1855" s="372" t="s">
        <v>12089</v>
      </c>
      <c r="G1855" s="375" t="s">
        <v>12089</v>
      </c>
      <c r="H1855" s="375">
        <v>0</v>
      </c>
      <c r="I1855" s="375" t="s">
        <v>859</v>
      </c>
      <c r="J1855" s="375">
        <v>26145.448</v>
      </c>
      <c r="K1855" s="375">
        <v>-13677.86</v>
      </c>
      <c r="L1855" s="375">
        <v>-34848.180999999997</v>
      </c>
      <c r="M1855" s="375">
        <v>38769.682999999997</v>
      </c>
      <c r="N1855" s="372">
        <v>0.98699999999999999</v>
      </c>
      <c r="O1855" s="704">
        <v>6.6442906030663513</v>
      </c>
      <c r="P1855" s="375" t="s">
        <v>619</v>
      </c>
      <c r="Q1855" s="372" t="s">
        <v>619</v>
      </c>
      <c r="R1855" s="696">
        <v>20100421</v>
      </c>
      <c r="S1855" s="372" t="s">
        <v>12090</v>
      </c>
      <c r="T1855" s="697" t="s">
        <v>768</v>
      </c>
      <c r="U1855" s="372" t="s">
        <v>12091</v>
      </c>
      <c r="V1855" s="722" t="s">
        <v>770</v>
      </c>
      <c r="W1855" s="722">
        <v>1.44</v>
      </c>
      <c r="X1855" s="722">
        <v>2.0499999999999998</v>
      </c>
      <c r="Y1855" s="722" t="s">
        <v>770</v>
      </c>
      <c r="Z1855" s="382" t="s">
        <v>924</v>
      </c>
      <c r="AA1855" s="372">
        <v>741.52354000000003</v>
      </c>
      <c r="AB1855" s="372">
        <v>817.18655000000001</v>
      </c>
      <c r="AC1855" s="372">
        <v>660.13058999999998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12092</v>
      </c>
      <c r="B1856" s="373" t="s">
        <v>12093</v>
      </c>
      <c r="C1856" s="372" t="s">
        <v>12094</v>
      </c>
      <c r="D1856" s="374">
        <v>1101110048987</v>
      </c>
      <c r="E1856" s="372" t="s">
        <v>12095</v>
      </c>
      <c r="F1856" s="375" t="s">
        <v>2086</v>
      </c>
      <c r="G1856" s="375" t="s">
        <v>2086</v>
      </c>
      <c r="H1856" s="375" t="s">
        <v>809</v>
      </c>
      <c r="I1856" s="375" t="s">
        <v>751</v>
      </c>
      <c r="J1856" s="375">
        <v>200596.57386999999</v>
      </c>
      <c r="K1856" s="375">
        <v>-897.92840000000001</v>
      </c>
      <c r="L1856" s="375">
        <v>-2942.5390000000002</v>
      </c>
      <c r="M1856" s="375">
        <v>168648.88639999999</v>
      </c>
      <c r="N1856" s="372">
        <v>0.71699999999999997</v>
      </c>
      <c r="O1856" s="704">
        <v>225.12937717632462</v>
      </c>
      <c r="P1856" s="375" t="s">
        <v>619</v>
      </c>
      <c r="Q1856" s="375" t="s">
        <v>619</v>
      </c>
      <c r="R1856" s="696">
        <v>19881007</v>
      </c>
      <c r="S1856" s="375" t="s">
        <v>12096</v>
      </c>
      <c r="T1856" s="697" t="s">
        <v>768</v>
      </c>
      <c r="U1856" s="372" t="s">
        <v>12097</v>
      </c>
      <c r="V1856" s="722">
        <v>32.380000000000003</v>
      </c>
      <c r="W1856" s="722">
        <v>0.32</v>
      </c>
      <c r="X1856" s="722">
        <v>0.27</v>
      </c>
      <c r="Y1856" s="722" t="s">
        <v>770</v>
      </c>
      <c r="Z1856" s="382" t="s">
        <v>924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12098</v>
      </c>
      <c r="B1857" s="373" t="s">
        <v>12099</v>
      </c>
      <c r="C1857" s="372" t="s">
        <v>12100</v>
      </c>
      <c r="D1857" s="374">
        <v>1101113615121</v>
      </c>
      <c r="E1857" s="372" t="s">
        <v>12101</v>
      </c>
      <c r="F1857" s="375" t="s">
        <v>2515</v>
      </c>
      <c r="G1857" s="375" t="s">
        <v>2515</v>
      </c>
      <c r="H1857" s="375" t="s">
        <v>1334</v>
      </c>
      <c r="I1857" s="375" t="s">
        <v>859</v>
      </c>
      <c r="J1857" s="375">
        <v>22478.661</v>
      </c>
      <c r="K1857" s="375">
        <v>-3381.1504399999999</v>
      </c>
      <c r="L1857" s="375">
        <v>-3125.5142700000001</v>
      </c>
      <c r="M1857" s="375">
        <v>33667.212959999997</v>
      </c>
      <c r="N1857" s="372">
        <v>0.997</v>
      </c>
      <c r="O1857" s="704">
        <v>0.55066593430430588</v>
      </c>
      <c r="P1857" s="375" t="s">
        <v>619</v>
      </c>
      <c r="Q1857" s="372" t="s">
        <v>619</v>
      </c>
      <c r="R1857" s="696">
        <v>20131126</v>
      </c>
      <c r="S1857" s="372" t="s">
        <v>8203</v>
      </c>
      <c r="T1857" s="697" t="s">
        <v>768</v>
      </c>
      <c r="U1857" s="372" t="s">
        <v>12102</v>
      </c>
      <c r="V1857" s="722" t="s">
        <v>770</v>
      </c>
      <c r="W1857" s="722">
        <v>1.41</v>
      </c>
      <c r="X1857" s="722">
        <v>2.2000000000000002</v>
      </c>
      <c r="Y1857" s="722" t="s">
        <v>770</v>
      </c>
      <c r="Z1857" s="382">
        <v>0.29597477961484464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291</v>
      </c>
      <c r="AF1857" s="372">
        <v>412</v>
      </c>
      <c r="AG1857" s="372">
        <v>541</v>
      </c>
      <c r="AH1857" s="372">
        <v>0</v>
      </c>
    </row>
    <row r="1858" spans="1:34">
      <c r="A1858" s="372" t="s">
        <v>12103</v>
      </c>
      <c r="B1858" s="373" t="s">
        <v>12104</v>
      </c>
      <c r="C1858" s="372" t="s">
        <v>12105</v>
      </c>
      <c r="D1858" s="374">
        <v>1243110025539</v>
      </c>
      <c r="E1858" s="372" t="s">
        <v>12106</v>
      </c>
      <c r="F1858" s="375" t="s">
        <v>1390</v>
      </c>
      <c r="G1858" s="375" t="s">
        <v>6842</v>
      </c>
      <c r="H1858" s="375" t="s">
        <v>892</v>
      </c>
      <c r="I1858" s="375" t="s">
        <v>859</v>
      </c>
      <c r="J1858" s="375">
        <v>0</v>
      </c>
      <c r="K1858" s="375">
        <v>0</v>
      </c>
      <c r="L1858" s="375">
        <v>0</v>
      </c>
      <c r="M1858" s="375">
        <v>0</v>
      </c>
      <c r="N1858" s="372">
        <v>0.186</v>
      </c>
      <c r="O1858" s="704" t="s">
        <v>16298</v>
      </c>
      <c r="P1858" s="375" t="s">
        <v>619</v>
      </c>
      <c r="Q1858" s="375" t="s">
        <v>619</v>
      </c>
      <c r="R1858" s="696">
        <v>19940930</v>
      </c>
      <c r="S1858" s="375" t="s">
        <v>12107</v>
      </c>
      <c r="T1858" s="697" t="s">
        <v>768</v>
      </c>
      <c r="U1858" s="372" t="s">
        <v>12108</v>
      </c>
      <c r="V1858" s="722">
        <v>0</v>
      </c>
      <c r="W1858" s="722">
        <v>0</v>
      </c>
      <c r="X1858" s="722">
        <v>0</v>
      </c>
      <c r="Y1858" s="722">
        <v>0</v>
      </c>
      <c r="Z1858" s="382" t="s">
        <v>924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12109</v>
      </c>
      <c r="B1859" s="373" t="s">
        <v>12110</v>
      </c>
      <c r="C1859" s="372" t="s">
        <v>12111</v>
      </c>
      <c r="D1859" s="374">
        <v>1101116298148</v>
      </c>
      <c r="E1859" s="372" t="s">
        <v>12112</v>
      </c>
      <c r="F1859" s="375" t="s">
        <v>3215</v>
      </c>
      <c r="G1859" s="375" t="s">
        <v>3215</v>
      </c>
      <c r="H1859" s="375" t="s">
        <v>858</v>
      </c>
      <c r="I1859" s="375" t="s">
        <v>859</v>
      </c>
      <c r="J1859" s="375">
        <v>80685.926999999996</v>
      </c>
      <c r="K1859" s="375">
        <v>8178.7423500000004</v>
      </c>
      <c r="L1859" s="375">
        <v>9278.6610000000001</v>
      </c>
      <c r="M1859" s="375">
        <v>81474.137499999997</v>
      </c>
      <c r="N1859" s="372">
        <v>0.77100000000000002</v>
      </c>
      <c r="O1859" s="704">
        <v>39.201873379832392</v>
      </c>
      <c r="P1859" s="375" t="s">
        <v>619</v>
      </c>
      <c r="Q1859" s="372" t="s">
        <v>619</v>
      </c>
      <c r="R1859" s="696">
        <v>20170406</v>
      </c>
      <c r="S1859" s="372" t="s">
        <v>12113</v>
      </c>
      <c r="T1859" s="697">
        <v>0.20900000000000002</v>
      </c>
      <c r="U1859" s="372" t="s">
        <v>12114</v>
      </c>
      <c r="V1859" s="722">
        <v>0</v>
      </c>
      <c r="W1859" s="722">
        <v>0</v>
      </c>
      <c r="X1859" s="722">
        <v>0</v>
      </c>
      <c r="Y1859" s="722">
        <v>0</v>
      </c>
      <c r="Z1859" s="382" t="s">
        <v>924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12115</v>
      </c>
      <c r="B1860" s="373" t="s">
        <v>12116</v>
      </c>
      <c r="C1860" s="372" t="s">
        <v>16280</v>
      </c>
      <c r="D1860" s="374">
        <v>1243110033334</v>
      </c>
      <c r="E1860" s="372" t="s">
        <v>16281</v>
      </c>
      <c r="F1860" s="375" t="s">
        <v>1740</v>
      </c>
      <c r="G1860" s="375" t="s">
        <v>1740</v>
      </c>
      <c r="H1860" s="375" t="s">
        <v>3096</v>
      </c>
      <c r="I1860" s="375" t="s">
        <v>859</v>
      </c>
      <c r="J1860" s="375">
        <v>4780.7993299999998</v>
      </c>
      <c r="K1860" s="375">
        <v>-399.06146999999999</v>
      </c>
      <c r="L1860" s="375">
        <v>-2795.1709599999999</v>
      </c>
      <c r="M1860" s="375">
        <v>80390.702069999999</v>
      </c>
      <c r="N1860" s="372">
        <v>0.42</v>
      </c>
      <c r="O1860" s="704">
        <v>0.93857142623453438</v>
      </c>
      <c r="P1860" s="375" t="s">
        <v>619</v>
      </c>
      <c r="Q1860" s="375" t="s">
        <v>619</v>
      </c>
      <c r="R1860" s="696">
        <v>20021213</v>
      </c>
      <c r="S1860" s="372" t="s">
        <v>12117</v>
      </c>
      <c r="T1860" s="697" t="s">
        <v>768</v>
      </c>
      <c r="U1860" s="372" t="s">
        <v>16282</v>
      </c>
      <c r="V1860" s="722" t="s">
        <v>770</v>
      </c>
      <c r="W1860" s="722">
        <v>2.59</v>
      </c>
      <c r="X1860" s="722">
        <v>39.1</v>
      </c>
      <c r="Y1860" s="722" t="s">
        <v>770</v>
      </c>
      <c r="Z1860" s="382" t="s">
        <v>924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12118</v>
      </c>
      <c r="B1861" s="373" t="s">
        <v>12119</v>
      </c>
      <c r="C1861" s="372" t="s">
        <v>12120</v>
      </c>
      <c r="D1861" s="374">
        <v>1101116417590</v>
      </c>
      <c r="E1861" s="372" t="s">
        <v>12121</v>
      </c>
      <c r="F1861" s="372" t="s">
        <v>7027</v>
      </c>
      <c r="G1861" s="375" t="s">
        <v>7027</v>
      </c>
      <c r="H1861" s="375" t="s">
        <v>1334</v>
      </c>
      <c r="I1861" s="375" t="s">
        <v>859</v>
      </c>
      <c r="J1861" s="375">
        <v>26595.79767</v>
      </c>
      <c r="K1861" s="375">
        <v>3400.6785300000001</v>
      </c>
      <c r="L1861" s="375">
        <v>15.014889999999999</v>
      </c>
      <c r="M1861" s="375">
        <v>42766.464999999997</v>
      </c>
      <c r="N1861" s="372">
        <v>1.1200000000000001</v>
      </c>
      <c r="O1861" s="704">
        <v>118.01916343624028</v>
      </c>
      <c r="P1861" s="375" t="s">
        <v>619</v>
      </c>
      <c r="Q1861" s="372" t="s">
        <v>619</v>
      </c>
      <c r="R1861" s="696">
        <v>20170807</v>
      </c>
      <c r="S1861" s="372" t="s">
        <v>9449</v>
      </c>
      <c r="T1861" s="697">
        <v>9.9000000000000005E-2</v>
      </c>
      <c r="U1861" s="372" t="s">
        <v>12122</v>
      </c>
      <c r="V1861" s="722">
        <v>14.86</v>
      </c>
      <c r="W1861" s="722">
        <v>1.1499999999999999</v>
      </c>
      <c r="X1861" s="722">
        <v>1.85</v>
      </c>
      <c r="Y1861" s="722" t="s">
        <v>770</v>
      </c>
      <c r="Z1861" s="382" t="s">
        <v>924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12123</v>
      </c>
      <c r="B1862" s="373" t="s">
        <v>12124</v>
      </c>
      <c r="C1862" s="372" t="s">
        <v>12125</v>
      </c>
      <c r="D1862" s="374">
        <v>1101112246414</v>
      </c>
      <c r="E1862" s="372" t="s">
        <v>12126</v>
      </c>
      <c r="F1862" s="372" t="s">
        <v>1113</v>
      </c>
      <c r="G1862" s="375" t="s">
        <v>3300</v>
      </c>
      <c r="H1862" s="375" t="s">
        <v>1334</v>
      </c>
      <c r="I1862" s="375" t="s">
        <v>859</v>
      </c>
      <c r="J1862" s="375">
        <v>24031.659800000001</v>
      </c>
      <c r="K1862" s="375">
        <v>-3838.3719900000001</v>
      </c>
      <c r="L1862" s="375">
        <v>-5644.9448400000001</v>
      </c>
      <c r="M1862" s="375">
        <v>27959.984960000002</v>
      </c>
      <c r="N1862" s="372">
        <v>0.78</v>
      </c>
      <c r="O1862" s="704">
        <v>5.5706896800151311</v>
      </c>
      <c r="P1862" s="375" t="s">
        <v>619</v>
      </c>
      <c r="Q1862" s="375" t="s">
        <v>619</v>
      </c>
      <c r="R1862" s="696">
        <v>20131031</v>
      </c>
      <c r="S1862" s="375" t="s">
        <v>12127</v>
      </c>
      <c r="T1862" s="697" t="s">
        <v>768</v>
      </c>
      <c r="U1862" s="372" t="s">
        <v>12128</v>
      </c>
      <c r="V1862" s="722" t="s">
        <v>770</v>
      </c>
      <c r="W1862" s="722">
        <v>1.57</v>
      </c>
      <c r="X1862" s="722">
        <v>2.2200000000000002</v>
      </c>
      <c r="Y1862" s="722" t="s">
        <v>770</v>
      </c>
      <c r="Z1862" s="382" t="s">
        <v>924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12129</v>
      </c>
      <c r="B1863" s="373" t="s">
        <v>12130</v>
      </c>
      <c r="C1863" s="372" t="s">
        <v>12131</v>
      </c>
      <c r="D1863" s="374">
        <v>1101110723969</v>
      </c>
      <c r="E1863" s="372" t="s">
        <v>12132</v>
      </c>
      <c r="F1863" s="372" t="s">
        <v>1793</v>
      </c>
      <c r="G1863" s="375" t="s">
        <v>2794</v>
      </c>
      <c r="H1863" s="375" t="s">
        <v>858</v>
      </c>
      <c r="I1863" s="375" t="s">
        <v>859</v>
      </c>
      <c r="J1863" s="375">
        <v>30436.619050000001</v>
      </c>
      <c r="K1863" s="375">
        <v>-1740.7248</v>
      </c>
      <c r="L1863" s="375">
        <v>-2320.5710600000002</v>
      </c>
      <c r="M1863" s="375">
        <v>30626.556560000001</v>
      </c>
      <c r="N1863" s="372">
        <v>0.88900000000000001</v>
      </c>
      <c r="O1863" s="704">
        <v>96.400733156436317</v>
      </c>
      <c r="P1863" s="375" t="s">
        <v>619</v>
      </c>
      <c r="Q1863" s="372" t="s">
        <v>619</v>
      </c>
      <c r="R1863" s="696">
        <v>20180402</v>
      </c>
      <c r="S1863" s="372" t="s">
        <v>12133</v>
      </c>
      <c r="T1863" s="697" t="s">
        <v>768</v>
      </c>
      <c r="U1863" s="372" t="s">
        <v>12134</v>
      </c>
      <c r="V1863" s="722" t="s">
        <v>770</v>
      </c>
      <c r="W1863" s="722">
        <v>0.95</v>
      </c>
      <c r="X1863" s="722">
        <v>1.1499999999999999</v>
      </c>
      <c r="Y1863" s="722" t="s">
        <v>770</v>
      </c>
      <c r="Z1863" s="382" t="s">
        <v>924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12135</v>
      </c>
      <c r="B1864" s="373" t="s">
        <v>12136</v>
      </c>
      <c r="C1864" s="372" t="s">
        <v>12137</v>
      </c>
      <c r="D1864" s="374">
        <v>1101111023889</v>
      </c>
      <c r="E1864" s="372" t="s">
        <v>12138</v>
      </c>
      <c r="F1864" s="375" t="s">
        <v>4263</v>
      </c>
      <c r="G1864" s="375" t="s">
        <v>4264</v>
      </c>
      <c r="H1864" s="375" t="s">
        <v>1334</v>
      </c>
      <c r="I1864" s="375" t="s">
        <v>859</v>
      </c>
      <c r="J1864" s="375">
        <v>49737.177250000001</v>
      </c>
      <c r="K1864" s="375">
        <v>9456.4703499999996</v>
      </c>
      <c r="L1864" s="375">
        <v>10622.953649999999</v>
      </c>
      <c r="M1864" s="375">
        <v>60053.808080000003</v>
      </c>
      <c r="N1864" s="372">
        <v>0.69899999999999995</v>
      </c>
      <c r="O1864" s="704">
        <v>1.0113471242439203</v>
      </c>
      <c r="P1864" s="375" t="s">
        <v>619</v>
      </c>
      <c r="Q1864" s="372" t="s">
        <v>619</v>
      </c>
      <c r="R1864" s="696">
        <v>20020308</v>
      </c>
      <c r="S1864" s="372" t="s">
        <v>12139</v>
      </c>
      <c r="T1864" s="697">
        <v>0.20900000000000002</v>
      </c>
      <c r="U1864" s="372" t="s">
        <v>12140</v>
      </c>
      <c r="V1864" s="722">
        <v>5.38</v>
      </c>
      <c r="W1864" s="722">
        <v>0.96</v>
      </c>
      <c r="X1864" s="722">
        <v>1.27</v>
      </c>
      <c r="Y1864" s="722">
        <v>7</v>
      </c>
      <c r="Z1864" s="382" t="s">
        <v>924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12141</v>
      </c>
      <c r="B1865" s="373" t="s">
        <v>12142</v>
      </c>
      <c r="C1865" s="372" t="s">
        <v>12143</v>
      </c>
      <c r="D1865" s="374">
        <v>1101110361008</v>
      </c>
      <c r="E1865" s="372" t="s">
        <v>12144</v>
      </c>
      <c r="F1865" s="375" t="s">
        <v>842</v>
      </c>
      <c r="G1865" s="375" t="s">
        <v>842</v>
      </c>
      <c r="H1865" s="375" t="s">
        <v>3096</v>
      </c>
      <c r="I1865" s="375" t="s">
        <v>859</v>
      </c>
      <c r="J1865" s="375">
        <v>41568.986239999998</v>
      </c>
      <c r="K1865" s="375">
        <v>3033.5455999999999</v>
      </c>
      <c r="L1865" s="375">
        <v>3170.5283399999998</v>
      </c>
      <c r="M1865" s="375">
        <v>47518.877699999997</v>
      </c>
      <c r="N1865" s="372">
        <v>0.55400000000000005</v>
      </c>
      <c r="O1865" s="704">
        <v>12.21579458892816</v>
      </c>
      <c r="P1865" s="375" t="s">
        <v>619</v>
      </c>
      <c r="Q1865" s="372" t="s">
        <v>619</v>
      </c>
      <c r="R1865" s="696">
        <v>20001114</v>
      </c>
      <c r="S1865" s="372" t="s">
        <v>12145</v>
      </c>
      <c r="T1865" s="697">
        <v>0.20900000000000002</v>
      </c>
      <c r="U1865" s="372" t="s">
        <v>12146</v>
      </c>
      <c r="V1865" s="722">
        <v>0</v>
      </c>
      <c r="W1865" s="722">
        <v>0</v>
      </c>
      <c r="X1865" s="722">
        <v>0</v>
      </c>
      <c r="Y1865" s="722">
        <v>0</v>
      </c>
      <c r="Z1865" s="382" t="s">
        <v>924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12147</v>
      </c>
      <c r="B1866" s="373" t="s">
        <v>12148</v>
      </c>
      <c r="C1866" s="372" t="s">
        <v>12149</v>
      </c>
      <c r="D1866" s="374">
        <v>1101115733509</v>
      </c>
      <c r="E1866" s="372" t="s">
        <v>12150</v>
      </c>
      <c r="F1866" s="372" t="s">
        <v>2167</v>
      </c>
      <c r="G1866" s="375" t="s">
        <v>12151</v>
      </c>
      <c r="H1866" s="375" t="s">
        <v>858</v>
      </c>
      <c r="I1866" s="375" t="s">
        <v>859</v>
      </c>
      <c r="J1866" s="375">
        <v>29496.60053</v>
      </c>
      <c r="K1866" s="375">
        <v>-403.71226999999999</v>
      </c>
      <c r="L1866" s="375">
        <v>-4088.4544099999998</v>
      </c>
      <c r="M1866" s="375">
        <v>35155.47969</v>
      </c>
      <c r="N1866" s="372">
        <v>0.91900000000000004</v>
      </c>
      <c r="O1866" s="704">
        <v>123.38437191828243</v>
      </c>
      <c r="P1866" s="375" t="s">
        <v>619</v>
      </c>
      <c r="Q1866" s="372" t="s">
        <v>619</v>
      </c>
      <c r="R1866" s="696">
        <v>20150806</v>
      </c>
      <c r="S1866" s="372" t="s">
        <v>12152</v>
      </c>
      <c r="T1866" s="697" t="s">
        <v>768</v>
      </c>
      <c r="U1866" s="372" t="s">
        <v>12153</v>
      </c>
      <c r="V1866" s="722">
        <v>0</v>
      </c>
      <c r="W1866" s="722">
        <v>0</v>
      </c>
      <c r="X1866" s="722">
        <v>0</v>
      </c>
      <c r="Y1866" s="722">
        <v>0</v>
      </c>
      <c r="Z1866" s="382" t="s">
        <v>924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12154</v>
      </c>
      <c r="B1867" s="373" t="s">
        <v>12155</v>
      </c>
      <c r="C1867" s="372" t="s">
        <v>12156</v>
      </c>
      <c r="D1867" s="374">
        <v>1345110001228</v>
      </c>
      <c r="E1867" s="372" t="s">
        <v>12157</v>
      </c>
      <c r="F1867" s="375" t="s">
        <v>1279</v>
      </c>
      <c r="G1867" s="375" t="s">
        <v>1280</v>
      </c>
      <c r="H1867" s="375" t="s">
        <v>858</v>
      </c>
      <c r="I1867" s="375" t="s">
        <v>859</v>
      </c>
      <c r="J1867" s="375">
        <v>133925.43627000001</v>
      </c>
      <c r="K1867" s="375">
        <v>10223.83611</v>
      </c>
      <c r="L1867" s="375">
        <v>11174.30472</v>
      </c>
      <c r="M1867" s="375">
        <v>104977.30076</v>
      </c>
      <c r="N1867" s="372">
        <v>0.78900000000000003</v>
      </c>
      <c r="O1867" s="704">
        <v>11.443544144131462</v>
      </c>
      <c r="P1867" s="375" t="s">
        <v>619</v>
      </c>
      <c r="Q1867" s="375" t="s">
        <v>619</v>
      </c>
      <c r="R1867" s="696">
        <v>20090512</v>
      </c>
      <c r="S1867" s="375" t="s">
        <v>12158</v>
      </c>
      <c r="T1867" s="697">
        <v>0.20900000000000002</v>
      </c>
      <c r="U1867" s="372" t="s">
        <v>12159</v>
      </c>
      <c r="V1867" s="722">
        <v>4.54</v>
      </c>
      <c r="W1867" s="722">
        <v>0.54</v>
      </c>
      <c r="X1867" s="722">
        <v>0.45</v>
      </c>
      <c r="Y1867" s="722">
        <v>6.95</v>
      </c>
      <c r="Z1867" s="382" t="s">
        <v>924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12160</v>
      </c>
      <c r="B1868" s="373" t="s">
        <v>12161</v>
      </c>
      <c r="C1868" s="372" t="s">
        <v>12162</v>
      </c>
      <c r="D1868" s="374">
        <v>1101111187031</v>
      </c>
      <c r="E1868" s="372" t="s">
        <v>12163</v>
      </c>
      <c r="F1868" s="375" t="s">
        <v>10060</v>
      </c>
      <c r="G1868" s="375" t="s">
        <v>10060</v>
      </c>
      <c r="H1868" s="375" t="s">
        <v>858</v>
      </c>
      <c r="I1868" s="375" t="s">
        <v>859</v>
      </c>
      <c r="J1868" s="375">
        <v>39759.170550000003</v>
      </c>
      <c r="K1868" s="375">
        <v>1712.13976</v>
      </c>
      <c r="L1868" s="375">
        <v>3017.4515999999999</v>
      </c>
      <c r="M1868" s="375">
        <v>68171.563179999997</v>
      </c>
      <c r="N1868" s="372">
        <v>0.56999999999999995</v>
      </c>
      <c r="O1868" s="704">
        <v>12.465506636930176</v>
      </c>
      <c r="P1868" s="375" t="s">
        <v>619</v>
      </c>
      <c r="Q1868" s="372" t="s">
        <v>619</v>
      </c>
      <c r="R1868" s="696">
        <v>20010914</v>
      </c>
      <c r="S1868" s="372" t="s">
        <v>12164</v>
      </c>
      <c r="T1868" s="697">
        <v>0.20900000000000002</v>
      </c>
      <c r="U1868" s="372" t="s">
        <v>12165</v>
      </c>
      <c r="V1868" s="722">
        <v>18.46</v>
      </c>
      <c r="W1868" s="722">
        <v>0.92</v>
      </c>
      <c r="X1868" s="722">
        <v>1.52</v>
      </c>
      <c r="Y1868" s="722">
        <v>23.75</v>
      </c>
      <c r="Z1868" s="382" t="s">
        <v>924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12166</v>
      </c>
      <c r="B1869" s="373" t="s">
        <v>12167</v>
      </c>
      <c r="C1869" s="372" t="s">
        <v>12168</v>
      </c>
      <c r="D1869" s="374">
        <v>1211110078395</v>
      </c>
      <c r="E1869" s="372" t="s">
        <v>12169</v>
      </c>
      <c r="F1869" s="375" t="s">
        <v>1182</v>
      </c>
      <c r="G1869" s="375" t="s">
        <v>3112</v>
      </c>
      <c r="H1869" s="375" t="s">
        <v>858</v>
      </c>
      <c r="I1869" s="375" t="s">
        <v>859</v>
      </c>
      <c r="J1869" s="375">
        <v>11756.6836</v>
      </c>
      <c r="K1869" s="375">
        <v>-1003.51075</v>
      </c>
      <c r="L1869" s="375">
        <v>-1558.48578</v>
      </c>
      <c r="M1869" s="375">
        <v>58132.490960000003</v>
      </c>
      <c r="N1869" s="372">
        <v>1.8819999999999999</v>
      </c>
      <c r="O1869" s="704">
        <v>2.7327409864654157</v>
      </c>
      <c r="P1869" s="375" t="s">
        <v>619</v>
      </c>
      <c r="Q1869" s="372" t="s">
        <v>619</v>
      </c>
      <c r="R1869" s="696">
        <v>20200706</v>
      </c>
      <c r="S1869" s="375" t="s">
        <v>12170</v>
      </c>
      <c r="T1869" s="697" t="s">
        <v>768</v>
      </c>
      <c r="U1869" s="372" t="s">
        <v>12171</v>
      </c>
      <c r="V1869" s="722" t="s">
        <v>770</v>
      </c>
      <c r="W1869" s="722">
        <v>0.6</v>
      </c>
      <c r="X1869" s="722">
        <v>3.14</v>
      </c>
      <c r="Y1869" s="722" t="s">
        <v>770</v>
      </c>
      <c r="Z1869" s="382" t="s">
        <v>924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12172</v>
      </c>
      <c r="B1870" s="373" t="s">
        <v>12173</v>
      </c>
      <c r="C1870" s="372" t="s">
        <v>12174</v>
      </c>
      <c r="D1870" s="374">
        <v>1101116748507</v>
      </c>
      <c r="E1870" s="372" t="s">
        <v>12175</v>
      </c>
      <c r="F1870" s="375" t="s">
        <v>1566</v>
      </c>
      <c r="G1870" s="375" t="s">
        <v>1566</v>
      </c>
      <c r="H1870" s="375" t="s">
        <v>3096</v>
      </c>
      <c r="I1870" s="375" t="s">
        <v>859</v>
      </c>
      <c r="J1870" s="375">
        <v>36903.364529999999</v>
      </c>
      <c r="K1870" s="375">
        <v>3111.8255600000002</v>
      </c>
      <c r="L1870" s="375">
        <v>1273.7355700000001</v>
      </c>
      <c r="M1870" s="375">
        <v>43380.917690000002</v>
      </c>
      <c r="N1870" s="372">
        <v>0.72399999999999998</v>
      </c>
      <c r="O1870" s="704">
        <v>53.196352752040077</v>
      </c>
      <c r="P1870" s="375" t="s">
        <v>619</v>
      </c>
      <c r="Q1870" s="372" t="s">
        <v>619</v>
      </c>
      <c r="R1870" s="696">
        <v>20180921</v>
      </c>
      <c r="S1870" s="372" t="s">
        <v>9015</v>
      </c>
      <c r="T1870" s="697">
        <v>0.20900000000000002</v>
      </c>
      <c r="U1870" s="372" t="s">
        <v>12176</v>
      </c>
      <c r="V1870" s="722">
        <v>16.61</v>
      </c>
      <c r="W1870" s="722">
        <v>1.18</v>
      </c>
      <c r="X1870" s="722">
        <v>1.29</v>
      </c>
      <c r="Y1870" s="722">
        <v>44.56</v>
      </c>
      <c r="Z1870" s="382" t="s">
        <v>924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12177</v>
      </c>
      <c r="B1871" s="373" t="s">
        <v>12178</v>
      </c>
      <c r="C1871" s="372" t="s">
        <v>12179</v>
      </c>
      <c r="D1871" s="374">
        <v>1101112214429</v>
      </c>
      <c r="E1871" s="372" t="s">
        <v>12180</v>
      </c>
      <c r="F1871" s="375" t="s">
        <v>2219</v>
      </c>
      <c r="G1871" s="375" t="s">
        <v>2219</v>
      </c>
      <c r="H1871" s="375" t="s">
        <v>858</v>
      </c>
      <c r="I1871" s="375" t="s">
        <v>859</v>
      </c>
      <c r="J1871" s="375">
        <v>138488.75221000001</v>
      </c>
      <c r="K1871" s="375">
        <v>15232.794019999999</v>
      </c>
      <c r="L1871" s="375">
        <v>11309.53289</v>
      </c>
      <c r="M1871" s="375">
        <v>108019.26399000001</v>
      </c>
      <c r="N1871" s="372">
        <v>0.89300000000000002</v>
      </c>
      <c r="O1871" s="704">
        <v>29.555828285580755</v>
      </c>
      <c r="P1871" s="375" t="s">
        <v>619</v>
      </c>
      <c r="Q1871" s="372" t="s">
        <v>619</v>
      </c>
      <c r="R1871" s="696">
        <v>20181213</v>
      </c>
      <c r="S1871" s="372" t="s">
        <v>12181</v>
      </c>
      <c r="T1871" s="697">
        <v>0.20900000000000002</v>
      </c>
      <c r="U1871" s="372" t="s">
        <v>12182</v>
      </c>
      <c r="V1871" s="722">
        <v>5.47</v>
      </c>
      <c r="W1871" s="722">
        <v>0.82</v>
      </c>
      <c r="X1871" s="722">
        <v>0.66</v>
      </c>
      <c r="Y1871" s="722">
        <v>10.130000000000001</v>
      </c>
      <c r="Z1871" s="382" t="s">
        <v>924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12183</v>
      </c>
      <c r="B1872" s="373" t="s">
        <v>12184</v>
      </c>
      <c r="C1872" s="372" t="s">
        <v>12185</v>
      </c>
      <c r="D1872" s="374">
        <v>1211110060136</v>
      </c>
      <c r="E1872" s="372" t="s">
        <v>12186</v>
      </c>
      <c r="F1872" s="375" t="s">
        <v>766</v>
      </c>
      <c r="G1872" s="375" t="s">
        <v>766</v>
      </c>
      <c r="H1872" s="375" t="s">
        <v>858</v>
      </c>
      <c r="I1872" s="375" t="s">
        <v>859</v>
      </c>
      <c r="J1872" s="375">
        <v>0</v>
      </c>
      <c r="K1872" s="375">
        <v>0</v>
      </c>
      <c r="L1872" s="375">
        <v>0</v>
      </c>
      <c r="M1872" s="375">
        <v>98318.634170000005</v>
      </c>
      <c r="N1872" s="372">
        <v>0.32200000000000001</v>
      </c>
      <c r="O1872" s="704">
        <v>4.0020537994439005</v>
      </c>
      <c r="P1872" s="375" t="s">
        <v>619</v>
      </c>
      <c r="Q1872" s="375" t="s">
        <v>619</v>
      </c>
      <c r="R1872" s="696">
        <v>20021202</v>
      </c>
      <c r="S1872" s="372" t="s">
        <v>12187</v>
      </c>
      <c r="T1872" s="697" t="s">
        <v>768</v>
      </c>
      <c r="U1872" s="372" t="s">
        <v>12188</v>
      </c>
      <c r="V1872" s="722">
        <v>0</v>
      </c>
      <c r="W1872" s="722">
        <v>0.56999999999999995</v>
      </c>
      <c r="X1872" s="722">
        <v>0</v>
      </c>
      <c r="Y1872" s="722">
        <v>0</v>
      </c>
      <c r="Z1872" s="382" t="s">
        <v>924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12189</v>
      </c>
      <c r="B1873" s="373" t="s">
        <v>12190</v>
      </c>
      <c r="C1873" s="372" t="s">
        <v>12191</v>
      </c>
      <c r="D1873" s="374">
        <v>1101117889821</v>
      </c>
      <c r="E1873" s="372" t="s">
        <v>12192</v>
      </c>
      <c r="F1873" s="372" t="s">
        <v>618</v>
      </c>
      <c r="G1873" s="375" t="s">
        <v>618</v>
      </c>
      <c r="H1873" s="375" t="s">
        <v>858</v>
      </c>
      <c r="I1873" s="375" t="s">
        <v>859</v>
      </c>
      <c r="J1873" s="375">
        <v>12048.623600000001</v>
      </c>
      <c r="K1873" s="375">
        <v>-4062.9718200000002</v>
      </c>
      <c r="L1873" s="375">
        <v>-3701.8155999999999</v>
      </c>
      <c r="M1873" s="375">
        <v>22113.820940000001</v>
      </c>
      <c r="N1873" s="372">
        <v>0.87</v>
      </c>
      <c r="O1873" s="704">
        <v>2.3778861636974389</v>
      </c>
      <c r="P1873" s="375" t="s">
        <v>619</v>
      </c>
      <c r="Q1873" s="375" t="s">
        <v>619</v>
      </c>
      <c r="R1873" s="696">
        <v>20210903</v>
      </c>
      <c r="S1873" s="375" t="s">
        <v>12193</v>
      </c>
      <c r="T1873" s="697" t="s">
        <v>768</v>
      </c>
      <c r="U1873" s="372" t="s">
        <v>12194</v>
      </c>
      <c r="V1873" s="722">
        <v>0</v>
      </c>
      <c r="W1873" s="722">
        <v>0</v>
      </c>
      <c r="X1873" s="722">
        <v>0</v>
      </c>
      <c r="Y1873" s="722">
        <v>0</v>
      </c>
      <c r="Z1873" s="382" t="s">
        <v>924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12195</v>
      </c>
      <c r="B1874" s="373" t="s">
        <v>12196</v>
      </c>
      <c r="C1874" s="372" t="s">
        <v>12197</v>
      </c>
      <c r="D1874" s="374">
        <v>1648110001094</v>
      </c>
      <c r="E1874" s="372" t="s">
        <v>12198</v>
      </c>
      <c r="F1874" s="372" t="s">
        <v>4096</v>
      </c>
      <c r="G1874" s="375" t="s">
        <v>4096</v>
      </c>
      <c r="H1874" s="375" t="s">
        <v>858</v>
      </c>
      <c r="I1874" s="375" t="s">
        <v>859</v>
      </c>
      <c r="J1874" s="375">
        <v>35021.212979999997</v>
      </c>
      <c r="K1874" s="375">
        <v>4663.2635300000002</v>
      </c>
      <c r="L1874" s="375">
        <v>6380.4481800000003</v>
      </c>
      <c r="M1874" s="375">
        <v>78509.102180000002</v>
      </c>
      <c r="N1874" s="372">
        <v>0.73599999999999999</v>
      </c>
      <c r="O1874" s="704">
        <v>18.157304001448487</v>
      </c>
      <c r="P1874" s="375" t="s">
        <v>619</v>
      </c>
      <c r="Q1874" s="372" t="s">
        <v>619</v>
      </c>
      <c r="R1874" s="696">
        <v>20080408</v>
      </c>
      <c r="S1874" s="372" t="s">
        <v>12199</v>
      </c>
      <c r="T1874" s="697">
        <v>0.20900000000000002</v>
      </c>
      <c r="U1874" s="372" t="s">
        <v>12200</v>
      </c>
      <c r="V1874" s="722">
        <v>10.68</v>
      </c>
      <c r="W1874" s="722">
        <v>0.79</v>
      </c>
      <c r="X1874" s="722">
        <v>1.8</v>
      </c>
      <c r="Y1874" s="722">
        <v>12.07</v>
      </c>
      <c r="Z1874" s="382" t="s">
        <v>924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12201</v>
      </c>
      <c r="B1875" s="373" t="s">
        <v>12202</v>
      </c>
      <c r="C1875" s="372" t="s">
        <v>12203</v>
      </c>
      <c r="D1875" s="374">
        <v>1101110825624</v>
      </c>
      <c r="E1875" s="372" t="s">
        <v>12204</v>
      </c>
      <c r="F1875" s="375" t="s">
        <v>12205</v>
      </c>
      <c r="G1875" s="375" t="s">
        <v>12205</v>
      </c>
      <c r="H1875" s="375" t="s">
        <v>3954</v>
      </c>
      <c r="I1875" s="375" t="s">
        <v>751</v>
      </c>
      <c r="J1875" s="375">
        <v>336533.20403000002</v>
      </c>
      <c r="K1875" s="375">
        <v>9931.7634899999994</v>
      </c>
      <c r="L1875" s="375">
        <v>-8806.2520999999997</v>
      </c>
      <c r="M1875" s="375">
        <v>138795.95168</v>
      </c>
      <c r="N1875" s="372">
        <v>0.79300000000000004</v>
      </c>
      <c r="O1875" s="704">
        <v>212.81876701867071</v>
      </c>
      <c r="P1875" s="375" t="s">
        <v>619</v>
      </c>
      <c r="Q1875" s="372" t="s">
        <v>619</v>
      </c>
      <c r="R1875" s="696">
        <v>20031104</v>
      </c>
      <c r="S1875" s="372" t="s">
        <v>12206</v>
      </c>
      <c r="T1875" s="697" t="s">
        <v>768</v>
      </c>
      <c r="U1875" s="372" t="s">
        <v>12207</v>
      </c>
      <c r="V1875" s="722">
        <v>7.5</v>
      </c>
      <c r="W1875" s="722">
        <v>0.42</v>
      </c>
      <c r="X1875" s="722">
        <v>0.17</v>
      </c>
      <c r="Y1875" s="722" t="s">
        <v>770</v>
      </c>
      <c r="Z1875" s="382" t="s">
        <v>924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12208</v>
      </c>
      <c r="B1876" s="373" t="s">
        <v>12209</v>
      </c>
      <c r="C1876" s="372" t="s">
        <v>12210</v>
      </c>
      <c r="D1876" s="374">
        <v>1101112937857</v>
      </c>
      <c r="E1876" s="372" t="s">
        <v>12211</v>
      </c>
      <c r="F1876" s="372" t="s">
        <v>2853</v>
      </c>
      <c r="G1876" s="375" t="s">
        <v>2854</v>
      </c>
      <c r="H1876" s="375" t="s">
        <v>1334</v>
      </c>
      <c r="I1876" s="375" t="s">
        <v>859</v>
      </c>
      <c r="J1876" s="375">
        <v>36089.242550000003</v>
      </c>
      <c r="K1876" s="375">
        <v>1489.8475100000001</v>
      </c>
      <c r="L1876" s="375">
        <v>2066.3930799999998</v>
      </c>
      <c r="M1876" s="375">
        <v>65642.532819999993</v>
      </c>
      <c r="N1876" s="372">
        <v>0.69599999999999995</v>
      </c>
      <c r="O1876" s="704">
        <v>7.7923664906986154</v>
      </c>
      <c r="P1876" s="375" t="s">
        <v>619</v>
      </c>
      <c r="Q1876" s="372" t="s">
        <v>619</v>
      </c>
      <c r="R1876" s="696">
        <v>20151218</v>
      </c>
      <c r="S1876" s="372" t="s">
        <v>12212</v>
      </c>
      <c r="T1876" s="697">
        <v>0.20900000000000002</v>
      </c>
      <c r="U1876" s="372" t="s">
        <v>12213</v>
      </c>
      <c r="V1876" s="722">
        <v>7.88</v>
      </c>
      <c r="W1876" s="722">
        <v>0.79</v>
      </c>
      <c r="X1876" s="722">
        <v>1.44</v>
      </c>
      <c r="Y1876" s="722">
        <v>35.67</v>
      </c>
      <c r="Z1876" s="382" t="s">
        <v>924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12214</v>
      </c>
      <c r="B1877" s="373" t="s">
        <v>12215</v>
      </c>
      <c r="C1877" s="372" t="s">
        <v>12216</v>
      </c>
      <c r="D1877" s="374">
        <v>1601110063240</v>
      </c>
      <c r="E1877" s="372" t="s">
        <v>12217</v>
      </c>
      <c r="F1877" s="375" t="s">
        <v>1793</v>
      </c>
      <c r="G1877" s="375" t="s">
        <v>2794</v>
      </c>
      <c r="H1877" s="375" t="s">
        <v>858</v>
      </c>
      <c r="I1877" s="375" t="s">
        <v>859</v>
      </c>
      <c r="J1877" s="375">
        <v>37050.333310000002</v>
      </c>
      <c r="K1877" s="375">
        <v>-1744.98965</v>
      </c>
      <c r="L1877" s="375">
        <v>1105.45958</v>
      </c>
      <c r="M1877" s="375">
        <v>111528.55725</v>
      </c>
      <c r="N1877" s="372">
        <v>0.61899999999999999</v>
      </c>
      <c r="O1877" s="704">
        <v>0.24786263790051369</v>
      </c>
      <c r="P1877" s="375" t="s">
        <v>619</v>
      </c>
      <c r="Q1877" s="375" t="s">
        <v>619</v>
      </c>
      <c r="R1877" s="696">
        <v>20011113</v>
      </c>
      <c r="S1877" s="372" t="s">
        <v>12218</v>
      </c>
      <c r="T1877" s="697">
        <v>0.20900000000000002</v>
      </c>
      <c r="U1877" s="372" t="s">
        <v>12219</v>
      </c>
      <c r="V1877" s="722">
        <v>0</v>
      </c>
      <c r="W1877" s="722">
        <v>0</v>
      </c>
      <c r="X1877" s="722">
        <v>0</v>
      </c>
      <c r="Y1877" s="722">
        <v>0</v>
      </c>
      <c r="Z1877" s="382" t="s">
        <v>924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12220</v>
      </c>
      <c r="B1878" s="373" t="s">
        <v>12221</v>
      </c>
      <c r="C1878" s="372" t="s">
        <v>12222</v>
      </c>
      <c r="D1878" s="374">
        <v>1156110003902</v>
      </c>
      <c r="E1878" s="372" t="s">
        <v>12223</v>
      </c>
      <c r="F1878" s="375" t="s">
        <v>1707</v>
      </c>
      <c r="G1878" s="375" t="s">
        <v>1708</v>
      </c>
      <c r="H1878" s="375" t="s">
        <v>858</v>
      </c>
      <c r="I1878" s="375" t="s">
        <v>859</v>
      </c>
      <c r="J1878" s="375">
        <v>180624.33142</v>
      </c>
      <c r="K1878" s="375">
        <v>13628.90064</v>
      </c>
      <c r="L1878" s="375">
        <v>13762.708979999999</v>
      </c>
      <c r="M1878" s="375">
        <v>110142.11195000001</v>
      </c>
      <c r="N1878" s="372">
        <v>0.78300000000000003</v>
      </c>
      <c r="O1878" s="704">
        <v>32.597039469038535</v>
      </c>
      <c r="P1878" s="375" t="s">
        <v>619</v>
      </c>
      <c r="Q1878" s="372" t="s">
        <v>619</v>
      </c>
      <c r="R1878" s="696">
        <v>20030207</v>
      </c>
      <c r="S1878" s="372" t="s">
        <v>12224</v>
      </c>
      <c r="T1878" s="697">
        <v>0.20900000000000002</v>
      </c>
      <c r="U1878" s="372" t="s">
        <v>12225</v>
      </c>
      <c r="V1878" s="722">
        <v>0</v>
      </c>
      <c r="W1878" s="722">
        <v>0</v>
      </c>
      <c r="X1878" s="722">
        <v>0</v>
      </c>
      <c r="Y1878" s="722">
        <v>0</v>
      </c>
      <c r="Z1878" s="382" t="s">
        <v>924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12226</v>
      </c>
      <c r="B1879" s="373" t="s">
        <v>12227</v>
      </c>
      <c r="C1879" s="372" t="s">
        <v>12228</v>
      </c>
      <c r="D1879" s="374">
        <v>1101114941038</v>
      </c>
      <c r="E1879" s="372" t="s">
        <v>12229</v>
      </c>
      <c r="F1879" s="375" t="s">
        <v>1693</v>
      </c>
      <c r="G1879" s="375" t="s">
        <v>1693</v>
      </c>
      <c r="H1879" s="375" t="s">
        <v>1334</v>
      </c>
      <c r="I1879" s="375" t="s">
        <v>859</v>
      </c>
      <c r="J1879" s="375">
        <v>0</v>
      </c>
      <c r="K1879" s="375">
        <v>0</v>
      </c>
      <c r="L1879" s="375">
        <v>0</v>
      </c>
      <c r="M1879" s="375">
        <v>32527.779480000001</v>
      </c>
      <c r="N1879" s="372" t="s">
        <v>1023</v>
      </c>
      <c r="O1879" s="704">
        <v>23.073334743398576</v>
      </c>
      <c r="P1879" s="375" t="s">
        <v>619</v>
      </c>
      <c r="Q1879" s="375" t="s">
        <v>619</v>
      </c>
      <c r="R1879" s="696">
        <v>20240125</v>
      </c>
      <c r="S1879" s="375" t="s">
        <v>9449</v>
      </c>
      <c r="T1879" s="697" t="s">
        <v>768</v>
      </c>
      <c r="U1879" s="372" t="s">
        <v>12230</v>
      </c>
      <c r="V1879" s="722">
        <v>0</v>
      </c>
      <c r="W1879" s="722">
        <v>0.92</v>
      </c>
      <c r="X1879" s="722">
        <v>0</v>
      </c>
      <c r="Y1879" s="722">
        <v>0</v>
      </c>
      <c r="Z1879" s="382" t="s">
        <v>924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12231</v>
      </c>
      <c r="B1880" s="373" t="s">
        <v>12232</v>
      </c>
      <c r="C1880" s="372" t="s">
        <v>12233</v>
      </c>
      <c r="D1880" s="374">
        <v>1101111622540</v>
      </c>
      <c r="E1880" s="372" t="s">
        <v>12234</v>
      </c>
      <c r="F1880" s="375" t="s">
        <v>2181</v>
      </c>
      <c r="G1880" s="375" t="s">
        <v>12235</v>
      </c>
      <c r="H1880" s="375" t="s">
        <v>858</v>
      </c>
      <c r="I1880" s="375" t="s">
        <v>859</v>
      </c>
      <c r="J1880" s="375">
        <v>151525.75464</v>
      </c>
      <c r="K1880" s="375">
        <v>2253.4437699999999</v>
      </c>
      <c r="L1880" s="375">
        <v>175.01245</v>
      </c>
      <c r="M1880" s="375">
        <v>99493.912620000003</v>
      </c>
      <c r="N1880" s="372">
        <v>0.9</v>
      </c>
      <c r="O1880" s="704">
        <v>100.05098411771651</v>
      </c>
      <c r="P1880" s="375" t="s">
        <v>619</v>
      </c>
      <c r="Q1880" s="372" t="s">
        <v>619</v>
      </c>
      <c r="R1880" s="696">
        <v>20061128</v>
      </c>
      <c r="S1880" s="372" t="s">
        <v>12236</v>
      </c>
      <c r="T1880" s="697">
        <v>9.9000000000000005E-2</v>
      </c>
      <c r="U1880" s="372" t="s">
        <v>12237</v>
      </c>
      <c r="V1880" s="722">
        <v>8.1300000000000008</v>
      </c>
      <c r="W1880" s="722">
        <v>0.41</v>
      </c>
      <c r="X1880" s="722">
        <v>0.26</v>
      </c>
      <c r="Y1880" s="722" t="s">
        <v>770</v>
      </c>
      <c r="Z1880" s="382" t="s">
        <v>924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12238</v>
      </c>
      <c r="B1881" s="373" t="s">
        <v>12239</v>
      </c>
      <c r="C1881" s="372" t="s">
        <v>12240</v>
      </c>
      <c r="D1881" s="374">
        <v>1101111887491</v>
      </c>
      <c r="E1881" s="372" t="s">
        <v>12241</v>
      </c>
      <c r="F1881" s="375" t="s">
        <v>1793</v>
      </c>
      <c r="G1881" s="375" t="s">
        <v>1794</v>
      </c>
      <c r="H1881" s="375" t="s">
        <v>858</v>
      </c>
      <c r="I1881" s="375" t="s">
        <v>859</v>
      </c>
      <c r="J1881" s="375">
        <v>20286.122439999999</v>
      </c>
      <c r="K1881" s="375">
        <v>1961.2810999999999</v>
      </c>
      <c r="L1881" s="375">
        <v>3764.7765100000001</v>
      </c>
      <c r="M1881" s="375">
        <v>55978.947809999998</v>
      </c>
      <c r="N1881" s="372">
        <v>0.53500000000000003</v>
      </c>
      <c r="O1881" s="704">
        <v>1.4695275055840811</v>
      </c>
      <c r="P1881" s="375" t="s">
        <v>619</v>
      </c>
      <c r="Q1881" s="375" t="s">
        <v>619</v>
      </c>
      <c r="R1881" s="696">
        <v>20100525</v>
      </c>
      <c r="S1881" s="375" t="s">
        <v>12242</v>
      </c>
      <c r="T1881" s="697">
        <v>0.20900000000000002</v>
      </c>
      <c r="U1881" s="372" t="s">
        <v>12243</v>
      </c>
      <c r="V1881" s="722">
        <v>19.77</v>
      </c>
      <c r="W1881" s="722">
        <v>0.98</v>
      </c>
      <c r="X1881" s="722">
        <v>2.99</v>
      </c>
      <c r="Y1881" s="722">
        <v>18.559999999999999</v>
      </c>
      <c r="Z1881" s="382" t="s">
        <v>924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12244</v>
      </c>
      <c r="B1882" s="373" t="s">
        <v>12245</v>
      </c>
      <c r="C1882" s="372" t="s">
        <v>12246</v>
      </c>
      <c r="D1882" s="374">
        <v>1101111346439</v>
      </c>
      <c r="E1882" s="372" t="s">
        <v>12247</v>
      </c>
      <c r="F1882" s="375" t="s">
        <v>1793</v>
      </c>
      <c r="G1882" s="375" t="s">
        <v>1794</v>
      </c>
      <c r="H1882" s="375" t="s">
        <v>858</v>
      </c>
      <c r="I1882" s="375" t="s">
        <v>859</v>
      </c>
      <c r="J1882" s="375">
        <v>40615.534979999997</v>
      </c>
      <c r="K1882" s="375">
        <v>2690.89239</v>
      </c>
      <c r="L1882" s="375">
        <v>3910.5010400000001</v>
      </c>
      <c r="M1882" s="375">
        <v>53103.5052</v>
      </c>
      <c r="N1882" s="372">
        <v>0.72199999999999998</v>
      </c>
      <c r="O1882" s="704">
        <v>1.4034938335355347</v>
      </c>
      <c r="P1882" s="375" t="s">
        <v>619</v>
      </c>
      <c r="Q1882" s="372" t="s">
        <v>619</v>
      </c>
      <c r="R1882" s="696">
        <v>20210205</v>
      </c>
      <c r="S1882" s="372" t="s">
        <v>12248</v>
      </c>
      <c r="T1882" s="697">
        <v>0.20900000000000002</v>
      </c>
      <c r="U1882" s="372" t="s">
        <v>12249</v>
      </c>
      <c r="V1882" s="722">
        <v>14.04</v>
      </c>
      <c r="W1882" s="722">
        <v>0.96</v>
      </c>
      <c r="X1882" s="722">
        <v>1.1299999999999999</v>
      </c>
      <c r="Y1882" s="722">
        <v>13.22</v>
      </c>
      <c r="Z1882" s="382" t="s">
        <v>924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12250</v>
      </c>
      <c r="B1883" s="373" t="s">
        <v>12251</v>
      </c>
      <c r="C1883" s="372" t="s">
        <v>12252</v>
      </c>
      <c r="D1883" s="374">
        <v>1311110423499</v>
      </c>
      <c r="E1883" s="372" t="s">
        <v>12253</v>
      </c>
      <c r="F1883" s="372" t="s">
        <v>16098</v>
      </c>
      <c r="G1883" s="375" t="s">
        <v>16098</v>
      </c>
      <c r="H1883" s="375" t="s">
        <v>858</v>
      </c>
      <c r="I1883" s="375" t="s">
        <v>859</v>
      </c>
      <c r="J1883" s="375">
        <v>1.0803799999999999</v>
      </c>
      <c r="K1883" s="375">
        <v>-26926.726569999999</v>
      </c>
      <c r="L1883" s="375">
        <v>-29938.91445</v>
      </c>
      <c r="M1883" s="375">
        <v>29442.491849999999</v>
      </c>
      <c r="N1883" s="372">
        <v>0.68700000000000006</v>
      </c>
      <c r="O1883" s="704">
        <v>1.3102739757675745</v>
      </c>
      <c r="P1883" s="375" t="s">
        <v>619</v>
      </c>
      <c r="Q1883" s="375" t="s">
        <v>619</v>
      </c>
      <c r="R1883" s="696">
        <v>20191220</v>
      </c>
      <c r="S1883" s="375" t="s">
        <v>12254</v>
      </c>
      <c r="T1883" s="697" t="s">
        <v>768</v>
      </c>
      <c r="U1883" s="372" t="s">
        <v>12255</v>
      </c>
      <c r="V1883" s="722" t="s">
        <v>770</v>
      </c>
      <c r="W1883" s="722">
        <v>6.84</v>
      </c>
      <c r="X1883" s="722">
        <v>153891.62</v>
      </c>
      <c r="Y1883" s="722" t="s">
        <v>770</v>
      </c>
      <c r="Z1883" s="382" t="s">
        <v>924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12256</v>
      </c>
      <c r="B1884" s="373" t="s">
        <v>12257</v>
      </c>
      <c r="C1884" s="372" t="s">
        <v>12258</v>
      </c>
      <c r="D1884" s="374">
        <v>1313110055652</v>
      </c>
      <c r="E1884" s="372" t="s">
        <v>12259</v>
      </c>
      <c r="F1884" s="372" t="s">
        <v>995</v>
      </c>
      <c r="G1884" s="375" t="s">
        <v>7126</v>
      </c>
      <c r="H1884" s="375" t="s">
        <v>858</v>
      </c>
      <c r="I1884" s="375" t="s">
        <v>859</v>
      </c>
      <c r="J1884" s="375">
        <v>273649.12974</v>
      </c>
      <c r="K1884" s="375">
        <v>11166.61102</v>
      </c>
      <c r="L1884" s="375">
        <v>11303.21559</v>
      </c>
      <c r="M1884" s="375">
        <v>108694.57882</v>
      </c>
      <c r="N1884" s="372">
        <v>0.66200000000000003</v>
      </c>
      <c r="O1884" s="704">
        <v>16.54976279437059</v>
      </c>
      <c r="P1884" s="375" t="s">
        <v>619</v>
      </c>
      <c r="Q1884" s="372" t="s">
        <v>619</v>
      </c>
      <c r="R1884" s="696">
        <v>20211008</v>
      </c>
      <c r="S1884" s="372" t="s">
        <v>12260</v>
      </c>
      <c r="T1884" s="697">
        <v>0.20900000000000002</v>
      </c>
      <c r="U1884" s="372" t="s">
        <v>12261</v>
      </c>
      <c r="V1884" s="722">
        <v>3.66</v>
      </c>
      <c r="W1884" s="722">
        <v>0.51</v>
      </c>
      <c r="X1884" s="722">
        <v>0.2</v>
      </c>
      <c r="Y1884" s="722">
        <v>7.37</v>
      </c>
      <c r="Z1884" s="382" t="s">
        <v>924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12262</v>
      </c>
      <c r="B1885" s="373" t="s">
        <v>12263</v>
      </c>
      <c r="C1885" s="372" t="s">
        <v>12264</v>
      </c>
      <c r="D1885" s="374">
        <v>1358110109364</v>
      </c>
      <c r="E1885" s="372" t="s">
        <v>12265</v>
      </c>
      <c r="F1885" s="372" t="s">
        <v>877</v>
      </c>
      <c r="G1885" s="375" t="s">
        <v>877</v>
      </c>
      <c r="H1885" s="375" t="s">
        <v>858</v>
      </c>
      <c r="I1885" s="375" t="s">
        <v>859</v>
      </c>
      <c r="J1885" s="375">
        <v>223371.86634000001</v>
      </c>
      <c r="K1885" s="375">
        <v>-15936.326150000001</v>
      </c>
      <c r="L1885" s="375">
        <v>17863.913789999999</v>
      </c>
      <c r="M1885" s="375">
        <v>256708.98103</v>
      </c>
      <c r="N1885" s="372">
        <v>0.78300000000000003</v>
      </c>
      <c r="O1885" s="704">
        <v>14.996550974876277</v>
      </c>
      <c r="P1885" s="375" t="s">
        <v>619</v>
      </c>
      <c r="Q1885" s="372" t="s">
        <v>619</v>
      </c>
      <c r="R1885" s="696">
        <v>20080123</v>
      </c>
      <c r="S1885" s="372" t="s">
        <v>12266</v>
      </c>
      <c r="T1885" s="697">
        <v>0.20900000000000002</v>
      </c>
      <c r="U1885" s="372" t="s">
        <v>15937</v>
      </c>
      <c r="V1885" s="722" t="s">
        <v>770</v>
      </c>
      <c r="W1885" s="722">
        <v>0.25</v>
      </c>
      <c r="X1885" s="722">
        <v>0.27</v>
      </c>
      <c r="Y1885" s="722">
        <v>2.58</v>
      </c>
      <c r="Z1885" s="382" t="s">
        <v>924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12267</v>
      </c>
      <c r="B1886" s="373" t="s">
        <v>12268</v>
      </c>
      <c r="C1886" s="372" t="s">
        <v>12269</v>
      </c>
      <c r="D1886" s="374">
        <v>1101116891801</v>
      </c>
      <c r="E1886" s="372" t="s">
        <v>12270</v>
      </c>
      <c r="F1886" s="372" t="s">
        <v>12271</v>
      </c>
      <c r="G1886" s="375" t="s">
        <v>12271</v>
      </c>
      <c r="H1886" s="375" t="s">
        <v>3096</v>
      </c>
      <c r="I1886" s="375" t="s">
        <v>859</v>
      </c>
      <c r="J1886" s="375">
        <v>0</v>
      </c>
      <c r="K1886" s="375">
        <v>0</v>
      </c>
      <c r="L1886" s="375">
        <v>0</v>
      </c>
      <c r="M1886" s="375">
        <v>25558.816159999998</v>
      </c>
      <c r="N1886" s="372">
        <v>0.88100000000000001</v>
      </c>
      <c r="O1886" s="704">
        <v>50.373208780187809</v>
      </c>
      <c r="P1886" s="375" t="s">
        <v>619</v>
      </c>
      <c r="Q1886" s="372" t="s">
        <v>619</v>
      </c>
      <c r="R1886" s="696">
        <v>20181220</v>
      </c>
      <c r="S1886" s="372" t="s">
        <v>9015</v>
      </c>
      <c r="T1886" s="697" t="s">
        <v>768</v>
      </c>
      <c r="U1886" s="372" t="s">
        <v>12272</v>
      </c>
      <c r="V1886" s="722">
        <v>0</v>
      </c>
      <c r="W1886" s="722">
        <v>1.44</v>
      </c>
      <c r="X1886" s="722">
        <v>0</v>
      </c>
      <c r="Y1886" s="722">
        <v>0</v>
      </c>
      <c r="Z1886" s="382" t="s">
        <v>924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12273</v>
      </c>
      <c r="B1887" s="373" t="s">
        <v>12274</v>
      </c>
      <c r="C1887" s="372" t="s">
        <v>12275</v>
      </c>
      <c r="D1887" s="374">
        <v>1615110000037</v>
      </c>
      <c r="E1887" s="372" t="s">
        <v>12276</v>
      </c>
      <c r="F1887" s="372" t="s">
        <v>1860</v>
      </c>
      <c r="G1887" s="375" t="s">
        <v>1861</v>
      </c>
      <c r="H1887" s="375" t="s">
        <v>789</v>
      </c>
      <c r="I1887" s="375" t="s">
        <v>751</v>
      </c>
      <c r="J1887" s="375">
        <v>98085.549209999997</v>
      </c>
      <c r="K1887" s="375">
        <v>6814.6806399999996</v>
      </c>
      <c r="L1887" s="375">
        <v>24585.152969999999</v>
      </c>
      <c r="M1887" s="375">
        <v>145395.65861000001</v>
      </c>
      <c r="N1887" s="372">
        <v>0.76900000000000002</v>
      </c>
      <c r="O1887" s="704">
        <v>19.584428725642638</v>
      </c>
      <c r="P1887" s="375" t="s">
        <v>619</v>
      </c>
      <c r="Q1887" s="372" t="s">
        <v>619</v>
      </c>
      <c r="R1887" s="696">
        <v>19760629</v>
      </c>
      <c r="S1887" s="372" t="s">
        <v>12277</v>
      </c>
      <c r="T1887" s="697">
        <v>0.23100000000000001</v>
      </c>
      <c r="U1887" s="372" t="s">
        <v>12278</v>
      </c>
      <c r="V1887" s="722">
        <v>11.82</v>
      </c>
      <c r="W1887" s="722">
        <v>0.91</v>
      </c>
      <c r="X1887" s="722">
        <v>1.35</v>
      </c>
      <c r="Y1887" s="722">
        <v>6.45</v>
      </c>
      <c r="Z1887" s="382" t="s">
        <v>924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12279</v>
      </c>
      <c r="B1888" s="373" t="s">
        <v>12280</v>
      </c>
      <c r="C1888" s="372" t="s">
        <v>12281</v>
      </c>
      <c r="D1888" s="374">
        <v>1955110069249</v>
      </c>
      <c r="E1888" s="372" t="s">
        <v>12282</v>
      </c>
      <c r="F1888" s="375" t="s">
        <v>4487</v>
      </c>
      <c r="G1888" s="375" t="s">
        <v>4487</v>
      </c>
      <c r="H1888" s="375" t="s">
        <v>858</v>
      </c>
      <c r="I1888" s="375" t="s">
        <v>859</v>
      </c>
      <c r="J1888" s="375">
        <v>108746.87282</v>
      </c>
      <c r="K1888" s="375">
        <v>890.08285999999998</v>
      </c>
      <c r="L1888" s="375">
        <v>146.94279</v>
      </c>
      <c r="M1888" s="375">
        <v>80185.343370000002</v>
      </c>
      <c r="N1888" s="372">
        <v>0.77700000000000002</v>
      </c>
      <c r="O1888" s="704">
        <v>66.997493414943023</v>
      </c>
      <c r="P1888" s="375" t="s">
        <v>619</v>
      </c>
      <c r="Q1888" s="372" t="s">
        <v>619</v>
      </c>
      <c r="R1888" s="696">
        <v>20040211</v>
      </c>
      <c r="S1888" s="372" t="s">
        <v>12283</v>
      </c>
      <c r="T1888" s="697">
        <v>9.9000000000000005E-2</v>
      </c>
      <c r="U1888" s="372" t="s">
        <v>12284</v>
      </c>
      <c r="V1888" s="722">
        <v>15.84</v>
      </c>
      <c r="W1888" s="722">
        <v>0.6</v>
      </c>
      <c r="X1888" s="722">
        <v>0.42</v>
      </c>
      <c r="Y1888" s="722">
        <v>108.84</v>
      </c>
      <c r="Z1888" s="382" t="s">
        <v>924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12285</v>
      </c>
      <c r="B1889" s="373" t="s">
        <v>12286</v>
      </c>
      <c r="C1889" s="372" t="s">
        <v>12287</v>
      </c>
      <c r="D1889" s="374">
        <v>1301110008771</v>
      </c>
      <c r="E1889" s="372" t="s">
        <v>12288</v>
      </c>
      <c r="F1889" s="372" t="s">
        <v>12289</v>
      </c>
      <c r="G1889" s="375" t="s">
        <v>12289</v>
      </c>
      <c r="H1889" s="375" t="s">
        <v>814</v>
      </c>
      <c r="I1889" s="375" t="s">
        <v>751</v>
      </c>
      <c r="J1889" s="375">
        <v>34763.695079999998</v>
      </c>
      <c r="K1889" s="375">
        <v>3582.9124700000002</v>
      </c>
      <c r="L1889" s="375">
        <v>4304.6520399999999</v>
      </c>
      <c r="M1889" s="375">
        <v>66101.449930000002</v>
      </c>
      <c r="N1889" s="372">
        <v>0.63800000000000001</v>
      </c>
      <c r="O1889" s="704">
        <v>1.9370962797672246</v>
      </c>
      <c r="P1889" s="375" t="s">
        <v>619</v>
      </c>
      <c r="Q1889" s="372" t="s">
        <v>619</v>
      </c>
      <c r="R1889" s="696">
        <v>19891114</v>
      </c>
      <c r="S1889" s="372" t="s">
        <v>12290</v>
      </c>
      <c r="T1889" s="697">
        <v>0.20900000000000002</v>
      </c>
      <c r="U1889" s="372" t="s">
        <v>12291</v>
      </c>
      <c r="V1889" s="722">
        <v>0</v>
      </c>
      <c r="W1889" s="722">
        <v>0</v>
      </c>
      <c r="X1889" s="722">
        <v>0</v>
      </c>
      <c r="Y1889" s="722">
        <v>0</v>
      </c>
      <c r="Z1889" s="382" t="s">
        <v>924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12292</v>
      </c>
      <c r="B1890" s="373" t="s">
        <v>12293</v>
      </c>
      <c r="C1890" s="372" t="s">
        <v>12294</v>
      </c>
      <c r="D1890" s="374">
        <v>1101111182726</v>
      </c>
      <c r="E1890" s="372" t="s">
        <v>12295</v>
      </c>
      <c r="F1890" s="375" t="s">
        <v>1959</v>
      </c>
      <c r="G1890" s="375" t="s">
        <v>1959</v>
      </c>
      <c r="H1890" s="375" t="s">
        <v>858</v>
      </c>
      <c r="I1890" s="375" t="s">
        <v>859</v>
      </c>
      <c r="J1890" s="375">
        <v>22836.876520000002</v>
      </c>
      <c r="K1890" s="375">
        <v>-4840.2914000000001</v>
      </c>
      <c r="L1890" s="375">
        <v>-7986.3031000000001</v>
      </c>
      <c r="M1890" s="375">
        <v>67160.876950000005</v>
      </c>
      <c r="N1890" s="372">
        <v>1.208</v>
      </c>
      <c r="O1890" s="704">
        <v>58.94491861770009</v>
      </c>
      <c r="P1890" s="375" t="s">
        <v>619</v>
      </c>
      <c r="Q1890" s="372" t="s">
        <v>619</v>
      </c>
      <c r="R1890" s="696">
        <v>20010629</v>
      </c>
      <c r="S1890" s="372" t="s">
        <v>12296</v>
      </c>
      <c r="T1890" s="697" t="s">
        <v>768</v>
      </c>
      <c r="U1890" s="372" t="s">
        <v>15938</v>
      </c>
      <c r="V1890" s="722" t="s">
        <v>770</v>
      </c>
      <c r="W1890" s="722">
        <v>1.21</v>
      </c>
      <c r="X1890" s="722">
        <v>4.08</v>
      </c>
      <c r="Y1890" s="722" t="s">
        <v>770</v>
      </c>
      <c r="Z1890" s="382" t="s">
        <v>924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12297</v>
      </c>
      <c r="B1891" s="373" t="s">
        <v>12298</v>
      </c>
      <c r="C1891" s="372" t="s">
        <v>12299</v>
      </c>
      <c r="D1891" s="374">
        <v>1101112099425</v>
      </c>
      <c r="E1891" s="372" t="s">
        <v>12300</v>
      </c>
      <c r="F1891" s="375" t="s">
        <v>1367</v>
      </c>
      <c r="G1891" s="375" t="s">
        <v>1367</v>
      </c>
      <c r="H1891" s="375" t="s">
        <v>858</v>
      </c>
      <c r="I1891" s="375" t="s">
        <v>859</v>
      </c>
      <c r="J1891" s="375">
        <v>0</v>
      </c>
      <c r="K1891" s="375">
        <v>0</v>
      </c>
      <c r="L1891" s="375">
        <v>0</v>
      </c>
      <c r="M1891" s="375">
        <v>29052.682659999999</v>
      </c>
      <c r="N1891" s="372">
        <v>0.63100000000000001</v>
      </c>
      <c r="O1891" s="704">
        <v>0.29806159016796319</v>
      </c>
      <c r="P1891" s="375" t="s">
        <v>619</v>
      </c>
      <c r="Q1891" s="372" t="s">
        <v>619</v>
      </c>
      <c r="R1891" s="696">
        <v>20211014</v>
      </c>
      <c r="S1891" s="372" t="s">
        <v>12301</v>
      </c>
      <c r="T1891" s="697" t="s">
        <v>768</v>
      </c>
      <c r="U1891" s="372" t="s">
        <v>12302</v>
      </c>
      <c r="V1891" s="722">
        <v>0</v>
      </c>
      <c r="W1891" s="722">
        <v>3.92</v>
      </c>
      <c r="X1891" s="722">
        <v>0</v>
      </c>
      <c r="Y1891" s="722">
        <v>0</v>
      </c>
      <c r="Z1891" s="382" t="s">
        <v>924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12303</v>
      </c>
      <c r="B1892" s="373" t="s">
        <v>12304</v>
      </c>
      <c r="C1892" s="372" t="s">
        <v>12305</v>
      </c>
      <c r="D1892" s="374">
        <v>1201110002022</v>
      </c>
      <c r="E1892" s="372" t="s">
        <v>12306</v>
      </c>
      <c r="F1892" s="372" t="s">
        <v>12307</v>
      </c>
      <c r="G1892" s="375" t="s">
        <v>12308</v>
      </c>
      <c r="H1892" s="375" t="s">
        <v>1465</v>
      </c>
      <c r="I1892" s="375" t="s">
        <v>751</v>
      </c>
      <c r="J1892" s="375">
        <v>257148.15140999999</v>
      </c>
      <c r="K1892" s="375">
        <v>11038.4354</v>
      </c>
      <c r="L1892" s="375">
        <v>-2863.3626100000001</v>
      </c>
      <c r="M1892" s="375">
        <v>124595.30114</v>
      </c>
      <c r="N1892" s="372">
        <v>0.53700000000000003</v>
      </c>
      <c r="O1892" s="704">
        <v>247.92309042792957</v>
      </c>
      <c r="P1892" s="375" t="s">
        <v>619</v>
      </c>
      <c r="Q1892" s="372" t="s">
        <v>619</v>
      </c>
      <c r="R1892" s="696">
        <v>19900608</v>
      </c>
      <c r="S1892" s="372" t="s">
        <v>12309</v>
      </c>
      <c r="T1892" s="697" t="s">
        <v>768</v>
      </c>
      <c r="U1892" s="372" t="s">
        <v>12310</v>
      </c>
      <c r="V1892" s="722">
        <v>7.32</v>
      </c>
      <c r="W1892" s="722">
        <v>0.73</v>
      </c>
      <c r="X1892" s="722">
        <v>0.24</v>
      </c>
      <c r="Y1892" s="722" t="s">
        <v>770</v>
      </c>
      <c r="Z1892" s="382" t="s">
        <v>924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12311</v>
      </c>
      <c r="B1893" s="373" t="s">
        <v>12312</v>
      </c>
      <c r="C1893" s="372" t="s">
        <v>12313</v>
      </c>
      <c r="D1893" s="374">
        <v>1101110045347</v>
      </c>
      <c r="E1893" s="372" t="s">
        <v>12314</v>
      </c>
      <c r="F1893" s="372" t="s">
        <v>2744</v>
      </c>
      <c r="G1893" s="375" t="s">
        <v>9395</v>
      </c>
      <c r="H1893" s="375" t="s">
        <v>858</v>
      </c>
      <c r="I1893" s="375" t="s">
        <v>859</v>
      </c>
      <c r="J1893" s="375">
        <v>29579.435799999999</v>
      </c>
      <c r="K1893" s="375">
        <v>-13511.635840000001</v>
      </c>
      <c r="L1893" s="375">
        <v>-26501.757010000001</v>
      </c>
      <c r="M1893" s="375">
        <v>63775.281060000001</v>
      </c>
      <c r="N1893" s="372">
        <v>9.8000000000000004E-2</v>
      </c>
      <c r="O1893" s="704">
        <v>41.977007353142923</v>
      </c>
      <c r="P1893" s="375" t="s">
        <v>619</v>
      </c>
      <c r="Q1893" s="372" t="s">
        <v>619</v>
      </c>
      <c r="R1893" s="696">
        <v>19940930</v>
      </c>
      <c r="S1893" s="372" t="s">
        <v>12315</v>
      </c>
      <c r="T1893" s="697" t="s">
        <v>768</v>
      </c>
      <c r="U1893" s="372" t="s">
        <v>15939</v>
      </c>
      <c r="V1893" s="722" t="s">
        <v>770</v>
      </c>
      <c r="W1893" s="722">
        <v>1.26</v>
      </c>
      <c r="X1893" s="722">
        <v>2.7</v>
      </c>
      <c r="Y1893" s="722" t="s">
        <v>770</v>
      </c>
      <c r="Z1893" s="382" t="s">
        <v>924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12316</v>
      </c>
      <c r="B1894" s="373" t="s">
        <v>12317</v>
      </c>
      <c r="C1894" s="372" t="s">
        <v>12318</v>
      </c>
      <c r="D1894" s="374">
        <v>1101110530687</v>
      </c>
      <c r="E1894" s="372" t="s">
        <v>12319</v>
      </c>
      <c r="F1894" s="372" t="s">
        <v>7041</v>
      </c>
      <c r="G1894" s="375" t="s">
        <v>8264</v>
      </c>
      <c r="H1894" s="375" t="s">
        <v>858</v>
      </c>
      <c r="I1894" s="375" t="s">
        <v>859</v>
      </c>
      <c r="J1894" s="375">
        <v>24400.28313</v>
      </c>
      <c r="K1894" s="375">
        <v>-812.09571000000005</v>
      </c>
      <c r="L1894" s="375">
        <v>-1020.80951</v>
      </c>
      <c r="M1894" s="375">
        <v>41124.39417</v>
      </c>
      <c r="N1894" s="372">
        <v>0.89200000000000002</v>
      </c>
      <c r="O1894" s="704">
        <v>0</v>
      </c>
      <c r="P1894" s="375" t="s">
        <v>619</v>
      </c>
      <c r="Q1894" s="375" t="s">
        <v>619</v>
      </c>
      <c r="R1894" s="696">
        <v>20060201</v>
      </c>
      <c r="S1894" s="375" t="s">
        <v>12320</v>
      </c>
      <c r="T1894" s="697" t="s">
        <v>768</v>
      </c>
      <c r="U1894" s="372" t="s">
        <v>12321</v>
      </c>
      <c r="V1894" s="722">
        <v>192.56</v>
      </c>
      <c r="W1894" s="722">
        <v>1.43</v>
      </c>
      <c r="X1894" s="722">
        <v>2.4700000000000002</v>
      </c>
      <c r="Y1894" s="722" t="s">
        <v>770</v>
      </c>
      <c r="Z1894" s="382" t="s">
        <v>924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12322</v>
      </c>
      <c r="B1895" s="373" t="s">
        <v>12323</v>
      </c>
      <c r="C1895" s="372" t="s">
        <v>12324</v>
      </c>
      <c r="D1895" s="374">
        <v>1101111600794</v>
      </c>
      <c r="E1895" s="372" t="s">
        <v>12325</v>
      </c>
      <c r="F1895" s="372" t="s">
        <v>6232</v>
      </c>
      <c r="G1895" s="375" t="s">
        <v>10944</v>
      </c>
      <c r="H1895" s="375" t="s">
        <v>4844</v>
      </c>
      <c r="I1895" s="375" t="s">
        <v>859</v>
      </c>
      <c r="J1895" s="375">
        <v>275488.66859000002</v>
      </c>
      <c r="K1895" s="375">
        <v>1646.45136</v>
      </c>
      <c r="L1895" s="375">
        <v>3683.7788999999998</v>
      </c>
      <c r="M1895" s="375">
        <v>105054.71786999999</v>
      </c>
      <c r="N1895" s="372">
        <v>0.80500000000000005</v>
      </c>
      <c r="O1895" s="704">
        <v>59.382244274765675</v>
      </c>
      <c r="P1895" s="375" t="s">
        <v>619</v>
      </c>
      <c r="Q1895" s="372" t="s">
        <v>619</v>
      </c>
      <c r="R1895" s="696">
        <v>20020614</v>
      </c>
      <c r="S1895" s="372" t="s">
        <v>12326</v>
      </c>
      <c r="T1895" s="697">
        <v>0.20900000000000002</v>
      </c>
      <c r="U1895" s="372" t="s">
        <v>12327</v>
      </c>
      <c r="V1895" s="722">
        <v>11.72</v>
      </c>
      <c r="W1895" s="722">
        <v>0.45</v>
      </c>
      <c r="X1895" s="722">
        <v>0.17</v>
      </c>
      <c r="Y1895" s="722">
        <v>23.12</v>
      </c>
      <c r="Z1895" s="382" t="s">
        <v>924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12328</v>
      </c>
      <c r="B1896" s="373" t="s">
        <v>12329</v>
      </c>
      <c r="C1896" s="372" t="s">
        <v>12330</v>
      </c>
      <c r="D1896" s="374">
        <v>1101110033839</v>
      </c>
      <c r="E1896" s="372" t="s">
        <v>12331</v>
      </c>
      <c r="F1896" s="375" t="s">
        <v>2256</v>
      </c>
      <c r="G1896" s="375" t="s">
        <v>2256</v>
      </c>
      <c r="H1896" s="375" t="s">
        <v>4844</v>
      </c>
      <c r="I1896" s="375" t="s">
        <v>859</v>
      </c>
      <c r="J1896" s="375">
        <v>145040.12332000001</v>
      </c>
      <c r="K1896" s="375">
        <v>-5874.0645599999998</v>
      </c>
      <c r="L1896" s="375">
        <v>-5814.7999099999997</v>
      </c>
      <c r="M1896" s="375">
        <v>37425.874589999999</v>
      </c>
      <c r="N1896" s="372">
        <v>0.81499999999999995</v>
      </c>
      <c r="O1896" s="704">
        <v>48.134495944436871</v>
      </c>
      <c r="P1896" s="375" t="s">
        <v>619</v>
      </c>
      <c r="Q1896" s="372" t="s">
        <v>619</v>
      </c>
      <c r="R1896" s="696">
        <v>19941116</v>
      </c>
      <c r="S1896" s="372" t="s">
        <v>5040</v>
      </c>
      <c r="T1896" s="697" t="s">
        <v>768</v>
      </c>
      <c r="U1896" s="372" t="s">
        <v>12332</v>
      </c>
      <c r="V1896" s="722">
        <v>0</v>
      </c>
      <c r="W1896" s="722">
        <v>0</v>
      </c>
      <c r="X1896" s="722">
        <v>0</v>
      </c>
      <c r="Y1896" s="722">
        <v>0</v>
      </c>
      <c r="Z1896" s="382" t="s">
        <v>924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12333</v>
      </c>
      <c r="B1897" s="373" t="s">
        <v>12334</v>
      </c>
      <c r="C1897" s="372" t="s">
        <v>12335</v>
      </c>
      <c r="D1897" s="374">
        <v>1101111909865</v>
      </c>
      <c r="E1897" s="372" t="s">
        <v>12336</v>
      </c>
      <c r="F1897" s="372" t="s">
        <v>1793</v>
      </c>
      <c r="G1897" s="375" t="s">
        <v>2794</v>
      </c>
      <c r="H1897" s="375" t="s">
        <v>858</v>
      </c>
      <c r="I1897" s="375" t="s">
        <v>859</v>
      </c>
      <c r="J1897" s="375">
        <v>26922.78327</v>
      </c>
      <c r="K1897" s="375">
        <v>1893.0249899999999</v>
      </c>
      <c r="L1897" s="375">
        <v>3515.0072799999998</v>
      </c>
      <c r="M1897" s="375">
        <v>46544.411829999997</v>
      </c>
      <c r="N1897" s="372">
        <v>1.016</v>
      </c>
      <c r="O1897" s="704">
        <v>2.7280381523227777</v>
      </c>
      <c r="P1897" s="375" t="s">
        <v>619</v>
      </c>
      <c r="Q1897" s="372" t="s">
        <v>619</v>
      </c>
      <c r="R1897" s="696">
        <v>20210819</v>
      </c>
      <c r="S1897" s="372" t="s">
        <v>12337</v>
      </c>
      <c r="T1897" s="697">
        <v>0.20900000000000002</v>
      </c>
      <c r="U1897" s="372" t="s">
        <v>12338</v>
      </c>
      <c r="V1897" s="722">
        <v>21.49</v>
      </c>
      <c r="W1897" s="722">
        <v>1.08</v>
      </c>
      <c r="X1897" s="722">
        <v>1.97</v>
      </c>
      <c r="Y1897" s="722">
        <v>14.98</v>
      </c>
      <c r="Z1897" s="382" t="s">
        <v>924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295</v>
      </c>
      <c r="AF1897" s="372">
        <v>0</v>
      </c>
      <c r="AG1897" s="372">
        <v>0</v>
      </c>
      <c r="AH1897" s="372">
        <v>0</v>
      </c>
    </row>
    <row r="1898" spans="1:34">
      <c r="A1898" s="372" t="s">
        <v>12339</v>
      </c>
      <c r="B1898" s="373" t="s">
        <v>12340</v>
      </c>
      <c r="C1898" s="372" t="s">
        <v>12341</v>
      </c>
      <c r="D1898" s="374">
        <v>1601110165806</v>
      </c>
      <c r="E1898" s="372" t="s">
        <v>12342</v>
      </c>
      <c r="F1898" s="372" t="s">
        <v>1428</v>
      </c>
      <c r="G1898" s="375" t="s">
        <v>12343</v>
      </c>
      <c r="H1898" s="375" t="s">
        <v>858</v>
      </c>
      <c r="I1898" s="375" t="s">
        <v>859</v>
      </c>
      <c r="J1898" s="375">
        <v>67528.962190000006</v>
      </c>
      <c r="K1898" s="375">
        <v>4278.8950999999997</v>
      </c>
      <c r="L1898" s="375">
        <v>5200.8723600000003</v>
      </c>
      <c r="M1898" s="375">
        <v>56565.468289999997</v>
      </c>
      <c r="N1898" s="372">
        <v>0.72499999999999998</v>
      </c>
      <c r="O1898" s="704">
        <v>0</v>
      </c>
      <c r="P1898" s="375" t="s">
        <v>619</v>
      </c>
      <c r="Q1898" s="372" t="s">
        <v>619</v>
      </c>
      <c r="R1898" s="696">
        <v>20190905</v>
      </c>
      <c r="S1898" s="372" t="s">
        <v>12344</v>
      </c>
      <c r="T1898" s="697">
        <v>0.20900000000000002</v>
      </c>
      <c r="U1898" s="372" t="s">
        <v>12345</v>
      </c>
      <c r="V1898" s="722">
        <v>0</v>
      </c>
      <c r="W1898" s="722">
        <v>0</v>
      </c>
      <c r="X1898" s="722">
        <v>0</v>
      </c>
      <c r="Y1898" s="722">
        <v>0</v>
      </c>
      <c r="Z1898" s="382" t="s">
        <v>924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12346</v>
      </c>
      <c r="B1899" s="373" t="s">
        <v>12347</v>
      </c>
      <c r="C1899" s="372" t="s">
        <v>12348</v>
      </c>
      <c r="D1899" s="374">
        <v>1101110073877</v>
      </c>
      <c r="E1899" s="372" t="s">
        <v>12349</v>
      </c>
      <c r="F1899" s="375" t="s">
        <v>8669</v>
      </c>
      <c r="G1899" s="375" t="s">
        <v>8825</v>
      </c>
      <c r="H1899" s="375" t="s">
        <v>858</v>
      </c>
      <c r="I1899" s="375" t="s">
        <v>859</v>
      </c>
      <c r="J1899" s="375">
        <v>268656.88604000001</v>
      </c>
      <c r="K1899" s="375">
        <v>17350.058669999999</v>
      </c>
      <c r="L1899" s="375">
        <v>17191.41834</v>
      </c>
      <c r="M1899" s="375">
        <v>148914.31254000001</v>
      </c>
      <c r="N1899" s="372">
        <v>0.60899999999999999</v>
      </c>
      <c r="O1899" s="704">
        <v>17.216828786784674</v>
      </c>
      <c r="P1899" s="375" t="s">
        <v>619</v>
      </c>
      <c r="Q1899" s="372" t="s">
        <v>619</v>
      </c>
      <c r="R1899" s="696">
        <v>19941222</v>
      </c>
      <c r="S1899" s="372" t="s">
        <v>12350</v>
      </c>
      <c r="T1899" s="697">
        <v>0.20900000000000002</v>
      </c>
      <c r="U1899" s="372" t="s">
        <v>12351</v>
      </c>
      <c r="V1899" s="722">
        <v>0</v>
      </c>
      <c r="W1899" s="722">
        <v>0</v>
      </c>
      <c r="X1899" s="722">
        <v>0</v>
      </c>
      <c r="Y1899" s="722">
        <v>0</v>
      </c>
      <c r="Z1899" s="382" t="s">
        <v>924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12352</v>
      </c>
      <c r="B1900" s="373" t="s">
        <v>12353</v>
      </c>
      <c r="C1900" s="372" t="s">
        <v>12354</v>
      </c>
      <c r="D1900" s="374">
        <v>1201110087834</v>
      </c>
      <c r="E1900" s="372" t="s">
        <v>12355</v>
      </c>
      <c r="F1900" s="375" t="s">
        <v>7041</v>
      </c>
      <c r="G1900" s="375" t="s">
        <v>8264</v>
      </c>
      <c r="H1900" s="375" t="s">
        <v>858</v>
      </c>
      <c r="I1900" s="375" t="s">
        <v>859</v>
      </c>
      <c r="J1900" s="375">
        <v>52273.566379999997</v>
      </c>
      <c r="K1900" s="375">
        <v>-3428.9185299999999</v>
      </c>
      <c r="L1900" s="375">
        <v>-5667.2293300000001</v>
      </c>
      <c r="M1900" s="375">
        <v>25720.414669999998</v>
      </c>
      <c r="N1900" s="372">
        <v>0.68500000000000005</v>
      </c>
      <c r="O1900" s="704">
        <v>91.87781354652455</v>
      </c>
      <c r="P1900" s="375" t="s">
        <v>619</v>
      </c>
      <c r="Q1900" s="372" t="s">
        <v>619</v>
      </c>
      <c r="R1900" s="696">
        <v>20000825</v>
      </c>
      <c r="S1900" s="372" t="s">
        <v>12356</v>
      </c>
      <c r="T1900" s="697" t="s">
        <v>768</v>
      </c>
      <c r="U1900" s="372" t="s">
        <v>12357</v>
      </c>
      <c r="V1900" s="722">
        <v>0</v>
      </c>
      <c r="W1900" s="722">
        <v>0</v>
      </c>
      <c r="X1900" s="722">
        <v>0</v>
      </c>
      <c r="Y1900" s="722">
        <v>0</v>
      </c>
      <c r="Z1900" s="382" t="s">
        <v>924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12358</v>
      </c>
      <c r="B1901" s="373" t="s">
        <v>12359</v>
      </c>
      <c r="C1901" s="372" t="s">
        <v>12360</v>
      </c>
      <c r="D1901" s="374">
        <v>1101110254344</v>
      </c>
      <c r="E1901" s="372" t="s">
        <v>12361</v>
      </c>
      <c r="F1901" s="372" t="s">
        <v>5622</v>
      </c>
      <c r="G1901" s="375" t="s">
        <v>5622</v>
      </c>
      <c r="H1901" s="375" t="s">
        <v>858</v>
      </c>
      <c r="I1901" s="375" t="s">
        <v>859</v>
      </c>
      <c r="J1901" s="375">
        <v>369763.19721999997</v>
      </c>
      <c r="K1901" s="375">
        <v>-2402.5352499999999</v>
      </c>
      <c r="L1901" s="375">
        <v>-282.76337999999998</v>
      </c>
      <c r="M1901" s="375">
        <v>67160.904020000002</v>
      </c>
      <c r="N1901" s="372">
        <v>0.64100000000000001</v>
      </c>
      <c r="O1901" s="704">
        <v>367.86217670649688</v>
      </c>
      <c r="P1901" s="375" t="s">
        <v>16112</v>
      </c>
      <c r="Q1901" s="372" t="s">
        <v>619</v>
      </c>
      <c r="R1901" s="696">
        <v>19950515</v>
      </c>
      <c r="S1901" s="372" t="s">
        <v>12362</v>
      </c>
      <c r="T1901" s="697" t="s">
        <v>768</v>
      </c>
      <c r="U1901" s="372" t="s">
        <v>15940</v>
      </c>
      <c r="V1901" s="722">
        <v>52.17</v>
      </c>
      <c r="W1901" s="722">
        <v>0.53</v>
      </c>
      <c r="X1901" s="722">
        <v>0.1</v>
      </c>
      <c r="Y1901" s="722" t="s">
        <v>770</v>
      </c>
      <c r="Z1901" s="382" t="s">
        <v>924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12363</v>
      </c>
      <c r="B1902" s="373" t="s">
        <v>12364</v>
      </c>
      <c r="C1902" s="372" t="s">
        <v>12365</v>
      </c>
      <c r="D1902" s="374">
        <v>1311110157098</v>
      </c>
      <c r="E1902" s="372" t="s">
        <v>12366</v>
      </c>
      <c r="F1902" s="375" t="s">
        <v>1052</v>
      </c>
      <c r="G1902" s="375" t="s">
        <v>16101</v>
      </c>
      <c r="H1902" s="375" t="s">
        <v>858</v>
      </c>
      <c r="I1902" s="375" t="s">
        <v>859</v>
      </c>
      <c r="J1902" s="375">
        <v>2482.47172</v>
      </c>
      <c r="K1902" s="375">
        <v>-3406.4425500000002</v>
      </c>
      <c r="L1902" s="375">
        <v>-3548.8659299999999</v>
      </c>
      <c r="M1902" s="375">
        <v>4795.3206200000004</v>
      </c>
      <c r="N1902" s="372">
        <v>0.996</v>
      </c>
      <c r="O1902" s="704">
        <v>2.6069956136287282</v>
      </c>
      <c r="P1902" s="375" t="s">
        <v>619</v>
      </c>
      <c r="Q1902" s="372" t="s">
        <v>619</v>
      </c>
      <c r="R1902" s="696">
        <v>20170320</v>
      </c>
      <c r="S1902" s="372" t="s">
        <v>12367</v>
      </c>
      <c r="T1902" s="697" t="s">
        <v>768</v>
      </c>
      <c r="U1902" s="372" t="s">
        <v>12368</v>
      </c>
      <c r="V1902" s="722">
        <v>0</v>
      </c>
      <c r="W1902" s="722">
        <v>0</v>
      </c>
      <c r="X1902" s="722">
        <v>0</v>
      </c>
      <c r="Y1902" s="722">
        <v>0</v>
      </c>
      <c r="Z1902" s="382" t="s">
        <v>924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12369</v>
      </c>
      <c r="B1903" s="373" t="s">
        <v>12370</v>
      </c>
      <c r="C1903" s="372" t="s">
        <v>12371</v>
      </c>
      <c r="D1903" s="374">
        <v>1101113629841</v>
      </c>
      <c r="E1903" s="372" t="s">
        <v>16322</v>
      </c>
      <c r="F1903" s="375" t="s">
        <v>5597</v>
      </c>
      <c r="G1903" s="375" t="s">
        <v>5597</v>
      </c>
      <c r="H1903" s="375" t="s">
        <v>1528</v>
      </c>
      <c r="I1903" s="375" t="s">
        <v>859</v>
      </c>
      <c r="J1903" s="375">
        <v>31539.883580000002</v>
      </c>
      <c r="K1903" s="375">
        <v>-7103.6074900000003</v>
      </c>
      <c r="L1903" s="375">
        <v>-6030.0979699999998</v>
      </c>
      <c r="M1903" s="375">
        <v>67993.21961</v>
      </c>
      <c r="N1903" s="372">
        <v>1.1319999999999999</v>
      </c>
      <c r="O1903" s="704">
        <v>3.2390188668900484</v>
      </c>
      <c r="P1903" s="375" t="s">
        <v>619</v>
      </c>
      <c r="Q1903" s="375" t="s">
        <v>619</v>
      </c>
      <c r="R1903" s="696">
        <v>20141224</v>
      </c>
      <c r="S1903" s="375" t="s">
        <v>12372</v>
      </c>
      <c r="T1903" s="697" t="s">
        <v>768</v>
      </c>
      <c r="U1903" s="372" t="s">
        <v>12373</v>
      </c>
      <c r="V1903" s="722" t="s">
        <v>770</v>
      </c>
      <c r="W1903" s="722">
        <v>1.93</v>
      </c>
      <c r="X1903" s="722">
        <v>3.55</v>
      </c>
      <c r="Y1903" s="722" t="s">
        <v>770</v>
      </c>
      <c r="Z1903" s="382" t="s">
        <v>924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12374</v>
      </c>
      <c r="B1904" s="373" t="s">
        <v>12375</v>
      </c>
      <c r="C1904" s="372" t="s">
        <v>12376</v>
      </c>
      <c r="D1904" s="374">
        <v>1101115829407</v>
      </c>
      <c r="E1904" s="372" t="s">
        <v>12377</v>
      </c>
      <c r="F1904" s="375" t="s">
        <v>1959</v>
      </c>
      <c r="G1904" s="375" t="s">
        <v>1959</v>
      </c>
      <c r="H1904" s="375" t="s">
        <v>858</v>
      </c>
      <c r="I1904" s="375" t="s">
        <v>859</v>
      </c>
      <c r="J1904" s="375">
        <v>33669.942849999999</v>
      </c>
      <c r="K1904" s="375">
        <v>-2186.11735</v>
      </c>
      <c r="L1904" s="375">
        <v>-26096.260839999999</v>
      </c>
      <c r="M1904" s="375">
        <v>103146.55284</v>
      </c>
      <c r="N1904" s="372">
        <v>0.98499999999999999</v>
      </c>
      <c r="O1904" s="704">
        <v>0.70780216120249029</v>
      </c>
      <c r="P1904" s="375" t="s">
        <v>619</v>
      </c>
      <c r="Q1904" s="375" t="s">
        <v>619</v>
      </c>
      <c r="R1904" s="696">
        <v>20151118</v>
      </c>
      <c r="S1904" s="375" t="s">
        <v>12378</v>
      </c>
      <c r="T1904" s="697" t="s">
        <v>768</v>
      </c>
      <c r="U1904" s="375" t="s">
        <v>12379</v>
      </c>
      <c r="V1904" s="722" t="s">
        <v>770</v>
      </c>
      <c r="W1904" s="722">
        <v>0.5</v>
      </c>
      <c r="X1904" s="722">
        <v>1.51</v>
      </c>
      <c r="Y1904" s="722" t="s">
        <v>770</v>
      </c>
      <c r="Z1904" s="382" t="s">
        <v>924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12380</v>
      </c>
      <c r="B1905" s="373" t="s">
        <v>12381</v>
      </c>
      <c r="C1905" s="372" t="s">
        <v>12382</v>
      </c>
      <c r="D1905" s="374">
        <v>1101110574669</v>
      </c>
      <c r="E1905" s="372" t="s">
        <v>12383</v>
      </c>
      <c r="F1905" s="372" t="s">
        <v>3008</v>
      </c>
      <c r="G1905" s="375" t="s">
        <v>3008</v>
      </c>
      <c r="H1905" s="375" t="s">
        <v>1334</v>
      </c>
      <c r="I1905" s="375" t="s">
        <v>859</v>
      </c>
      <c r="J1905" s="375">
        <v>908430.43128000002</v>
      </c>
      <c r="K1905" s="375">
        <v>46190.059739999997</v>
      </c>
      <c r="L1905" s="375">
        <v>40300.507319999997</v>
      </c>
      <c r="M1905" s="375">
        <v>295123.61102999997</v>
      </c>
      <c r="N1905" s="372">
        <v>1.135</v>
      </c>
      <c r="O1905" s="704">
        <v>115.9130979225621</v>
      </c>
      <c r="P1905" s="375" t="s">
        <v>619</v>
      </c>
      <c r="Q1905" s="372" t="s">
        <v>619</v>
      </c>
      <c r="R1905" s="696">
        <v>20000111</v>
      </c>
      <c r="S1905" s="372" t="s">
        <v>12384</v>
      </c>
      <c r="T1905" s="697">
        <v>0.23100000000000001</v>
      </c>
      <c r="U1905" s="372" t="s">
        <v>12385</v>
      </c>
      <c r="V1905" s="722">
        <v>1.58</v>
      </c>
      <c r="W1905" s="722">
        <v>0.26</v>
      </c>
      <c r="X1905" s="722">
        <v>0.09</v>
      </c>
      <c r="Y1905" s="722">
        <v>2.66</v>
      </c>
      <c r="Z1905" s="382" t="s">
        <v>924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12386</v>
      </c>
      <c r="B1906" s="373" t="s">
        <v>12387</v>
      </c>
      <c r="C1906" s="372" t="s">
        <v>12388</v>
      </c>
      <c r="D1906" s="374">
        <v>1341110026480</v>
      </c>
      <c r="E1906" s="372" t="s">
        <v>12389</v>
      </c>
      <c r="F1906" s="372" t="s">
        <v>877</v>
      </c>
      <c r="G1906" s="375" t="s">
        <v>877</v>
      </c>
      <c r="H1906" s="375" t="s">
        <v>858</v>
      </c>
      <c r="I1906" s="375" t="s">
        <v>859</v>
      </c>
      <c r="J1906" s="375">
        <v>627459.31960000005</v>
      </c>
      <c r="K1906" s="375">
        <v>16918.419529999999</v>
      </c>
      <c r="L1906" s="375">
        <v>8498.6245899999994</v>
      </c>
      <c r="M1906" s="375">
        <v>198705.7836</v>
      </c>
      <c r="N1906" s="372">
        <v>0.96699999999999997</v>
      </c>
      <c r="O1906" s="704">
        <v>247.77578851740239</v>
      </c>
      <c r="P1906" s="375" t="s">
        <v>619</v>
      </c>
      <c r="Q1906" s="372" t="s">
        <v>619</v>
      </c>
      <c r="R1906" s="696">
        <v>20031024</v>
      </c>
      <c r="S1906" s="372" t="s">
        <v>12390</v>
      </c>
      <c r="T1906" s="697">
        <v>0.20900000000000002</v>
      </c>
      <c r="U1906" s="372" t="s">
        <v>12391</v>
      </c>
      <c r="V1906" s="722">
        <v>5.79</v>
      </c>
      <c r="W1906" s="722">
        <v>0.44</v>
      </c>
      <c r="X1906" s="722">
        <v>0.09</v>
      </c>
      <c r="Y1906" s="722">
        <v>20.13</v>
      </c>
      <c r="Z1906" s="382" t="s">
        <v>924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12392</v>
      </c>
      <c r="B1907" s="373" t="s">
        <v>12393</v>
      </c>
      <c r="C1907" s="372" t="s">
        <v>12394</v>
      </c>
      <c r="D1907" s="374">
        <v>1201110715352</v>
      </c>
      <c r="E1907" s="372" t="s">
        <v>12395</v>
      </c>
      <c r="F1907" s="375" t="s">
        <v>1246</v>
      </c>
      <c r="G1907" s="375" t="s">
        <v>1246</v>
      </c>
      <c r="H1907" s="375" t="s">
        <v>858</v>
      </c>
      <c r="I1907" s="375" t="s">
        <v>859</v>
      </c>
      <c r="J1907" s="375">
        <v>889.44371999999998</v>
      </c>
      <c r="K1907" s="375">
        <v>-11947.353660000001</v>
      </c>
      <c r="L1907" s="375">
        <v>-15908.0753</v>
      </c>
      <c r="M1907" s="375">
        <v>11786.796990000001</v>
      </c>
      <c r="N1907" s="372">
        <v>0.92</v>
      </c>
      <c r="O1907" s="704">
        <v>10.610344190056049</v>
      </c>
      <c r="P1907" s="375" t="s">
        <v>619</v>
      </c>
      <c r="Q1907" s="372" t="s">
        <v>619</v>
      </c>
      <c r="R1907" s="696">
        <v>20200617</v>
      </c>
      <c r="S1907" s="372" t="s">
        <v>12396</v>
      </c>
      <c r="T1907" s="697" t="s">
        <v>768</v>
      </c>
      <c r="U1907" s="372" t="s">
        <v>12397</v>
      </c>
      <c r="V1907" s="722">
        <v>0</v>
      </c>
      <c r="W1907" s="722">
        <v>0</v>
      </c>
      <c r="X1907" s="722">
        <v>0</v>
      </c>
      <c r="Y1907" s="722">
        <v>0</v>
      </c>
      <c r="Z1907" s="382" t="s">
        <v>924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12398</v>
      </c>
      <c r="B1908" s="373" t="s">
        <v>12399</v>
      </c>
      <c r="C1908" s="372" t="s">
        <v>12400</v>
      </c>
      <c r="D1908" s="374">
        <v>1101116679992</v>
      </c>
      <c r="E1908" s="372" t="s">
        <v>12401</v>
      </c>
      <c r="F1908" s="372" t="s">
        <v>3177</v>
      </c>
      <c r="G1908" s="375" t="s">
        <v>3178</v>
      </c>
      <c r="H1908" s="375" t="s">
        <v>1334</v>
      </c>
      <c r="I1908" s="375" t="s">
        <v>859</v>
      </c>
      <c r="J1908" s="375">
        <v>18520.299360000001</v>
      </c>
      <c r="K1908" s="375">
        <v>1532.2844600000001</v>
      </c>
      <c r="L1908" s="375">
        <v>1100.9288100000001</v>
      </c>
      <c r="M1908" s="375">
        <v>25295.778600000001</v>
      </c>
      <c r="N1908" s="372">
        <v>0.98599999999999999</v>
      </c>
      <c r="O1908" s="704">
        <v>8.9010220843883303</v>
      </c>
      <c r="P1908" s="375" t="s">
        <v>619</v>
      </c>
      <c r="Q1908" s="375" t="s">
        <v>619</v>
      </c>
      <c r="R1908" s="696">
        <v>20221208</v>
      </c>
      <c r="S1908" s="375" t="s">
        <v>12402</v>
      </c>
      <c r="T1908" s="697">
        <v>0.20900000000000002</v>
      </c>
      <c r="U1908" s="372" t="s">
        <v>12403</v>
      </c>
      <c r="V1908" s="722">
        <v>0</v>
      </c>
      <c r="W1908" s="722">
        <v>0</v>
      </c>
      <c r="X1908" s="722">
        <v>0</v>
      </c>
      <c r="Y1908" s="722">
        <v>0</v>
      </c>
      <c r="Z1908" s="382" t="s">
        <v>924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12404</v>
      </c>
      <c r="B1909" s="373" t="s">
        <v>12405</v>
      </c>
      <c r="C1909" s="372" t="s">
        <v>12406</v>
      </c>
      <c r="D1909" s="374">
        <v>1101112029456</v>
      </c>
      <c r="E1909" s="372" t="s">
        <v>12407</v>
      </c>
      <c r="F1909" s="375" t="s">
        <v>1793</v>
      </c>
      <c r="G1909" s="375" t="s">
        <v>2794</v>
      </c>
      <c r="H1909" s="375" t="s">
        <v>858</v>
      </c>
      <c r="I1909" s="375" t="s">
        <v>859</v>
      </c>
      <c r="J1909" s="375">
        <v>45630.709020000002</v>
      </c>
      <c r="K1909" s="375">
        <v>-1880.1694600000001</v>
      </c>
      <c r="L1909" s="375">
        <v>-1558.02503</v>
      </c>
      <c r="M1909" s="375">
        <v>49196.810129999998</v>
      </c>
      <c r="N1909" s="372">
        <v>0.8</v>
      </c>
      <c r="O1909" s="704">
        <v>4.3570332439499539</v>
      </c>
      <c r="P1909" s="375" t="s">
        <v>619</v>
      </c>
      <c r="Q1909" s="372" t="s">
        <v>619</v>
      </c>
      <c r="R1909" s="696">
        <v>20070620</v>
      </c>
      <c r="S1909" s="372" t="s">
        <v>12408</v>
      </c>
      <c r="T1909" s="697" t="s">
        <v>768</v>
      </c>
      <c r="U1909" s="372" t="s">
        <v>12409</v>
      </c>
      <c r="V1909" s="722" t="s">
        <v>770</v>
      </c>
      <c r="W1909" s="722">
        <v>0.66</v>
      </c>
      <c r="X1909" s="722">
        <v>0.76</v>
      </c>
      <c r="Y1909" s="722" t="s">
        <v>770</v>
      </c>
      <c r="Z1909" s="382" t="s">
        <v>924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12410</v>
      </c>
      <c r="B1910" s="373" t="s">
        <v>12411</v>
      </c>
      <c r="C1910" s="372" t="s">
        <v>12412</v>
      </c>
      <c r="D1910" s="374">
        <v>1350110040291</v>
      </c>
      <c r="E1910" s="372" t="s">
        <v>12413</v>
      </c>
      <c r="F1910" s="375" t="s">
        <v>12414</v>
      </c>
      <c r="G1910" s="375" t="s">
        <v>12415</v>
      </c>
      <c r="H1910" s="375" t="s">
        <v>858</v>
      </c>
      <c r="I1910" s="375" t="s">
        <v>859</v>
      </c>
      <c r="J1910" s="375">
        <v>229230.37984000001</v>
      </c>
      <c r="K1910" s="375">
        <v>7944.3859300000004</v>
      </c>
      <c r="L1910" s="375">
        <v>4592.8019700000004</v>
      </c>
      <c r="M1910" s="375">
        <v>108161.09711</v>
      </c>
      <c r="N1910" s="372">
        <v>0.58899999999999997</v>
      </c>
      <c r="O1910" s="704">
        <v>123.53234417548586</v>
      </c>
      <c r="P1910" s="375" t="s">
        <v>619</v>
      </c>
      <c r="Q1910" s="375" t="s">
        <v>619</v>
      </c>
      <c r="R1910" s="696">
        <v>19991218</v>
      </c>
      <c r="S1910" s="375" t="s">
        <v>12416</v>
      </c>
      <c r="T1910" s="697">
        <v>0.20900000000000002</v>
      </c>
      <c r="U1910" s="372" t="s">
        <v>12417</v>
      </c>
      <c r="V1910" s="722">
        <v>0</v>
      </c>
      <c r="W1910" s="722">
        <v>0</v>
      </c>
      <c r="X1910" s="722">
        <v>0</v>
      </c>
      <c r="Y1910" s="722">
        <v>0</v>
      </c>
      <c r="Z1910" s="382" t="s">
        <v>924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12418</v>
      </c>
      <c r="B1911" s="373" t="s">
        <v>12419</v>
      </c>
      <c r="C1911" s="372" t="s">
        <v>12420</v>
      </c>
      <c r="D1911" s="374">
        <v>1101111079155</v>
      </c>
      <c r="E1911" s="372" t="s">
        <v>12421</v>
      </c>
      <c r="F1911" s="372" t="s">
        <v>1428</v>
      </c>
      <c r="G1911" s="375" t="s">
        <v>12422</v>
      </c>
      <c r="H1911" s="375" t="s">
        <v>858</v>
      </c>
      <c r="I1911" s="375" t="s">
        <v>859</v>
      </c>
      <c r="J1911" s="375">
        <v>10885.11803</v>
      </c>
      <c r="K1911" s="375">
        <v>3841.8161799999998</v>
      </c>
      <c r="L1911" s="375">
        <v>5266.3376600000001</v>
      </c>
      <c r="M1911" s="375">
        <v>58757.481950000001</v>
      </c>
      <c r="N1911" s="372">
        <v>1.026</v>
      </c>
      <c r="O1911" s="704">
        <v>0</v>
      </c>
      <c r="P1911" s="375" t="s">
        <v>619</v>
      </c>
      <c r="Q1911" s="375" t="s">
        <v>619</v>
      </c>
      <c r="R1911" s="696">
        <v>20071226</v>
      </c>
      <c r="S1911" s="375" t="s">
        <v>12423</v>
      </c>
      <c r="T1911" s="697">
        <v>0.20900000000000002</v>
      </c>
      <c r="U1911" s="372" t="s">
        <v>12424</v>
      </c>
      <c r="V1911" s="722">
        <v>0</v>
      </c>
      <c r="W1911" s="722">
        <v>0</v>
      </c>
      <c r="X1911" s="722">
        <v>0</v>
      </c>
      <c r="Y1911" s="722">
        <v>0</v>
      </c>
      <c r="Z1911" s="382" t="s">
        <v>924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12425</v>
      </c>
      <c r="B1912" s="373" t="s">
        <v>12426</v>
      </c>
      <c r="C1912" s="372" t="s">
        <v>12427</v>
      </c>
      <c r="D1912" s="374">
        <v>1101111144073</v>
      </c>
      <c r="E1912" s="372" t="s">
        <v>12428</v>
      </c>
      <c r="F1912" s="375" t="s">
        <v>3195</v>
      </c>
      <c r="G1912" s="375" t="s">
        <v>3196</v>
      </c>
      <c r="H1912" s="375" t="s">
        <v>843</v>
      </c>
      <c r="I1912" s="375" t="s">
        <v>751</v>
      </c>
      <c r="J1912" s="375">
        <v>268007.35746000003</v>
      </c>
      <c r="K1912" s="375">
        <v>-11177.8346</v>
      </c>
      <c r="L1912" s="375">
        <v>-21559.601259999999</v>
      </c>
      <c r="M1912" s="375">
        <v>68396.313760000005</v>
      </c>
      <c r="N1912" s="372">
        <v>0.42899999999999999</v>
      </c>
      <c r="O1912" s="704">
        <v>332.32524479109196</v>
      </c>
      <c r="P1912" s="375" t="s">
        <v>619</v>
      </c>
      <c r="Q1912" s="372" t="s">
        <v>619</v>
      </c>
      <c r="R1912" s="696">
        <v>20110621</v>
      </c>
      <c r="S1912" s="372" t="s">
        <v>12429</v>
      </c>
      <c r="T1912" s="697" t="s">
        <v>768</v>
      </c>
      <c r="U1912" s="372" t="s">
        <v>12430</v>
      </c>
      <c r="V1912" s="722" t="s">
        <v>770</v>
      </c>
      <c r="W1912" s="722">
        <v>0.6</v>
      </c>
      <c r="X1912" s="722">
        <v>0.19</v>
      </c>
      <c r="Y1912" s="722" t="s">
        <v>770</v>
      </c>
      <c r="Z1912" s="382" t="s">
        <v>924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12431</v>
      </c>
      <c r="B1913" s="373" t="s">
        <v>12432</v>
      </c>
      <c r="C1913" s="372" t="s">
        <v>12433</v>
      </c>
      <c r="D1913" s="374">
        <v>1101110139190</v>
      </c>
      <c r="E1913" s="372" t="s">
        <v>12434</v>
      </c>
      <c r="F1913" s="375" t="s">
        <v>2086</v>
      </c>
      <c r="G1913" s="375" t="s">
        <v>2086</v>
      </c>
      <c r="H1913" s="375" t="s">
        <v>809</v>
      </c>
      <c r="I1913" s="375" t="s">
        <v>751</v>
      </c>
      <c r="J1913" s="375">
        <v>143851.06878999999</v>
      </c>
      <c r="K1913" s="375">
        <v>-4051.1063399999998</v>
      </c>
      <c r="L1913" s="375">
        <v>7667.1716699999997</v>
      </c>
      <c r="M1913" s="375">
        <v>188819.92283</v>
      </c>
      <c r="N1913" s="372">
        <v>0.96799999999999997</v>
      </c>
      <c r="O1913" s="704">
        <v>49.420161248256633</v>
      </c>
      <c r="P1913" s="375" t="s">
        <v>619</v>
      </c>
      <c r="Q1913" s="372" t="s">
        <v>619</v>
      </c>
      <c r="R1913" s="696">
        <v>19941105</v>
      </c>
      <c r="S1913" s="372" t="s">
        <v>12435</v>
      </c>
      <c r="T1913" s="697">
        <v>0.20900000000000002</v>
      </c>
      <c r="U1913" s="372" t="s">
        <v>12436</v>
      </c>
      <c r="V1913" s="722">
        <v>0</v>
      </c>
      <c r="W1913" s="722">
        <v>0</v>
      </c>
      <c r="X1913" s="722">
        <v>0</v>
      </c>
      <c r="Y1913" s="722">
        <v>0</v>
      </c>
      <c r="Z1913" s="382" t="s">
        <v>924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12437</v>
      </c>
      <c r="B1914" s="373" t="s">
        <v>12438</v>
      </c>
      <c r="C1914" s="372" t="s">
        <v>12439</v>
      </c>
      <c r="D1914" s="374">
        <v>1101110038326</v>
      </c>
      <c r="E1914" s="372" t="s">
        <v>12440</v>
      </c>
      <c r="F1914" s="372" t="s">
        <v>1078</v>
      </c>
      <c r="G1914" s="375" t="s">
        <v>5311</v>
      </c>
      <c r="H1914" s="375" t="s">
        <v>814</v>
      </c>
      <c r="I1914" s="375" t="s">
        <v>751</v>
      </c>
      <c r="J1914" s="375">
        <v>418657.39191000001</v>
      </c>
      <c r="K1914" s="375">
        <v>2204.0279399999999</v>
      </c>
      <c r="L1914" s="375">
        <v>10994.80264</v>
      </c>
      <c r="M1914" s="375">
        <v>155783.28899999999</v>
      </c>
      <c r="N1914" s="372">
        <v>0.85699999999999998</v>
      </c>
      <c r="O1914" s="704">
        <v>56.755521209822831</v>
      </c>
      <c r="P1914" s="375" t="s">
        <v>619</v>
      </c>
      <c r="Q1914" s="372" t="s">
        <v>619</v>
      </c>
      <c r="R1914" s="696">
        <v>20110428</v>
      </c>
      <c r="S1914" s="372" t="s">
        <v>12441</v>
      </c>
      <c r="T1914" s="697">
        <v>0.20900000000000002</v>
      </c>
      <c r="U1914" s="372" t="s">
        <v>12442</v>
      </c>
      <c r="V1914" s="722">
        <v>0</v>
      </c>
      <c r="W1914" s="722">
        <v>0</v>
      </c>
      <c r="X1914" s="722">
        <v>0</v>
      </c>
      <c r="Y1914" s="722">
        <v>0</v>
      </c>
      <c r="Z1914" s="382" t="s">
        <v>924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12443</v>
      </c>
      <c r="B1915" s="373" t="s">
        <v>12444</v>
      </c>
      <c r="C1915" s="372" t="s">
        <v>12445</v>
      </c>
      <c r="D1915" s="374">
        <v>1101110522618</v>
      </c>
      <c r="E1915" s="372" t="s">
        <v>12446</v>
      </c>
      <c r="F1915" s="375" t="s">
        <v>2647</v>
      </c>
      <c r="G1915" s="375" t="s">
        <v>2647</v>
      </c>
      <c r="H1915" s="375" t="s">
        <v>1465</v>
      </c>
      <c r="I1915" s="375" t="s">
        <v>751</v>
      </c>
      <c r="J1915" s="375">
        <v>121943.22882</v>
      </c>
      <c r="K1915" s="375">
        <v>2948.9182300000002</v>
      </c>
      <c r="L1915" s="375">
        <v>-1017.44112</v>
      </c>
      <c r="M1915" s="375">
        <v>171753.87878999999</v>
      </c>
      <c r="N1915" s="372">
        <v>0.74</v>
      </c>
      <c r="O1915" s="704">
        <v>171.11817114786257</v>
      </c>
      <c r="P1915" s="375" t="s">
        <v>619</v>
      </c>
      <c r="Q1915" s="375" t="s">
        <v>619</v>
      </c>
      <c r="R1915" s="696">
        <v>19900914</v>
      </c>
      <c r="S1915" s="372" t="s">
        <v>12447</v>
      </c>
      <c r="T1915" s="697" t="s">
        <v>768</v>
      </c>
      <c r="U1915" s="372" t="s">
        <v>12448</v>
      </c>
      <c r="V1915" s="722">
        <v>18.420000000000002</v>
      </c>
      <c r="W1915" s="722">
        <v>0.41</v>
      </c>
      <c r="X1915" s="722">
        <v>0.43</v>
      </c>
      <c r="Y1915" s="722" t="s">
        <v>770</v>
      </c>
      <c r="Z1915" s="382" t="s">
        <v>924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12449</v>
      </c>
      <c r="B1916" s="373" t="s">
        <v>12450</v>
      </c>
      <c r="C1916" s="372" t="s">
        <v>12451</v>
      </c>
      <c r="D1916" s="374">
        <v>1347110000333</v>
      </c>
      <c r="E1916" s="372" t="s">
        <v>12452</v>
      </c>
      <c r="F1916" s="372" t="s">
        <v>7209</v>
      </c>
      <c r="G1916" s="375" t="s">
        <v>7209</v>
      </c>
      <c r="H1916" s="375" t="s">
        <v>3954</v>
      </c>
      <c r="I1916" s="375" t="s">
        <v>751</v>
      </c>
      <c r="J1916" s="375">
        <v>162487.59546000001</v>
      </c>
      <c r="K1916" s="375">
        <v>4366.2598699999999</v>
      </c>
      <c r="L1916" s="375">
        <v>49477.826710000001</v>
      </c>
      <c r="M1916" s="375">
        <v>261236.94706000001</v>
      </c>
      <c r="N1916" s="372">
        <v>0.53300000000000003</v>
      </c>
      <c r="O1916" s="704">
        <v>17.483100993915659</v>
      </c>
      <c r="P1916" s="375" t="s">
        <v>619</v>
      </c>
      <c r="Q1916" s="372" t="s">
        <v>619</v>
      </c>
      <c r="R1916" s="696">
        <v>20061017</v>
      </c>
      <c r="S1916" s="372" t="s">
        <v>12453</v>
      </c>
      <c r="T1916" s="697">
        <v>0.23100000000000001</v>
      </c>
      <c r="U1916" s="372" t="s">
        <v>12454</v>
      </c>
      <c r="V1916" s="722">
        <v>0</v>
      </c>
      <c r="W1916" s="722">
        <v>0</v>
      </c>
      <c r="X1916" s="722">
        <v>0</v>
      </c>
      <c r="Y1916" s="722">
        <v>0</v>
      </c>
      <c r="Z1916" s="382" t="s">
        <v>924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12455</v>
      </c>
      <c r="B1917" s="373" t="s">
        <v>12456</v>
      </c>
      <c r="C1917" s="372" t="s">
        <v>12457</v>
      </c>
      <c r="D1917" s="374">
        <v>1243110015051</v>
      </c>
      <c r="E1917" s="372" t="s">
        <v>12458</v>
      </c>
      <c r="F1917" s="375" t="s">
        <v>1456</v>
      </c>
      <c r="G1917" s="375" t="s">
        <v>5640</v>
      </c>
      <c r="H1917" s="375" t="s">
        <v>906</v>
      </c>
      <c r="I1917" s="375" t="s">
        <v>751</v>
      </c>
      <c r="J1917" s="375">
        <v>704334.56131000002</v>
      </c>
      <c r="K1917" s="375">
        <v>3970.0861599999998</v>
      </c>
      <c r="L1917" s="375">
        <v>-23835.186549999999</v>
      </c>
      <c r="M1917" s="375">
        <v>80910.288310000004</v>
      </c>
      <c r="N1917" s="372">
        <v>0.91500000000000004</v>
      </c>
      <c r="O1917" s="704">
        <v>696.95597154963673</v>
      </c>
      <c r="P1917" s="375" t="s">
        <v>619</v>
      </c>
      <c r="Q1917" s="372" t="s">
        <v>619</v>
      </c>
      <c r="R1917" s="696">
        <v>19890725</v>
      </c>
      <c r="S1917" s="372" t="s">
        <v>12459</v>
      </c>
      <c r="T1917" s="697" t="s">
        <v>768</v>
      </c>
      <c r="U1917" s="372" t="s">
        <v>12460</v>
      </c>
      <c r="V1917" s="722">
        <v>9.5</v>
      </c>
      <c r="W1917" s="722">
        <v>0.59</v>
      </c>
      <c r="X1917" s="722">
        <v>0.06</v>
      </c>
      <c r="Y1917" s="722" t="s">
        <v>770</v>
      </c>
      <c r="Z1917" s="382" t="s">
        <v>924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12461</v>
      </c>
      <c r="B1918" s="373" t="s">
        <v>12462</v>
      </c>
      <c r="C1918" s="372" t="s">
        <v>12463</v>
      </c>
      <c r="D1918" s="374">
        <v>1101117417458</v>
      </c>
      <c r="E1918" s="372" t="s">
        <v>12464</v>
      </c>
      <c r="F1918" s="372" t="s">
        <v>1182</v>
      </c>
      <c r="G1918" s="375" t="s">
        <v>3112</v>
      </c>
      <c r="H1918" s="375" t="s">
        <v>858</v>
      </c>
      <c r="I1918" s="375" t="s">
        <v>859</v>
      </c>
      <c r="J1918" s="375">
        <v>9211.0278199999993</v>
      </c>
      <c r="K1918" s="375">
        <v>-9482.6458600000005</v>
      </c>
      <c r="L1918" s="375">
        <v>-9802.60196</v>
      </c>
      <c r="M1918" s="375">
        <v>16527.18016</v>
      </c>
      <c r="N1918" s="372">
        <v>0.89400000000000002</v>
      </c>
      <c r="O1918" s="704">
        <v>41.628073381881805</v>
      </c>
      <c r="P1918" s="375" t="s">
        <v>619</v>
      </c>
      <c r="Q1918" s="372" t="s">
        <v>619</v>
      </c>
      <c r="R1918" s="696">
        <v>20200622</v>
      </c>
      <c r="S1918" s="372" t="s">
        <v>12465</v>
      </c>
      <c r="T1918" s="697" t="s">
        <v>768</v>
      </c>
      <c r="U1918" s="372" t="s">
        <v>12466</v>
      </c>
      <c r="V1918" s="722" t="s">
        <v>770</v>
      </c>
      <c r="W1918" s="722">
        <v>2.64</v>
      </c>
      <c r="X1918" s="722">
        <v>4.21</v>
      </c>
      <c r="Y1918" s="722" t="s">
        <v>770</v>
      </c>
      <c r="Z1918" s="382" t="s">
        <v>924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12467</v>
      </c>
      <c r="B1919" s="373" t="s">
        <v>12468</v>
      </c>
      <c r="C1919" s="372" t="s">
        <v>12469</v>
      </c>
      <c r="D1919" s="374">
        <v>1601110001167</v>
      </c>
      <c r="E1919" s="372" t="s">
        <v>12470</v>
      </c>
      <c r="F1919" s="372" t="s">
        <v>4830</v>
      </c>
      <c r="G1919" s="375" t="s">
        <v>4830</v>
      </c>
      <c r="H1919" s="375" t="s">
        <v>1313</v>
      </c>
      <c r="I1919" s="375" t="s">
        <v>751</v>
      </c>
      <c r="J1919" s="375">
        <v>617224.53108999995</v>
      </c>
      <c r="K1919" s="375">
        <v>8110.97462</v>
      </c>
      <c r="L1919" s="375">
        <v>15106.59261</v>
      </c>
      <c r="M1919" s="375">
        <v>184406.42173999999</v>
      </c>
      <c r="N1919" s="372">
        <v>0.82</v>
      </c>
      <c r="O1919" s="704">
        <v>384.38570209246541</v>
      </c>
      <c r="P1919" s="375" t="s">
        <v>619</v>
      </c>
      <c r="Q1919" s="372" t="s">
        <v>619</v>
      </c>
      <c r="R1919" s="696">
        <v>19881010</v>
      </c>
      <c r="S1919" s="372" t="s">
        <v>12471</v>
      </c>
      <c r="T1919" s="697">
        <v>0.20900000000000002</v>
      </c>
      <c r="U1919" s="372" t="s">
        <v>12472</v>
      </c>
      <c r="V1919" s="722">
        <v>9.32</v>
      </c>
      <c r="W1919" s="722">
        <v>0.26</v>
      </c>
      <c r="X1919" s="722">
        <v>0.08</v>
      </c>
      <c r="Y1919" s="722">
        <v>4</v>
      </c>
      <c r="Z1919" s="382" t="s">
        <v>924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12473</v>
      </c>
      <c r="B1920" s="373" t="s">
        <v>12474</v>
      </c>
      <c r="C1920" s="372" t="s">
        <v>12475</v>
      </c>
      <c r="D1920" s="374">
        <v>1101111773799</v>
      </c>
      <c r="E1920" s="372" t="s">
        <v>12476</v>
      </c>
      <c r="F1920" s="372" t="s">
        <v>5275</v>
      </c>
      <c r="G1920" s="375" t="s">
        <v>5275</v>
      </c>
      <c r="H1920" s="375" t="s">
        <v>858</v>
      </c>
      <c r="I1920" s="375" t="s">
        <v>859</v>
      </c>
      <c r="J1920" s="375">
        <v>190927.67683000001</v>
      </c>
      <c r="K1920" s="375">
        <v>11646.358340000001</v>
      </c>
      <c r="L1920" s="375">
        <v>12223.811729999999</v>
      </c>
      <c r="M1920" s="375">
        <v>83042.961939999994</v>
      </c>
      <c r="N1920" s="372">
        <v>0.73</v>
      </c>
      <c r="O1920" s="704">
        <v>14.246293814110732</v>
      </c>
      <c r="P1920" s="375" t="s">
        <v>619</v>
      </c>
      <c r="Q1920" s="372" t="s">
        <v>619</v>
      </c>
      <c r="R1920" s="696">
        <v>20180723</v>
      </c>
      <c r="S1920" s="372" t="s">
        <v>12477</v>
      </c>
      <c r="T1920" s="697">
        <v>0.20900000000000002</v>
      </c>
      <c r="U1920" s="372" t="s">
        <v>12478</v>
      </c>
      <c r="V1920" s="722">
        <v>3.42</v>
      </c>
      <c r="W1920" s="722">
        <v>0.64</v>
      </c>
      <c r="X1920" s="722">
        <v>0.28000000000000003</v>
      </c>
      <c r="Y1920" s="722">
        <v>5.34</v>
      </c>
      <c r="Z1920" s="382" t="s">
        <v>924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12479</v>
      </c>
      <c r="B1921" s="373" t="s">
        <v>12480</v>
      </c>
      <c r="C1921" s="372" t="s">
        <v>12481</v>
      </c>
      <c r="D1921" s="374">
        <v>1812110008538</v>
      </c>
      <c r="E1921" s="372" t="s">
        <v>12482</v>
      </c>
      <c r="F1921" s="372" t="s">
        <v>2341</v>
      </c>
      <c r="G1921" s="375" t="s">
        <v>2341</v>
      </c>
      <c r="H1921" s="375" t="s">
        <v>858</v>
      </c>
      <c r="I1921" s="375" t="s">
        <v>859</v>
      </c>
      <c r="J1921" s="375">
        <v>235541.15325</v>
      </c>
      <c r="K1921" s="375">
        <v>-7452.2280000000001</v>
      </c>
      <c r="L1921" s="375">
        <v>-11401.86004</v>
      </c>
      <c r="M1921" s="375">
        <v>48797.118569999999</v>
      </c>
      <c r="N1921" s="372">
        <v>1.042</v>
      </c>
      <c r="O1921" s="704">
        <v>227.3739284223756</v>
      </c>
      <c r="P1921" s="375" t="s">
        <v>619</v>
      </c>
      <c r="Q1921" s="375" t="s">
        <v>619</v>
      </c>
      <c r="R1921" s="696">
        <v>20140812</v>
      </c>
      <c r="S1921" s="375" t="s">
        <v>12483</v>
      </c>
      <c r="T1921" s="697" t="s">
        <v>768</v>
      </c>
      <c r="U1921" s="372" t="s">
        <v>12484</v>
      </c>
      <c r="V1921" s="722">
        <v>16.93</v>
      </c>
      <c r="W1921" s="722">
        <v>0.84</v>
      </c>
      <c r="X1921" s="722">
        <v>0.13</v>
      </c>
      <c r="Y1921" s="722" t="s">
        <v>770</v>
      </c>
      <c r="Z1921" s="382" t="s">
        <v>924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12485</v>
      </c>
      <c r="B1922" s="373" t="s">
        <v>12486</v>
      </c>
      <c r="C1922" s="372" t="s">
        <v>12487</v>
      </c>
      <c r="D1922" s="374">
        <v>1201110000323</v>
      </c>
      <c r="E1922" s="372" t="s">
        <v>12488</v>
      </c>
      <c r="F1922" s="375" t="s">
        <v>1860</v>
      </c>
      <c r="G1922" s="375" t="s">
        <v>1861</v>
      </c>
      <c r="H1922" s="375" t="s">
        <v>789</v>
      </c>
      <c r="I1922" s="375" t="s">
        <v>751</v>
      </c>
      <c r="J1922" s="375">
        <v>743788.13567999995</v>
      </c>
      <c r="K1922" s="375">
        <v>-62443.618419999999</v>
      </c>
      <c r="L1922" s="375">
        <v>-87681.250889999996</v>
      </c>
      <c r="M1922" s="375">
        <v>223500.03601000001</v>
      </c>
      <c r="N1922" s="372">
        <v>0.34699999999999998</v>
      </c>
      <c r="O1922" s="704">
        <v>1250.8715129187335</v>
      </c>
      <c r="P1922" s="375" t="s">
        <v>619</v>
      </c>
      <c r="Q1922" s="372" t="s">
        <v>619</v>
      </c>
      <c r="R1922" s="696">
        <v>20161202</v>
      </c>
      <c r="S1922" s="372" t="s">
        <v>12489</v>
      </c>
      <c r="T1922" s="697" t="s">
        <v>768</v>
      </c>
      <c r="U1922" s="372" t="s">
        <v>12490</v>
      </c>
      <c r="V1922" s="722" t="s">
        <v>770</v>
      </c>
      <c r="W1922" s="722">
        <v>0.21</v>
      </c>
      <c r="X1922" s="722">
        <v>7.0000000000000007E-2</v>
      </c>
      <c r="Y1922" s="722" t="s">
        <v>770</v>
      </c>
      <c r="Z1922" s="382" t="s">
        <v>924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12491</v>
      </c>
      <c r="B1923" s="373" t="s">
        <v>12492</v>
      </c>
      <c r="C1923" s="372" t="s">
        <v>12493</v>
      </c>
      <c r="D1923" s="374">
        <v>1101110339691</v>
      </c>
      <c r="E1923" s="372" t="s">
        <v>12494</v>
      </c>
      <c r="F1923" s="375" t="s">
        <v>2100</v>
      </c>
      <c r="G1923" s="375" t="s">
        <v>2100</v>
      </c>
      <c r="H1923" s="375" t="s">
        <v>892</v>
      </c>
      <c r="I1923" s="375" t="s">
        <v>859</v>
      </c>
      <c r="J1923" s="375">
        <v>0</v>
      </c>
      <c r="K1923" s="375">
        <v>0</v>
      </c>
      <c r="L1923" s="375">
        <v>0</v>
      </c>
      <c r="M1923" s="375">
        <v>0</v>
      </c>
      <c r="N1923" s="372">
        <v>0.752</v>
      </c>
      <c r="O1923" s="704" t="s">
        <v>16298</v>
      </c>
      <c r="P1923" s="375" t="s">
        <v>619</v>
      </c>
      <c r="Q1923" s="372" t="s">
        <v>619</v>
      </c>
      <c r="R1923" s="696">
        <v>19930614</v>
      </c>
      <c r="S1923" s="372" t="s">
        <v>12495</v>
      </c>
      <c r="T1923" s="697" t="s">
        <v>768</v>
      </c>
      <c r="U1923" s="372" t="s">
        <v>12496</v>
      </c>
      <c r="V1923" s="722">
        <v>0</v>
      </c>
      <c r="W1923" s="722">
        <v>0</v>
      </c>
      <c r="X1923" s="722">
        <v>0</v>
      </c>
      <c r="Y1923" s="722">
        <v>0</v>
      </c>
      <c r="Z1923" s="382" t="s">
        <v>924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12497</v>
      </c>
      <c r="B1924" s="373" t="s">
        <v>12498</v>
      </c>
      <c r="C1924" s="372" t="s">
        <v>12499</v>
      </c>
      <c r="D1924" s="374">
        <v>1301110028935</v>
      </c>
      <c r="E1924" s="372" t="s">
        <v>12500</v>
      </c>
      <c r="F1924" s="375" t="s">
        <v>12205</v>
      </c>
      <c r="G1924" s="375" t="s">
        <v>12205</v>
      </c>
      <c r="H1924" s="375" t="s">
        <v>858</v>
      </c>
      <c r="I1924" s="375" t="s">
        <v>859</v>
      </c>
      <c r="J1924" s="375">
        <v>464134.06117</v>
      </c>
      <c r="K1924" s="375">
        <v>-3735.0556299999998</v>
      </c>
      <c r="L1924" s="375">
        <v>-18424.068139999999</v>
      </c>
      <c r="M1924" s="375">
        <v>360246.63598000002</v>
      </c>
      <c r="N1924" s="372">
        <v>0.56399999999999995</v>
      </c>
      <c r="O1924" s="704">
        <v>361.05602014188941</v>
      </c>
      <c r="P1924" s="375" t="s">
        <v>619</v>
      </c>
      <c r="Q1924" s="372" t="s">
        <v>619</v>
      </c>
      <c r="R1924" s="696">
        <v>20000502</v>
      </c>
      <c r="S1924" s="372" t="s">
        <v>12501</v>
      </c>
      <c r="T1924" s="697" t="s">
        <v>768</v>
      </c>
      <c r="U1924" s="372" t="s">
        <v>15941</v>
      </c>
      <c r="V1924" s="722">
        <v>25.89</v>
      </c>
      <c r="W1924" s="722">
        <v>0.36</v>
      </c>
      <c r="X1924" s="722">
        <v>0.15</v>
      </c>
      <c r="Y1924" s="722" t="s">
        <v>770</v>
      </c>
      <c r="Z1924" s="382" t="s">
        <v>924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12502</v>
      </c>
      <c r="B1925" s="373" t="s">
        <v>12503</v>
      </c>
      <c r="C1925" s="372" t="s">
        <v>12504</v>
      </c>
      <c r="D1925" s="374">
        <v>1101118466280</v>
      </c>
      <c r="E1925" s="372" t="s">
        <v>12505</v>
      </c>
      <c r="F1925" s="375" t="s">
        <v>12205</v>
      </c>
      <c r="G1925" s="375" t="s">
        <v>12506</v>
      </c>
      <c r="H1925" s="375" t="s">
        <v>3954</v>
      </c>
      <c r="I1925" s="375" t="s">
        <v>751</v>
      </c>
      <c r="J1925" s="375">
        <v>191298.95277</v>
      </c>
      <c r="K1925" s="375">
        <v>2661.34031</v>
      </c>
      <c r="L1925" s="375">
        <v>7725.7688500000004</v>
      </c>
      <c r="M1925" s="375">
        <v>196405.19886999999</v>
      </c>
      <c r="N1925" s="372">
        <v>0.67600000000000005</v>
      </c>
      <c r="O1925" s="704">
        <v>45.873394906142991</v>
      </c>
      <c r="P1925" s="375" t="s">
        <v>619</v>
      </c>
      <c r="Q1925" s="372" t="s">
        <v>619</v>
      </c>
      <c r="R1925" s="696">
        <v>20221128</v>
      </c>
      <c r="S1925" s="372" t="s">
        <v>12507</v>
      </c>
      <c r="T1925" s="697">
        <v>0.20900000000000002</v>
      </c>
      <c r="U1925" s="372" t="s">
        <v>12508</v>
      </c>
      <c r="V1925" s="722">
        <v>0</v>
      </c>
      <c r="W1925" s="722">
        <v>0</v>
      </c>
      <c r="X1925" s="722">
        <v>0</v>
      </c>
      <c r="Y1925" s="722">
        <v>0</v>
      </c>
      <c r="Z1925" s="382" t="s">
        <v>924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12509</v>
      </c>
      <c r="B1926" s="373" t="s">
        <v>12510</v>
      </c>
      <c r="C1926" s="372" t="s">
        <v>12511</v>
      </c>
      <c r="D1926" s="374">
        <v>1156110001401</v>
      </c>
      <c r="E1926" s="372" t="s">
        <v>12512</v>
      </c>
      <c r="F1926" s="375" t="s">
        <v>12414</v>
      </c>
      <c r="G1926" s="375" t="s">
        <v>12415</v>
      </c>
      <c r="H1926" s="375" t="s">
        <v>858</v>
      </c>
      <c r="I1926" s="375" t="s">
        <v>859</v>
      </c>
      <c r="J1926" s="375">
        <v>92783.848639999997</v>
      </c>
      <c r="K1926" s="375">
        <v>2873.3880100000001</v>
      </c>
      <c r="L1926" s="375">
        <v>2625.4560999999999</v>
      </c>
      <c r="M1926" s="375">
        <v>59865.705269999999</v>
      </c>
      <c r="N1926" s="372">
        <v>0.73799999999999999</v>
      </c>
      <c r="O1926" s="704">
        <v>56.028396679167912</v>
      </c>
      <c r="P1926" s="375" t="s">
        <v>619</v>
      </c>
      <c r="Q1926" s="372" t="s">
        <v>619</v>
      </c>
      <c r="R1926" s="696">
        <v>19921222</v>
      </c>
      <c r="S1926" s="372" t="s">
        <v>12513</v>
      </c>
      <c r="T1926" s="697">
        <v>0.20900000000000002</v>
      </c>
      <c r="U1926" s="372" t="s">
        <v>12514</v>
      </c>
      <c r="V1926" s="722">
        <v>12.16</v>
      </c>
      <c r="W1926" s="722">
        <v>0.99</v>
      </c>
      <c r="X1926" s="722">
        <v>0.65</v>
      </c>
      <c r="Y1926" s="722">
        <v>27.35</v>
      </c>
      <c r="Z1926" s="382" t="s">
        <v>924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12515</v>
      </c>
      <c r="B1927" s="373" t="s">
        <v>12516</v>
      </c>
      <c r="C1927" s="372" t="s">
        <v>12517</v>
      </c>
      <c r="D1927" s="374">
        <v>1101115877480</v>
      </c>
      <c r="E1927" s="372" t="s">
        <v>12518</v>
      </c>
      <c r="F1927" s="375" t="s">
        <v>2715</v>
      </c>
      <c r="G1927" s="375" t="s">
        <v>2715</v>
      </c>
      <c r="H1927" s="375" t="s">
        <v>1334</v>
      </c>
      <c r="I1927" s="375" t="s">
        <v>859</v>
      </c>
      <c r="J1927" s="375">
        <v>6169.8570399999999</v>
      </c>
      <c r="K1927" s="375">
        <v>-13131.16066</v>
      </c>
      <c r="L1927" s="375">
        <v>-16648.355780000002</v>
      </c>
      <c r="M1927" s="375">
        <v>9635.4049099999993</v>
      </c>
      <c r="N1927" s="372">
        <v>0.998</v>
      </c>
      <c r="O1927" s="704">
        <v>32.370946463302197</v>
      </c>
      <c r="P1927" s="375" t="s">
        <v>619</v>
      </c>
      <c r="Q1927" s="372" t="s">
        <v>619</v>
      </c>
      <c r="R1927" s="696">
        <v>20201210</v>
      </c>
      <c r="S1927" s="372" t="s">
        <v>12519</v>
      </c>
      <c r="T1927" s="697" t="s">
        <v>768</v>
      </c>
      <c r="U1927" s="372" t="s">
        <v>12520</v>
      </c>
      <c r="V1927" s="722" t="s">
        <v>770</v>
      </c>
      <c r="W1927" s="722">
        <v>5.47</v>
      </c>
      <c r="X1927" s="722">
        <v>7.71</v>
      </c>
      <c r="Y1927" s="722" t="s">
        <v>770</v>
      </c>
      <c r="Z1927" s="382" t="s">
        <v>924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12521</v>
      </c>
      <c r="B1928" s="373" t="s">
        <v>12522</v>
      </c>
      <c r="C1928" s="372" t="s">
        <v>12523</v>
      </c>
      <c r="D1928" s="374">
        <v>1101110028939</v>
      </c>
      <c r="E1928" s="372" t="s">
        <v>12524</v>
      </c>
      <c r="F1928" s="372" t="s">
        <v>1860</v>
      </c>
      <c r="G1928" s="375" t="s">
        <v>1861</v>
      </c>
      <c r="H1928" s="375" t="s">
        <v>789</v>
      </c>
      <c r="I1928" s="375" t="s">
        <v>751</v>
      </c>
      <c r="J1928" s="375">
        <v>673064.03803000005</v>
      </c>
      <c r="K1928" s="375">
        <v>-3720.3304699999999</v>
      </c>
      <c r="L1928" s="375">
        <v>15681.20549</v>
      </c>
      <c r="M1928" s="375">
        <v>205598.85060999999</v>
      </c>
      <c r="N1928" s="372">
        <v>0.61599999999999999</v>
      </c>
      <c r="O1928" s="704">
        <v>327.58494000546636</v>
      </c>
      <c r="P1928" s="375" t="s">
        <v>619</v>
      </c>
      <c r="Q1928" s="375" t="s">
        <v>619</v>
      </c>
      <c r="R1928" s="696">
        <v>19900915</v>
      </c>
      <c r="S1928" s="375" t="s">
        <v>12525</v>
      </c>
      <c r="T1928" s="697">
        <v>0.20900000000000002</v>
      </c>
      <c r="U1928" s="372" t="s">
        <v>15942</v>
      </c>
      <c r="V1928" s="722">
        <v>7.03</v>
      </c>
      <c r="W1928" s="722">
        <v>0.32</v>
      </c>
      <c r="X1928" s="722">
        <v>0.1</v>
      </c>
      <c r="Y1928" s="722">
        <v>5.5</v>
      </c>
      <c r="Z1928" s="382" t="s">
        <v>924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12526</v>
      </c>
      <c r="B1929" s="373" t="s">
        <v>12527</v>
      </c>
      <c r="C1929" s="372" t="s">
        <v>12528</v>
      </c>
      <c r="D1929" s="374">
        <v>1101111539597</v>
      </c>
      <c r="E1929" s="372" t="s">
        <v>12529</v>
      </c>
      <c r="F1929" s="375" t="s">
        <v>6607</v>
      </c>
      <c r="G1929" s="375" t="s">
        <v>6607</v>
      </c>
      <c r="H1929" s="375" t="s">
        <v>858</v>
      </c>
      <c r="I1929" s="375" t="s">
        <v>859</v>
      </c>
      <c r="J1929" s="375">
        <v>161546.20525</v>
      </c>
      <c r="K1929" s="375">
        <v>9196.8192400000007</v>
      </c>
      <c r="L1929" s="375">
        <v>14187.491679999999</v>
      </c>
      <c r="M1929" s="375">
        <v>96379.261369999993</v>
      </c>
      <c r="N1929" s="372">
        <v>0.79900000000000004</v>
      </c>
      <c r="O1929" s="704">
        <v>1.3072031523133709</v>
      </c>
      <c r="P1929" s="375" t="s">
        <v>619</v>
      </c>
      <c r="Q1929" s="372" t="s">
        <v>619</v>
      </c>
      <c r="R1929" s="696">
        <v>20000718</v>
      </c>
      <c r="S1929" s="372" t="s">
        <v>12530</v>
      </c>
      <c r="T1929" s="697">
        <v>0.20900000000000002</v>
      </c>
      <c r="U1929" s="372" t="s">
        <v>12531</v>
      </c>
      <c r="V1929" s="722">
        <v>0</v>
      </c>
      <c r="W1929" s="722">
        <v>0</v>
      </c>
      <c r="X1929" s="722">
        <v>0</v>
      </c>
      <c r="Y1929" s="722">
        <v>0</v>
      </c>
      <c r="Z1929" s="382" t="s">
        <v>924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12532</v>
      </c>
      <c r="B1930" s="373" t="s">
        <v>12533</v>
      </c>
      <c r="C1930" s="372" t="s">
        <v>12534</v>
      </c>
      <c r="D1930" s="374">
        <v>1101114256924</v>
      </c>
      <c r="E1930" s="372" t="s">
        <v>12535</v>
      </c>
      <c r="F1930" s="372" t="s">
        <v>2665</v>
      </c>
      <c r="G1930" s="375" t="s">
        <v>2665</v>
      </c>
      <c r="H1930" s="375" t="s">
        <v>858</v>
      </c>
      <c r="I1930" s="375" t="s">
        <v>859</v>
      </c>
      <c r="J1930" s="375">
        <v>63530.270949999998</v>
      </c>
      <c r="K1930" s="375">
        <v>9211.4376799999991</v>
      </c>
      <c r="L1930" s="375">
        <v>7215.6068299999997</v>
      </c>
      <c r="M1930" s="375">
        <v>44935.789920000003</v>
      </c>
      <c r="N1930" s="372">
        <v>0.58299999999999996</v>
      </c>
      <c r="O1930" s="704">
        <v>60.721230468235099</v>
      </c>
      <c r="P1930" s="375" t="s">
        <v>619</v>
      </c>
      <c r="Q1930" s="372" t="s">
        <v>619</v>
      </c>
      <c r="R1930" s="696">
        <v>20180201</v>
      </c>
      <c r="S1930" s="372" t="s">
        <v>12536</v>
      </c>
      <c r="T1930" s="697">
        <v>0.20900000000000002</v>
      </c>
      <c r="U1930" s="372" t="s">
        <v>12537</v>
      </c>
      <c r="V1930" s="722">
        <v>3.46</v>
      </c>
      <c r="W1930" s="722">
        <v>0.99</v>
      </c>
      <c r="X1930" s="722">
        <v>0.7</v>
      </c>
      <c r="Y1930" s="722">
        <v>8.68</v>
      </c>
      <c r="Z1930" s="382" t="s">
        <v>924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12538</v>
      </c>
      <c r="B1931" s="373" t="s">
        <v>12539</v>
      </c>
      <c r="C1931" s="372" t="s">
        <v>12540</v>
      </c>
      <c r="D1931" s="374">
        <v>1412110006738</v>
      </c>
      <c r="E1931" s="372" t="s">
        <v>12541</v>
      </c>
      <c r="F1931" s="372" t="s">
        <v>2072</v>
      </c>
      <c r="G1931" s="375" t="s">
        <v>2072</v>
      </c>
      <c r="H1931" s="375" t="s">
        <v>858</v>
      </c>
      <c r="I1931" s="375" t="s">
        <v>859</v>
      </c>
      <c r="J1931" s="375">
        <v>265720.33954000002</v>
      </c>
      <c r="K1931" s="375">
        <v>11698.23064</v>
      </c>
      <c r="L1931" s="375">
        <v>25313.96038</v>
      </c>
      <c r="M1931" s="375">
        <v>273741.78402999998</v>
      </c>
      <c r="N1931" s="372">
        <v>0.94599999999999995</v>
      </c>
      <c r="O1931" s="704">
        <v>63.394264043142933</v>
      </c>
      <c r="P1931" s="375" t="s">
        <v>619</v>
      </c>
      <c r="Q1931" s="375" t="s">
        <v>619</v>
      </c>
      <c r="R1931" s="696">
        <v>19991222</v>
      </c>
      <c r="S1931" s="375" t="s">
        <v>12542</v>
      </c>
      <c r="T1931" s="697">
        <v>0.23100000000000001</v>
      </c>
      <c r="U1931" s="372" t="s">
        <v>12543</v>
      </c>
      <c r="V1931" s="722">
        <v>13.1</v>
      </c>
      <c r="W1931" s="722">
        <v>0.47</v>
      </c>
      <c r="X1931" s="722">
        <v>0.2</v>
      </c>
      <c r="Y1931" s="722">
        <v>2.52</v>
      </c>
      <c r="Z1931" s="382" t="s">
        <v>924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12544</v>
      </c>
      <c r="B1932" s="373" t="s">
        <v>12545</v>
      </c>
      <c r="C1932" s="372" t="s">
        <v>12546</v>
      </c>
      <c r="D1932" s="374">
        <v>1350110029881</v>
      </c>
      <c r="E1932" s="372" t="s">
        <v>12547</v>
      </c>
      <c r="F1932" s="375" t="s">
        <v>12548</v>
      </c>
      <c r="G1932" s="375" t="s">
        <v>16126</v>
      </c>
      <c r="H1932" s="375" t="s">
        <v>809</v>
      </c>
      <c r="I1932" s="375" t="s">
        <v>751</v>
      </c>
      <c r="J1932" s="375">
        <v>911164.46071999997</v>
      </c>
      <c r="K1932" s="375">
        <v>6554.6595100000004</v>
      </c>
      <c r="L1932" s="375">
        <v>15014.31668</v>
      </c>
      <c r="M1932" s="375">
        <v>356367.34396000003</v>
      </c>
      <c r="N1932" s="372">
        <v>0.57499999999999996</v>
      </c>
      <c r="O1932" s="704">
        <v>939.8753670750242</v>
      </c>
      <c r="P1932" s="375" t="s">
        <v>619</v>
      </c>
      <c r="Q1932" s="372" t="s">
        <v>619</v>
      </c>
      <c r="R1932" s="696">
        <v>19960130</v>
      </c>
      <c r="S1932" s="372" t="s">
        <v>12549</v>
      </c>
      <c r="T1932" s="697">
        <v>0.20900000000000002</v>
      </c>
      <c r="U1932" s="372" t="s">
        <v>12550</v>
      </c>
      <c r="V1932" s="722">
        <v>60.49</v>
      </c>
      <c r="W1932" s="722">
        <v>0.42</v>
      </c>
      <c r="X1932" s="722">
        <v>7.0000000000000007E-2</v>
      </c>
      <c r="Y1932" s="722">
        <v>2.5499999999999998</v>
      </c>
      <c r="Z1932" s="382" t="s">
        <v>924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12551</v>
      </c>
      <c r="B1933" s="373" t="s">
        <v>12552</v>
      </c>
      <c r="C1933" s="372" t="s">
        <v>12553</v>
      </c>
      <c r="D1933" s="374">
        <v>1101110271596</v>
      </c>
      <c r="E1933" s="372" t="s">
        <v>12554</v>
      </c>
      <c r="F1933" s="375" t="s">
        <v>11051</v>
      </c>
      <c r="G1933" s="375" t="s">
        <v>11051</v>
      </c>
      <c r="H1933" s="375" t="s">
        <v>1313</v>
      </c>
      <c r="I1933" s="375" t="s">
        <v>751</v>
      </c>
      <c r="J1933" s="375">
        <v>185745.00313999999</v>
      </c>
      <c r="K1933" s="375">
        <v>-5024.8486300000004</v>
      </c>
      <c r="L1933" s="375">
        <v>-261.76220000000001</v>
      </c>
      <c r="M1933" s="375">
        <v>251614.97901000001</v>
      </c>
      <c r="N1933" s="372">
        <v>0.79700000000000004</v>
      </c>
      <c r="O1933" s="704">
        <v>73.795127160327851</v>
      </c>
      <c r="P1933" s="375" t="s">
        <v>619</v>
      </c>
      <c r="Q1933" s="375" t="s">
        <v>619</v>
      </c>
      <c r="R1933" s="696">
        <v>20120629</v>
      </c>
      <c r="S1933" s="375" t="s">
        <v>12555</v>
      </c>
      <c r="T1933" s="697" t="s">
        <v>768</v>
      </c>
      <c r="U1933" s="372" t="s">
        <v>12556</v>
      </c>
      <c r="V1933" s="722" t="s">
        <v>770</v>
      </c>
      <c r="W1933" s="722">
        <v>0.55000000000000004</v>
      </c>
      <c r="X1933" s="722">
        <v>0.75</v>
      </c>
      <c r="Y1933" s="722">
        <v>67.59</v>
      </c>
      <c r="Z1933" s="382" t="s">
        <v>924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12557</v>
      </c>
      <c r="B1934" s="373" t="s">
        <v>12558</v>
      </c>
      <c r="C1934" s="372" t="s">
        <v>12559</v>
      </c>
      <c r="D1934" s="374">
        <v>1311110051034</v>
      </c>
      <c r="E1934" s="372" t="s">
        <v>12560</v>
      </c>
      <c r="F1934" s="375" t="s">
        <v>1959</v>
      </c>
      <c r="G1934" s="375" t="s">
        <v>1959</v>
      </c>
      <c r="H1934" s="375" t="s">
        <v>858</v>
      </c>
      <c r="I1934" s="375" t="s">
        <v>859</v>
      </c>
      <c r="J1934" s="375">
        <v>0</v>
      </c>
      <c r="K1934" s="375">
        <v>0</v>
      </c>
      <c r="L1934" s="375">
        <v>0</v>
      </c>
      <c r="M1934" s="375">
        <v>0</v>
      </c>
      <c r="N1934" s="372">
        <v>0.96799999999999997</v>
      </c>
      <c r="O1934" s="704" t="s">
        <v>16298</v>
      </c>
      <c r="P1934" s="375" t="s">
        <v>16112</v>
      </c>
      <c r="Q1934" s="372" t="s">
        <v>16113</v>
      </c>
      <c r="R1934" s="696">
        <v>20160310</v>
      </c>
      <c r="S1934" s="372" t="s">
        <v>12561</v>
      </c>
      <c r="T1934" s="697" t="s">
        <v>768</v>
      </c>
      <c r="U1934" s="372" t="s">
        <v>12562</v>
      </c>
      <c r="V1934" s="722">
        <v>0</v>
      </c>
      <c r="W1934" s="722">
        <v>0</v>
      </c>
      <c r="X1934" s="722">
        <v>0</v>
      </c>
      <c r="Y1934" s="722">
        <v>0</v>
      </c>
      <c r="Z1934" s="382" t="s">
        <v>924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12563</v>
      </c>
      <c r="B1935" s="373" t="s">
        <v>12564</v>
      </c>
      <c r="C1935" s="372" t="s">
        <v>12565</v>
      </c>
      <c r="D1935" s="374">
        <v>1545110001571</v>
      </c>
      <c r="E1935" s="372" t="s">
        <v>12566</v>
      </c>
      <c r="F1935" s="372" t="s">
        <v>2861</v>
      </c>
      <c r="G1935" s="375" t="s">
        <v>12567</v>
      </c>
      <c r="H1935" s="375" t="s">
        <v>858</v>
      </c>
      <c r="I1935" s="375" t="s">
        <v>859</v>
      </c>
      <c r="J1935" s="375">
        <v>66288.933340000003</v>
      </c>
      <c r="K1935" s="375">
        <v>-489.01134999999999</v>
      </c>
      <c r="L1935" s="375">
        <v>613.46488999999997</v>
      </c>
      <c r="M1935" s="375">
        <v>100420.76521</v>
      </c>
      <c r="N1935" s="372">
        <v>0.755</v>
      </c>
      <c r="O1935" s="704">
        <v>1.3523110751127065</v>
      </c>
      <c r="P1935" s="375" t="s">
        <v>619</v>
      </c>
      <c r="Q1935" s="375" t="s">
        <v>619</v>
      </c>
      <c r="R1935" s="696">
        <v>19931214</v>
      </c>
      <c r="S1935" s="375" t="s">
        <v>12568</v>
      </c>
      <c r="T1935" s="697">
        <v>0.20900000000000002</v>
      </c>
      <c r="U1935" s="372" t="s">
        <v>12569</v>
      </c>
      <c r="V1935" s="722">
        <v>0</v>
      </c>
      <c r="W1935" s="722">
        <v>0</v>
      </c>
      <c r="X1935" s="722">
        <v>0</v>
      </c>
      <c r="Y1935" s="722">
        <v>0</v>
      </c>
      <c r="Z1935" s="382" t="s">
        <v>924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12570</v>
      </c>
      <c r="B1936" s="373" t="s">
        <v>12571</v>
      </c>
      <c r="C1936" s="372" t="s">
        <v>12572</v>
      </c>
      <c r="D1936" s="374">
        <v>1101110061228</v>
      </c>
      <c r="E1936" s="372" t="s">
        <v>12573</v>
      </c>
      <c r="F1936" s="372" t="s">
        <v>2702</v>
      </c>
      <c r="G1936" s="375" t="s">
        <v>12574</v>
      </c>
      <c r="H1936" s="375" t="s">
        <v>1465</v>
      </c>
      <c r="I1936" s="375" t="s">
        <v>751</v>
      </c>
      <c r="J1936" s="375">
        <v>219026.21471999999</v>
      </c>
      <c r="K1936" s="375">
        <v>1819.6840299999999</v>
      </c>
      <c r="L1936" s="375">
        <v>-1141.1731</v>
      </c>
      <c r="M1936" s="375">
        <v>267238.84950999997</v>
      </c>
      <c r="N1936" s="372">
        <v>0.68100000000000005</v>
      </c>
      <c r="O1936" s="704">
        <v>65.198367127696997</v>
      </c>
      <c r="P1936" s="375" t="s">
        <v>619</v>
      </c>
      <c r="Q1936" s="375" t="s">
        <v>619</v>
      </c>
      <c r="R1936" s="696">
        <v>20160330</v>
      </c>
      <c r="S1936" s="375" t="s">
        <v>12575</v>
      </c>
      <c r="T1936" s="697" t="s">
        <v>768</v>
      </c>
      <c r="U1936" s="372" t="s">
        <v>12576</v>
      </c>
      <c r="V1936" s="722">
        <v>6.02</v>
      </c>
      <c r="W1936" s="722">
        <v>0.19</v>
      </c>
      <c r="X1936" s="722">
        <v>0.24</v>
      </c>
      <c r="Y1936" s="722" t="s">
        <v>770</v>
      </c>
      <c r="Z1936" s="382" t="s">
        <v>924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12577</v>
      </c>
      <c r="B1937" s="373" t="s">
        <v>12578</v>
      </c>
      <c r="C1937" s="372" t="s">
        <v>12579</v>
      </c>
      <c r="D1937" s="374">
        <v>1243110003379</v>
      </c>
      <c r="E1937" s="372" t="s">
        <v>12580</v>
      </c>
      <c r="F1937" s="375" t="s">
        <v>2011</v>
      </c>
      <c r="G1937" s="375" t="s">
        <v>2011</v>
      </c>
      <c r="H1937" s="375" t="s">
        <v>789</v>
      </c>
      <c r="I1937" s="375" t="s">
        <v>751</v>
      </c>
      <c r="J1937" s="375">
        <v>438194.61927000002</v>
      </c>
      <c r="K1937" s="375">
        <v>12300.495999999999</v>
      </c>
      <c r="L1937" s="375">
        <v>4971.7783099999997</v>
      </c>
      <c r="M1937" s="375">
        <v>125877.86328999999</v>
      </c>
      <c r="N1937" s="372">
        <v>0.78500000000000003</v>
      </c>
      <c r="O1937" s="704">
        <v>230.50743113891409</v>
      </c>
      <c r="P1937" s="375" t="s">
        <v>619</v>
      </c>
      <c r="Q1937" s="372" t="s">
        <v>619</v>
      </c>
      <c r="R1937" s="696">
        <v>20171208</v>
      </c>
      <c r="S1937" s="372" t="s">
        <v>12581</v>
      </c>
      <c r="T1937" s="697">
        <v>0.20900000000000002</v>
      </c>
      <c r="U1937" s="372" t="s">
        <v>12582</v>
      </c>
      <c r="V1937" s="722">
        <v>5.99</v>
      </c>
      <c r="W1937" s="722">
        <v>0.6</v>
      </c>
      <c r="X1937" s="722">
        <v>0.17</v>
      </c>
      <c r="Y1937" s="722">
        <v>21.24</v>
      </c>
      <c r="Z1937" s="382" t="s">
        <v>924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12583</v>
      </c>
      <c r="B1938" s="373" t="s">
        <v>12584</v>
      </c>
      <c r="C1938" s="372" t="s">
        <v>12585</v>
      </c>
      <c r="D1938" s="374">
        <v>1101111907760</v>
      </c>
      <c r="E1938" s="372" t="s">
        <v>12586</v>
      </c>
      <c r="F1938" s="375" t="s">
        <v>1113</v>
      </c>
      <c r="G1938" s="375" t="s">
        <v>3300</v>
      </c>
      <c r="H1938" s="375" t="s">
        <v>1334</v>
      </c>
      <c r="I1938" s="375" t="s">
        <v>859</v>
      </c>
      <c r="J1938" s="375">
        <v>19041.732660000001</v>
      </c>
      <c r="K1938" s="375">
        <v>-7080.4190200000003</v>
      </c>
      <c r="L1938" s="375">
        <v>-11314.18168</v>
      </c>
      <c r="M1938" s="375">
        <v>26390.656370000001</v>
      </c>
      <c r="N1938" s="372">
        <v>0.626</v>
      </c>
      <c r="O1938" s="704">
        <v>18.332434427014491</v>
      </c>
      <c r="P1938" s="375" t="s">
        <v>619</v>
      </c>
      <c r="Q1938" s="372" t="s">
        <v>619</v>
      </c>
      <c r="R1938" s="696">
        <v>20111226</v>
      </c>
      <c r="S1938" s="372" t="s">
        <v>12587</v>
      </c>
      <c r="T1938" s="697" t="s">
        <v>768</v>
      </c>
      <c r="U1938" s="372" t="s">
        <v>12588</v>
      </c>
      <c r="V1938" s="722" t="s">
        <v>770</v>
      </c>
      <c r="W1938" s="722">
        <v>2.5099999999999998</v>
      </c>
      <c r="X1938" s="722">
        <v>2.94</v>
      </c>
      <c r="Y1938" s="722" t="s">
        <v>770</v>
      </c>
      <c r="Z1938" s="382" t="s">
        <v>924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12589</v>
      </c>
      <c r="B1939" s="373" t="s">
        <v>12590</v>
      </c>
      <c r="C1939" s="372" t="s">
        <v>12591</v>
      </c>
      <c r="D1939" s="374">
        <v>1101111908338</v>
      </c>
      <c r="E1939" s="372" t="s">
        <v>12592</v>
      </c>
      <c r="F1939" s="375" t="s">
        <v>2219</v>
      </c>
      <c r="G1939" s="375" t="s">
        <v>2219</v>
      </c>
      <c r="H1939" s="375" t="s">
        <v>858</v>
      </c>
      <c r="I1939" s="375" t="s">
        <v>859</v>
      </c>
      <c r="J1939" s="375">
        <v>17922.987120000002</v>
      </c>
      <c r="K1939" s="375">
        <v>-1032.0144700000001</v>
      </c>
      <c r="L1939" s="375">
        <v>1213.0906299999999</v>
      </c>
      <c r="M1939" s="375">
        <v>63691.043290000001</v>
      </c>
      <c r="N1939" s="372">
        <v>0.51100000000000001</v>
      </c>
      <c r="O1939" s="704">
        <v>1.4160551114991493</v>
      </c>
      <c r="P1939" s="375" t="s">
        <v>619</v>
      </c>
      <c r="Q1939" s="372" t="s">
        <v>619</v>
      </c>
      <c r="R1939" s="696">
        <v>20191022</v>
      </c>
      <c r="S1939" s="375" t="s">
        <v>12593</v>
      </c>
      <c r="T1939" s="697">
        <v>0.20900000000000002</v>
      </c>
      <c r="U1939" s="372" t="s">
        <v>12594</v>
      </c>
      <c r="V1939" s="722">
        <v>16208.17</v>
      </c>
      <c r="W1939" s="722">
        <v>0.63</v>
      </c>
      <c r="X1939" s="722">
        <v>2.29</v>
      </c>
      <c r="Y1939" s="722">
        <v>44.47</v>
      </c>
      <c r="Z1939" s="382" t="s">
        <v>924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12595</v>
      </c>
      <c r="B1940" s="373" t="s">
        <v>12596</v>
      </c>
      <c r="C1940" s="372" t="s">
        <v>12597</v>
      </c>
      <c r="D1940" s="374">
        <v>1350110030490</v>
      </c>
      <c r="E1940" s="372" t="s">
        <v>12598</v>
      </c>
      <c r="F1940" s="372" t="s">
        <v>4635</v>
      </c>
      <c r="G1940" s="375" t="s">
        <v>4635</v>
      </c>
      <c r="H1940" s="375" t="s">
        <v>858</v>
      </c>
      <c r="I1940" s="375" t="s">
        <v>859</v>
      </c>
      <c r="J1940" s="375">
        <v>23680.28441</v>
      </c>
      <c r="K1940" s="375">
        <v>-1211.59611</v>
      </c>
      <c r="L1940" s="375">
        <v>-870.10670000000005</v>
      </c>
      <c r="M1940" s="375">
        <v>30656.36147</v>
      </c>
      <c r="N1940" s="372">
        <v>0.69799999999999995</v>
      </c>
      <c r="O1940" s="704">
        <v>0.20735255020259219</v>
      </c>
      <c r="P1940" s="375" t="s">
        <v>16112</v>
      </c>
      <c r="Q1940" s="372" t="s">
        <v>16113</v>
      </c>
      <c r="R1940" s="696">
        <v>20020122</v>
      </c>
      <c r="S1940" s="372" t="s">
        <v>12599</v>
      </c>
      <c r="T1940" s="697" t="s">
        <v>768</v>
      </c>
      <c r="U1940" s="372" t="s">
        <v>12600</v>
      </c>
      <c r="V1940" s="722">
        <v>0</v>
      </c>
      <c r="W1940" s="722">
        <v>0</v>
      </c>
      <c r="X1940" s="722">
        <v>0</v>
      </c>
      <c r="Y1940" s="722">
        <v>0</v>
      </c>
      <c r="Z1940" s="382" t="s">
        <v>924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12601</v>
      </c>
      <c r="B1941" s="373" t="s">
        <v>12602</v>
      </c>
      <c r="C1941" s="372" t="s">
        <v>12603</v>
      </c>
      <c r="D1941" s="374">
        <v>1101111883225</v>
      </c>
      <c r="E1941" s="372" t="s">
        <v>12604</v>
      </c>
      <c r="F1941" s="372" t="s">
        <v>6607</v>
      </c>
      <c r="G1941" s="375" t="s">
        <v>6607</v>
      </c>
      <c r="H1941" s="375" t="s">
        <v>858</v>
      </c>
      <c r="I1941" s="375" t="s">
        <v>859</v>
      </c>
      <c r="J1941" s="375">
        <v>66222.578150000001</v>
      </c>
      <c r="K1941" s="375">
        <v>-4852.5690500000001</v>
      </c>
      <c r="L1941" s="375">
        <v>4670.76937</v>
      </c>
      <c r="M1941" s="375">
        <v>127491.77952</v>
      </c>
      <c r="N1941" s="372">
        <v>0.56699999999999995</v>
      </c>
      <c r="O1941" s="704">
        <v>28.168596946533132</v>
      </c>
      <c r="P1941" s="375" t="s">
        <v>619</v>
      </c>
      <c r="Q1941" s="372" t="s">
        <v>619</v>
      </c>
      <c r="R1941" s="696">
        <v>20011130</v>
      </c>
      <c r="S1941" s="372" t="s">
        <v>12605</v>
      </c>
      <c r="T1941" s="697">
        <v>0.20900000000000002</v>
      </c>
      <c r="U1941" s="372" t="s">
        <v>12606</v>
      </c>
      <c r="V1941" s="722" t="s">
        <v>770</v>
      </c>
      <c r="W1941" s="722">
        <v>0.36</v>
      </c>
      <c r="X1941" s="722">
        <v>0.7</v>
      </c>
      <c r="Y1941" s="722">
        <v>12.37</v>
      </c>
      <c r="Z1941" s="382" t="s">
        <v>924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12607</v>
      </c>
      <c r="B1942" s="373" t="s">
        <v>12608</v>
      </c>
      <c r="C1942" s="372" t="s">
        <v>12609</v>
      </c>
      <c r="D1942" s="374">
        <v>1615110006118</v>
      </c>
      <c r="E1942" s="372" t="s">
        <v>12610</v>
      </c>
      <c r="F1942" s="375" t="s">
        <v>8669</v>
      </c>
      <c r="G1942" s="375" t="s">
        <v>8825</v>
      </c>
      <c r="H1942" s="375" t="s">
        <v>858</v>
      </c>
      <c r="I1942" s="375" t="s">
        <v>859</v>
      </c>
      <c r="J1942" s="375">
        <v>149594.59641</v>
      </c>
      <c r="K1942" s="375">
        <v>1986.7139500000001</v>
      </c>
      <c r="L1942" s="375">
        <v>5624.3011200000001</v>
      </c>
      <c r="M1942" s="375">
        <v>179665.33999000001</v>
      </c>
      <c r="N1942" s="372">
        <v>0.61299999999999999</v>
      </c>
      <c r="O1942" s="704">
        <v>1.4021105884241138</v>
      </c>
      <c r="P1942" s="375" t="s">
        <v>619</v>
      </c>
      <c r="Q1942" s="372" t="s">
        <v>619</v>
      </c>
      <c r="R1942" s="696">
        <v>20010803</v>
      </c>
      <c r="S1942" s="375" t="s">
        <v>12611</v>
      </c>
      <c r="T1942" s="697">
        <v>0.20900000000000002</v>
      </c>
      <c r="U1942" s="375" t="s">
        <v>12612</v>
      </c>
      <c r="V1942" s="722">
        <v>5.77</v>
      </c>
      <c r="W1942" s="722">
        <v>0.28999999999999998</v>
      </c>
      <c r="X1942" s="722">
        <v>0.35</v>
      </c>
      <c r="Y1942" s="722">
        <v>12.01</v>
      </c>
      <c r="Z1942" s="382" t="s">
        <v>924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12613</v>
      </c>
      <c r="B1943" s="373" t="s">
        <v>12614</v>
      </c>
      <c r="C1943" s="372" t="s">
        <v>12615</v>
      </c>
      <c r="D1943" s="374">
        <v>1801110004753</v>
      </c>
      <c r="E1943" s="372" t="s">
        <v>12616</v>
      </c>
      <c r="F1943" s="375" t="s">
        <v>2744</v>
      </c>
      <c r="G1943" s="375" t="s">
        <v>6509</v>
      </c>
      <c r="H1943" s="375" t="s">
        <v>809</v>
      </c>
      <c r="I1943" s="375" t="s">
        <v>751</v>
      </c>
      <c r="J1943" s="375">
        <v>213497.76285</v>
      </c>
      <c r="K1943" s="375">
        <v>19561.174309999999</v>
      </c>
      <c r="L1943" s="375">
        <v>-26408.72539</v>
      </c>
      <c r="M1943" s="375">
        <v>160242.54616999999</v>
      </c>
      <c r="N1943" s="372">
        <v>0.82899999999999996</v>
      </c>
      <c r="O1943" s="704">
        <v>17.674960873015873</v>
      </c>
      <c r="P1943" s="375" t="s">
        <v>619</v>
      </c>
      <c r="Q1943" s="372" t="s">
        <v>619</v>
      </c>
      <c r="R1943" s="696">
        <v>20030128</v>
      </c>
      <c r="S1943" s="372" t="s">
        <v>12617</v>
      </c>
      <c r="T1943" s="697" t="s">
        <v>768</v>
      </c>
      <c r="U1943" s="372" t="s">
        <v>11918</v>
      </c>
      <c r="V1943" s="722">
        <v>0</v>
      </c>
      <c r="W1943" s="722">
        <v>0</v>
      </c>
      <c r="X1943" s="722">
        <v>0</v>
      </c>
      <c r="Y1943" s="722">
        <v>0</v>
      </c>
      <c r="Z1943" s="382" t="s">
        <v>924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12618</v>
      </c>
      <c r="B1944" s="373" t="s">
        <v>12619</v>
      </c>
      <c r="C1944" s="372" t="s">
        <v>12620</v>
      </c>
      <c r="D1944" s="374">
        <v>1101110822993</v>
      </c>
      <c r="E1944" s="372" t="s">
        <v>12621</v>
      </c>
      <c r="F1944" s="375" t="s">
        <v>2423</v>
      </c>
      <c r="G1944" s="375" t="s">
        <v>12622</v>
      </c>
      <c r="H1944" s="375" t="s">
        <v>1040</v>
      </c>
      <c r="I1944" s="375" t="s">
        <v>751</v>
      </c>
      <c r="J1944" s="375">
        <v>204321.82277</v>
      </c>
      <c r="K1944" s="375">
        <v>655.75930000000005</v>
      </c>
      <c r="L1944" s="375">
        <v>-2200.1980800000001</v>
      </c>
      <c r="M1944" s="375">
        <v>102342.63391999999</v>
      </c>
      <c r="N1944" s="372">
        <v>0.74399999999999999</v>
      </c>
      <c r="O1944" s="704">
        <v>276.57947666666666</v>
      </c>
      <c r="P1944" s="375" t="s">
        <v>619</v>
      </c>
      <c r="Q1944" s="372" t="s">
        <v>619</v>
      </c>
      <c r="R1944" s="696">
        <v>20010724</v>
      </c>
      <c r="S1944" s="372" t="s">
        <v>12623</v>
      </c>
      <c r="T1944" s="697" t="s">
        <v>768</v>
      </c>
      <c r="U1944" s="372" t="s">
        <v>12624</v>
      </c>
      <c r="V1944" s="722">
        <v>15.62</v>
      </c>
      <c r="W1944" s="722">
        <v>0.45</v>
      </c>
      <c r="X1944" s="722">
        <v>0.22</v>
      </c>
      <c r="Y1944" s="722" t="s">
        <v>770</v>
      </c>
      <c r="Z1944" s="382" t="s">
        <v>924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12625</v>
      </c>
      <c r="B1945" s="373" t="s">
        <v>12626</v>
      </c>
      <c r="C1945" s="372" t="s">
        <v>16306</v>
      </c>
      <c r="D1945" s="374">
        <v>1341110000822</v>
      </c>
      <c r="E1945" s="372" t="s">
        <v>16307</v>
      </c>
      <c r="F1945" s="372" t="s">
        <v>877</v>
      </c>
      <c r="G1945" s="375" t="s">
        <v>877</v>
      </c>
      <c r="H1945" s="375" t="s">
        <v>789</v>
      </c>
      <c r="I1945" s="375" t="s">
        <v>751</v>
      </c>
      <c r="J1945" s="375">
        <v>130018.88587</v>
      </c>
      <c r="K1945" s="375">
        <v>4774.4247800000003</v>
      </c>
      <c r="L1945" s="375">
        <v>1038.4991199999999</v>
      </c>
      <c r="M1945" s="375">
        <v>28397.037769999999</v>
      </c>
      <c r="N1945" s="372">
        <v>0.70099999999999996</v>
      </c>
      <c r="O1945" s="704">
        <v>75.584565970639431</v>
      </c>
      <c r="P1945" s="375" t="s">
        <v>619</v>
      </c>
      <c r="Q1945" s="372" t="s">
        <v>619</v>
      </c>
      <c r="R1945" s="696">
        <v>19890825</v>
      </c>
      <c r="S1945" s="372" t="s">
        <v>12627</v>
      </c>
      <c r="T1945" s="697">
        <v>0.20900000000000002</v>
      </c>
      <c r="U1945" s="372" t="s">
        <v>12628</v>
      </c>
      <c r="V1945" s="722">
        <v>8.3800000000000008</v>
      </c>
      <c r="W1945" s="722">
        <v>1.89</v>
      </c>
      <c r="X1945" s="722">
        <v>0.41</v>
      </c>
      <c r="Y1945" s="722">
        <v>65.84</v>
      </c>
      <c r="Z1945" s="382" t="s">
        <v>924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12629</v>
      </c>
      <c r="B1946" s="373" t="s">
        <v>12630</v>
      </c>
      <c r="C1946" s="372" t="s">
        <v>12631</v>
      </c>
      <c r="D1946" s="374">
        <v>1543110001997</v>
      </c>
      <c r="E1946" s="372" t="s">
        <v>12632</v>
      </c>
      <c r="F1946" s="375" t="s">
        <v>3972</v>
      </c>
      <c r="G1946" s="375" t="s">
        <v>11338</v>
      </c>
      <c r="H1946" s="375" t="s">
        <v>858</v>
      </c>
      <c r="I1946" s="375" t="s">
        <v>859</v>
      </c>
      <c r="J1946" s="375">
        <v>390125.48657000001</v>
      </c>
      <c r="K1946" s="375">
        <v>11678.026879999999</v>
      </c>
      <c r="L1946" s="375">
        <v>7171.14347</v>
      </c>
      <c r="M1946" s="375">
        <v>115888.59110000001</v>
      </c>
      <c r="N1946" s="372">
        <v>0.71399999999999997</v>
      </c>
      <c r="O1946" s="704">
        <v>367.58919410686599</v>
      </c>
      <c r="P1946" s="375" t="s">
        <v>619</v>
      </c>
      <c r="Q1946" s="375" t="s">
        <v>619</v>
      </c>
      <c r="R1946" s="696">
        <v>20171204</v>
      </c>
      <c r="S1946" s="375" t="s">
        <v>12633</v>
      </c>
      <c r="T1946" s="697">
        <v>0.20900000000000002</v>
      </c>
      <c r="U1946" s="372" t="s">
        <v>12634</v>
      </c>
      <c r="V1946" s="722">
        <v>4.21</v>
      </c>
      <c r="W1946" s="722">
        <v>0.47</v>
      </c>
      <c r="X1946" s="722">
        <v>0.1</v>
      </c>
      <c r="Y1946" s="722">
        <v>7.51</v>
      </c>
      <c r="Z1946" s="382" t="s">
        <v>924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12635</v>
      </c>
      <c r="B1947" s="373" t="s">
        <v>12636</v>
      </c>
      <c r="C1947" s="372" t="s">
        <v>12637</v>
      </c>
      <c r="D1947" s="374">
        <v>1701110273433</v>
      </c>
      <c r="E1947" s="372" t="s">
        <v>12638</v>
      </c>
      <c r="F1947" s="372" t="s">
        <v>1761</v>
      </c>
      <c r="G1947" s="375" t="s">
        <v>1761</v>
      </c>
      <c r="H1947" s="375" t="s">
        <v>858</v>
      </c>
      <c r="I1947" s="375" t="s">
        <v>859</v>
      </c>
      <c r="J1947" s="375">
        <v>19959.054049999999</v>
      </c>
      <c r="K1947" s="375">
        <v>1127.46542</v>
      </c>
      <c r="L1947" s="375">
        <v>977.66600000000005</v>
      </c>
      <c r="M1947" s="375">
        <v>17415.360290000001</v>
      </c>
      <c r="N1947" s="372">
        <v>0.56599999999999995</v>
      </c>
      <c r="O1947" s="704">
        <v>1.7829996981380485</v>
      </c>
      <c r="P1947" s="375" t="s">
        <v>619</v>
      </c>
      <c r="Q1947" s="372" t="s">
        <v>619</v>
      </c>
      <c r="R1947" s="696">
        <v>20181214</v>
      </c>
      <c r="S1947" s="372" t="s">
        <v>12639</v>
      </c>
      <c r="T1947" s="697">
        <v>0.20900000000000002</v>
      </c>
      <c r="U1947" s="372" t="s">
        <v>12640</v>
      </c>
      <c r="V1947" s="722">
        <v>0</v>
      </c>
      <c r="W1947" s="722">
        <v>0</v>
      </c>
      <c r="X1947" s="722">
        <v>0</v>
      </c>
      <c r="Y1947" s="722">
        <v>0</v>
      </c>
      <c r="Z1947" s="382" t="s">
        <v>924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12641</v>
      </c>
      <c r="B1948" s="373" t="s">
        <v>12642</v>
      </c>
      <c r="C1948" s="372" t="s">
        <v>16034</v>
      </c>
      <c r="D1948" s="374">
        <v>1101110327555</v>
      </c>
      <c r="E1948" s="372" t="s">
        <v>15943</v>
      </c>
      <c r="F1948" s="372" t="s">
        <v>4843</v>
      </c>
      <c r="G1948" s="375" t="s">
        <v>12643</v>
      </c>
      <c r="H1948" s="375" t="s">
        <v>4844</v>
      </c>
      <c r="I1948" s="375" t="s">
        <v>859</v>
      </c>
      <c r="J1948" s="375">
        <v>1222829.70099</v>
      </c>
      <c r="K1948" s="375">
        <v>-17923.52837</v>
      </c>
      <c r="L1948" s="375">
        <v>-55113.982069999998</v>
      </c>
      <c r="M1948" s="375">
        <v>301417.83980000002</v>
      </c>
      <c r="N1948" s="372">
        <v>0.73599999999999999</v>
      </c>
      <c r="O1948" s="704">
        <v>936.96538681578443</v>
      </c>
      <c r="P1948" s="375" t="s">
        <v>619</v>
      </c>
      <c r="Q1948" s="372" t="s">
        <v>619</v>
      </c>
      <c r="R1948" s="696">
        <v>19991224</v>
      </c>
      <c r="S1948" s="375" t="s">
        <v>12644</v>
      </c>
      <c r="T1948" s="697" t="s">
        <v>768</v>
      </c>
      <c r="U1948" s="372" t="s">
        <v>12645</v>
      </c>
      <c r="V1948" s="722" t="s">
        <v>770</v>
      </c>
      <c r="W1948" s="722">
        <v>0.2</v>
      </c>
      <c r="X1948" s="722">
        <v>0.05</v>
      </c>
      <c r="Y1948" s="722" t="s">
        <v>770</v>
      </c>
      <c r="Z1948" s="382">
        <v>-1.0171913638643226E-2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12320</v>
      </c>
      <c r="AF1948" s="372">
        <v>15210</v>
      </c>
      <c r="AG1948" s="372">
        <v>17890</v>
      </c>
      <c r="AH1948" s="372">
        <v>0</v>
      </c>
    </row>
    <row r="1949" spans="1:34">
      <c r="A1949" s="372" t="s">
        <v>12646</v>
      </c>
      <c r="B1949" s="373" t="s">
        <v>12647</v>
      </c>
      <c r="C1949" s="372" t="s">
        <v>12648</v>
      </c>
      <c r="D1949" s="374">
        <v>1801110068668</v>
      </c>
      <c r="E1949" s="372" t="s">
        <v>12649</v>
      </c>
      <c r="F1949" s="375" t="s">
        <v>1740</v>
      </c>
      <c r="G1949" s="375" t="s">
        <v>1740</v>
      </c>
      <c r="H1949" s="375" t="s">
        <v>3096</v>
      </c>
      <c r="I1949" s="375" t="s">
        <v>859</v>
      </c>
      <c r="J1949" s="375">
        <v>140113.54905</v>
      </c>
      <c r="K1949" s="375">
        <v>-1216.2640799999999</v>
      </c>
      <c r="L1949" s="375">
        <v>637.43866000000003</v>
      </c>
      <c r="M1949" s="375">
        <v>112352.57801</v>
      </c>
      <c r="N1949" s="372">
        <v>0.52700000000000002</v>
      </c>
      <c r="O1949" s="704">
        <v>25.788365821550318</v>
      </c>
      <c r="P1949" s="375" t="s">
        <v>619</v>
      </c>
      <c r="Q1949" s="372" t="s">
        <v>619</v>
      </c>
      <c r="R1949" s="696">
        <v>19931230</v>
      </c>
      <c r="S1949" s="372" t="s">
        <v>12650</v>
      </c>
      <c r="T1949" s="697">
        <v>0.20900000000000002</v>
      </c>
      <c r="U1949" s="372" t="s">
        <v>15944</v>
      </c>
      <c r="V1949" s="722">
        <v>81.150000000000006</v>
      </c>
      <c r="W1949" s="722">
        <v>0.64</v>
      </c>
      <c r="X1949" s="722">
        <v>0.51</v>
      </c>
      <c r="Y1949" s="722">
        <v>139.4</v>
      </c>
      <c r="Z1949" s="382" t="s">
        <v>924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12651</v>
      </c>
      <c r="B1950" s="373" t="s">
        <v>12652</v>
      </c>
      <c r="C1950" s="372" t="s">
        <v>12653</v>
      </c>
      <c r="D1950" s="374">
        <v>1101113572636</v>
      </c>
      <c r="E1950" s="372" t="s">
        <v>12654</v>
      </c>
      <c r="F1950" s="375" t="s">
        <v>3669</v>
      </c>
      <c r="G1950" s="375" t="s">
        <v>3669</v>
      </c>
      <c r="H1950" s="375" t="s">
        <v>1334</v>
      </c>
      <c r="I1950" s="375" t="s">
        <v>859</v>
      </c>
      <c r="J1950" s="375">
        <v>2283.4231500000001</v>
      </c>
      <c r="K1950" s="375">
        <v>-10921.526159999999</v>
      </c>
      <c r="L1950" s="375">
        <v>-10059.056850000001</v>
      </c>
      <c r="M1950" s="375">
        <v>54737.118970000003</v>
      </c>
      <c r="N1950" s="372">
        <v>1.07</v>
      </c>
      <c r="O1950" s="704">
        <v>11.189594990957088</v>
      </c>
      <c r="P1950" s="375" t="s">
        <v>619</v>
      </c>
      <c r="Q1950" s="372" t="s">
        <v>619</v>
      </c>
      <c r="R1950" s="696">
        <v>20190220</v>
      </c>
      <c r="S1950" s="372" t="s">
        <v>12655</v>
      </c>
      <c r="T1950" s="697" t="s">
        <v>768</v>
      </c>
      <c r="U1950" s="372" t="s">
        <v>12656</v>
      </c>
      <c r="V1950" s="722">
        <v>0</v>
      </c>
      <c r="W1950" s="722">
        <v>0</v>
      </c>
      <c r="X1950" s="722">
        <v>0</v>
      </c>
      <c r="Y1950" s="722">
        <v>0</v>
      </c>
      <c r="Z1950" s="382" t="s">
        <v>770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12657</v>
      </c>
      <c r="B1951" s="373" t="s">
        <v>12658</v>
      </c>
      <c r="C1951" s="372" t="s">
        <v>12659</v>
      </c>
      <c r="D1951" s="374">
        <v>1311110053874</v>
      </c>
      <c r="E1951" s="372" t="s">
        <v>12660</v>
      </c>
      <c r="F1951" s="372" t="s">
        <v>7450</v>
      </c>
      <c r="G1951" s="375" t="s">
        <v>7450</v>
      </c>
      <c r="H1951" s="375" t="s">
        <v>1334</v>
      </c>
      <c r="I1951" s="375" t="s">
        <v>859</v>
      </c>
      <c r="J1951" s="375">
        <v>101647.11926000001</v>
      </c>
      <c r="K1951" s="375">
        <v>-15326.31422</v>
      </c>
      <c r="L1951" s="375">
        <v>-25504.295689999999</v>
      </c>
      <c r="M1951" s="375">
        <v>101747.5658</v>
      </c>
      <c r="N1951" s="372">
        <v>0.67800000000000005</v>
      </c>
      <c r="O1951" s="704">
        <v>203.5932063196114</v>
      </c>
      <c r="P1951" s="375" t="s">
        <v>619</v>
      </c>
      <c r="Q1951" s="372" t="s">
        <v>619</v>
      </c>
      <c r="R1951" s="696">
        <v>20141217</v>
      </c>
      <c r="S1951" s="372" t="s">
        <v>12661</v>
      </c>
      <c r="T1951" s="697" t="s">
        <v>768</v>
      </c>
      <c r="U1951" s="372" t="s">
        <v>12662</v>
      </c>
      <c r="V1951" s="722">
        <v>115.69</v>
      </c>
      <c r="W1951" s="722">
        <v>0.41</v>
      </c>
      <c r="X1951" s="722">
        <v>0.35</v>
      </c>
      <c r="Y1951" s="722" t="s">
        <v>770</v>
      </c>
      <c r="Z1951" s="382" t="s">
        <v>924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12663</v>
      </c>
      <c r="B1952" s="373" t="s">
        <v>12664</v>
      </c>
      <c r="C1952" s="372" t="s">
        <v>12665</v>
      </c>
      <c r="D1952" s="374">
        <v>1601110265995</v>
      </c>
      <c r="E1952" s="372" t="s">
        <v>12666</v>
      </c>
      <c r="F1952" s="372" t="s">
        <v>2121</v>
      </c>
      <c r="G1952" s="375" t="s">
        <v>4228</v>
      </c>
      <c r="H1952" s="375" t="s">
        <v>858</v>
      </c>
      <c r="I1952" s="375" t="s">
        <v>859</v>
      </c>
      <c r="J1952" s="375">
        <v>18215.460319999998</v>
      </c>
      <c r="K1952" s="375">
        <v>-7103.7819900000004</v>
      </c>
      <c r="L1952" s="375">
        <v>-8709.2500700000001</v>
      </c>
      <c r="M1952" s="375">
        <v>27292.785070000002</v>
      </c>
      <c r="N1952" s="372">
        <v>0.6</v>
      </c>
      <c r="O1952" s="704">
        <v>43.269444393908515</v>
      </c>
      <c r="P1952" s="375" t="s">
        <v>619</v>
      </c>
      <c r="Q1952" s="372" t="s">
        <v>619</v>
      </c>
      <c r="R1952" s="696">
        <v>20201222</v>
      </c>
      <c r="S1952" s="372" t="s">
        <v>8949</v>
      </c>
      <c r="T1952" s="697" t="s">
        <v>768</v>
      </c>
      <c r="U1952" s="372" t="s">
        <v>12667</v>
      </c>
      <c r="V1952" s="722" t="s">
        <v>770</v>
      </c>
      <c r="W1952" s="722">
        <v>1.47</v>
      </c>
      <c r="X1952" s="722">
        <v>2.2000000000000002</v>
      </c>
      <c r="Y1952" s="722" t="s">
        <v>770</v>
      </c>
      <c r="Z1952" s="382" t="s">
        <v>924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12668</v>
      </c>
      <c r="B1953" s="373" t="s">
        <v>12669</v>
      </c>
      <c r="C1953" s="372" t="s">
        <v>12670</v>
      </c>
      <c r="D1953" s="374">
        <v>1101115794494</v>
      </c>
      <c r="E1953" s="372" t="s">
        <v>12671</v>
      </c>
      <c r="F1953" s="372" t="s">
        <v>1876</v>
      </c>
      <c r="G1953" s="375" t="s">
        <v>1876</v>
      </c>
      <c r="H1953" s="375" t="s">
        <v>4844</v>
      </c>
      <c r="I1953" s="375" t="s">
        <v>859</v>
      </c>
      <c r="J1953" s="375">
        <v>30198.403200000001</v>
      </c>
      <c r="K1953" s="375">
        <v>-3009.2503400000001</v>
      </c>
      <c r="L1953" s="375">
        <v>-4257.5259699999997</v>
      </c>
      <c r="M1953" s="375">
        <v>139342.71290000001</v>
      </c>
      <c r="N1953" s="372">
        <v>0.2</v>
      </c>
      <c r="O1953" s="704">
        <v>0.49202290465787746</v>
      </c>
      <c r="P1953" s="375" t="s">
        <v>16112</v>
      </c>
      <c r="Q1953" s="372" t="s">
        <v>16113</v>
      </c>
      <c r="R1953" s="696">
        <v>20151022</v>
      </c>
      <c r="S1953" s="372" t="s">
        <v>9015</v>
      </c>
      <c r="T1953" s="697" t="s">
        <v>768</v>
      </c>
      <c r="U1953" s="372" t="s">
        <v>15945</v>
      </c>
      <c r="V1953" s="722" t="s">
        <v>770</v>
      </c>
      <c r="W1953" s="722">
        <v>0.42</v>
      </c>
      <c r="X1953" s="722">
        <v>2.0099999999999998</v>
      </c>
      <c r="Y1953" s="722">
        <v>34.19</v>
      </c>
      <c r="Z1953" s="382" t="s">
        <v>924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12672</v>
      </c>
      <c r="B1954" s="373" t="s">
        <v>12673</v>
      </c>
      <c r="C1954" s="372" t="s">
        <v>12674</v>
      </c>
      <c r="D1954" s="374">
        <v>1753110000126</v>
      </c>
      <c r="E1954" s="372" t="s">
        <v>12675</v>
      </c>
      <c r="F1954" s="372" t="s">
        <v>1833</v>
      </c>
      <c r="G1954" s="375" t="s">
        <v>1833</v>
      </c>
      <c r="H1954" s="375" t="s">
        <v>3096</v>
      </c>
      <c r="I1954" s="375" t="s">
        <v>859</v>
      </c>
      <c r="J1954" s="375">
        <v>98533.922149999999</v>
      </c>
      <c r="K1954" s="375">
        <v>-8166.0639899999996</v>
      </c>
      <c r="L1954" s="375">
        <v>-18374.752970000001</v>
      </c>
      <c r="M1954" s="375">
        <v>35177.141369999998</v>
      </c>
      <c r="N1954" s="372">
        <v>1.1000000000000001</v>
      </c>
      <c r="O1954" s="704">
        <v>25.408465310156625</v>
      </c>
      <c r="P1954" s="375" t="s">
        <v>619</v>
      </c>
      <c r="Q1954" s="375" t="s">
        <v>619</v>
      </c>
      <c r="R1954" s="696">
        <v>19970626</v>
      </c>
      <c r="S1954" s="375" t="s">
        <v>12676</v>
      </c>
      <c r="T1954" s="697" t="s">
        <v>768</v>
      </c>
      <c r="U1954" s="372" t="s">
        <v>12677</v>
      </c>
      <c r="V1954" s="722" t="s">
        <v>770</v>
      </c>
      <c r="W1954" s="722">
        <v>1.79</v>
      </c>
      <c r="X1954" s="722">
        <v>0.6</v>
      </c>
      <c r="Y1954" s="722" t="s">
        <v>770</v>
      </c>
      <c r="Z1954" s="382" t="s">
        <v>924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12678</v>
      </c>
      <c r="B1955" s="373" t="s">
        <v>12679</v>
      </c>
      <c r="C1955" s="372" t="s">
        <v>12680</v>
      </c>
      <c r="D1955" s="374">
        <v>1101116860442</v>
      </c>
      <c r="E1955" s="372" t="s">
        <v>12681</v>
      </c>
      <c r="F1955" s="375" t="s">
        <v>1052</v>
      </c>
      <c r="G1955" s="375" t="s">
        <v>16101</v>
      </c>
      <c r="H1955" s="375" t="s">
        <v>858</v>
      </c>
      <c r="I1955" s="375" t="s">
        <v>859</v>
      </c>
      <c r="J1955" s="375">
        <v>29357.931400000001</v>
      </c>
      <c r="K1955" s="375">
        <v>6631.51044</v>
      </c>
      <c r="L1955" s="375">
        <v>6756.7715500000004</v>
      </c>
      <c r="M1955" s="375">
        <v>35911.861579999997</v>
      </c>
      <c r="N1955" s="372">
        <v>0.80900000000000005</v>
      </c>
      <c r="O1955" s="704">
        <v>13.882877421254175</v>
      </c>
      <c r="P1955" s="375" t="s">
        <v>619</v>
      </c>
      <c r="Q1955" s="372" t="s">
        <v>619</v>
      </c>
      <c r="R1955" s="696">
        <v>20181205</v>
      </c>
      <c r="S1955" s="372" t="s">
        <v>12682</v>
      </c>
      <c r="T1955" s="697">
        <v>0.20900000000000002</v>
      </c>
      <c r="U1955" s="372" t="s">
        <v>12683</v>
      </c>
      <c r="V1955" s="722">
        <v>6.21</v>
      </c>
      <c r="W1955" s="722">
        <v>1.32</v>
      </c>
      <c r="X1955" s="722">
        <v>1.74</v>
      </c>
      <c r="Y1955" s="722">
        <v>9.32</v>
      </c>
      <c r="Z1955" s="382" t="s">
        <v>924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12684</v>
      </c>
      <c r="B1956" s="373" t="s">
        <v>12685</v>
      </c>
      <c r="C1956" s="372" t="s">
        <v>12686</v>
      </c>
      <c r="D1956" s="374">
        <v>1601110243678</v>
      </c>
      <c r="E1956" s="372" t="s">
        <v>12687</v>
      </c>
      <c r="F1956" s="372" t="s">
        <v>1354</v>
      </c>
      <c r="G1956" s="375" t="s">
        <v>1354</v>
      </c>
      <c r="H1956" s="375" t="s">
        <v>858</v>
      </c>
      <c r="I1956" s="375" t="s">
        <v>859</v>
      </c>
      <c r="J1956" s="375">
        <v>61327.00475</v>
      </c>
      <c r="K1956" s="375">
        <v>5650.1108899999999</v>
      </c>
      <c r="L1956" s="375">
        <v>7092.9697100000003</v>
      </c>
      <c r="M1956" s="375">
        <v>76536.077709999998</v>
      </c>
      <c r="N1956" s="372">
        <v>0.76900000000000002</v>
      </c>
      <c r="O1956" s="704">
        <v>11.71193831806154</v>
      </c>
      <c r="P1956" s="375" t="s">
        <v>619</v>
      </c>
      <c r="Q1956" s="372" t="s">
        <v>619</v>
      </c>
      <c r="R1956" s="696">
        <v>20200921</v>
      </c>
      <c r="S1956" s="372" t="s">
        <v>12689</v>
      </c>
      <c r="T1956" s="697">
        <v>0.20900000000000002</v>
      </c>
      <c r="U1956" s="372" t="s">
        <v>12690</v>
      </c>
      <c r="V1956" s="722">
        <v>5.51</v>
      </c>
      <c r="W1956" s="722">
        <v>0.65</v>
      </c>
      <c r="X1956" s="722">
        <v>0.82</v>
      </c>
      <c r="Y1956" s="722">
        <v>7.63</v>
      </c>
      <c r="Z1956" s="382" t="s">
        <v>924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12691</v>
      </c>
      <c r="B1957" s="373" t="s">
        <v>12692</v>
      </c>
      <c r="C1957" s="372" t="s">
        <v>12693</v>
      </c>
      <c r="D1957" s="374">
        <v>1201110007204</v>
      </c>
      <c r="E1957" s="372" t="s">
        <v>12694</v>
      </c>
      <c r="F1957" s="372" t="s">
        <v>5616</v>
      </c>
      <c r="G1957" s="375" t="s">
        <v>5616</v>
      </c>
      <c r="H1957" s="375" t="s">
        <v>858</v>
      </c>
      <c r="I1957" s="375" t="s">
        <v>859</v>
      </c>
      <c r="J1957" s="375">
        <v>142158.04926</v>
      </c>
      <c r="K1957" s="375">
        <v>2426.8745199999998</v>
      </c>
      <c r="L1957" s="375">
        <v>3014.8981699999999</v>
      </c>
      <c r="M1957" s="375">
        <v>147802.27314</v>
      </c>
      <c r="N1957" s="372">
        <v>0.86199999999999999</v>
      </c>
      <c r="O1957" s="704">
        <v>6.0785487540181515</v>
      </c>
      <c r="P1957" s="375" t="s">
        <v>619</v>
      </c>
      <c r="Q1957" s="375" t="s">
        <v>619</v>
      </c>
      <c r="R1957" s="696">
        <v>20010116</v>
      </c>
      <c r="S1957" s="375" t="s">
        <v>12695</v>
      </c>
      <c r="T1957" s="697">
        <v>0.20900000000000002</v>
      </c>
      <c r="U1957" s="372" t="s">
        <v>12696</v>
      </c>
      <c r="V1957" s="722">
        <v>0</v>
      </c>
      <c r="W1957" s="722">
        <v>0</v>
      </c>
      <c r="X1957" s="722">
        <v>0</v>
      </c>
      <c r="Y1957" s="722">
        <v>0</v>
      </c>
      <c r="Z1957" s="382" t="s">
        <v>924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12697</v>
      </c>
      <c r="B1958" s="373" t="s">
        <v>12698</v>
      </c>
      <c r="C1958" s="372" t="s">
        <v>12699</v>
      </c>
      <c r="D1958" s="374">
        <v>1211110142596</v>
      </c>
      <c r="E1958" s="372" t="s">
        <v>12700</v>
      </c>
      <c r="F1958" s="372" t="s">
        <v>972</v>
      </c>
      <c r="G1958" s="375" t="s">
        <v>973</v>
      </c>
      <c r="H1958" s="375" t="s">
        <v>1334</v>
      </c>
      <c r="I1958" s="375" t="s">
        <v>859</v>
      </c>
      <c r="J1958" s="375">
        <v>22032.50071</v>
      </c>
      <c r="K1958" s="375">
        <v>-7750.7384700000002</v>
      </c>
      <c r="L1958" s="375">
        <v>-35575.312180000001</v>
      </c>
      <c r="M1958" s="375">
        <v>33257.182150000001</v>
      </c>
      <c r="N1958" s="372">
        <v>0.40300000000000002</v>
      </c>
      <c r="O1958" s="704">
        <v>43.709521329805909</v>
      </c>
      <c r="P1958" s="375" t="s">
        <v>16112</v>
      </c>
      <c r="Q1958" s="375" t="s">
        <v>16113</v>
      </c>
      <c r="R1958" s="696">
        <v>20110729</v>
      </c>
      <c r="S1958" s="375" t="s">
        <v>12701</v>
      </c>
      <c r="T1958" s="697" t="s">
        <v>768</v>
      </c>
      <c r="U1958" s="372" t="s">
        <v>12702</v>
      </c>
      <c r="V1958" s="722" t="s">
        <v>770</v>
      </c>
      <c r="W1958" s="722">
        <v>0.73</v>
      </c>
      <c r="X1958" s="722">
        <v>1.1000000000000001</v>
      </c>
      <c r="Y1958" s="722" t="s">
        <v>770</v>
      </c>
      <c r="Z1958" s="382" t="s">
        <v>924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12703</v>
      </c>
      <c r="B1959" s="373" t="s">
        <v>12704</v>
      </c>
      <c r="C1959" s="372" t="s">
        <v>12705</v>
      </c>
      <c r="D1959" s="374">
        <v>1701110022781</v>
      </c>
      <c r="E1959" s="372" t="s">
        <v>12706</v>
      </c>
      <c r="F1959" s="372" t="s">
        <v>5684</v>
      </c>
      <c r="G1959" s="375" t="s">
        <v>5684</v>
      </c>
      <c r="H1959" s="375" t="s">
        <v>750</v>
      </c>
      <c r="I1959" s="375" t="s">
        <v>751</v>
      </c>
      <c r="J1959" s="375">
        <v>643144.02627000003</v>
      </c>
      <c r="K1959" s="375">
        <v>44838.919459999997</v>
      </c>
      <c r="L1959" s="375">
        <v>35343.145920000003</v>
      </c>
      <c r="M1959" s="375">
        <v>147347.20908999999</v>
      </c>
      <c r="N1959" s="372">
        <v>0.63500000000000001</v>
      </c>
      <c r="O1959" s="704">
        <v>206.68381730533682</v>
      </c>
      <c r="P1959" s="375" t="s">
        <v>619</v>
      </c>
      <c r="Q1959" s="372" t="s">
        <v>619</v>
      </c>
      <c r="R1959" s="696">
        <v>19960731</v>
      </c>
      <c r="S1959" s="372" t="s">
        <v>12707</v>
      </c>
      <c r="T1959" s="697">
        <v>0.23100000000000001</v>
      </c>
      <c r="U1959" s="372" t="s">
        <v>12708</v>
      </c>
      <c r="V1959" s="722">
        <v>2.1</v>
      </c>
      <c r="W1959" s="722">
        <v>0.44</v>
      </c>
      <c r="X1959" s="722">
        <v>0.09</v>
      </c>
      <c r="Y1959" s="722">
        <v>2.15</v>
      </c>
      <c r="Z1959" s="382" t="s">
        <v>924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12709</v>
      </c>
      <c r="B1960" s="373" t="s">
        <v>12710</v>
      </c>
      <c r="C1960" s="372" t="s">
        <v>12711</v>
      </c>
      <c r="D1960" s="374">
        <v>1345110132792</v>
      </c>
      <c r="E1960" s="372" t="s">
        <v>12712</v>
      </c>
      <c r="F1960" s="375" t="s">
        <v>2072</v>
      </c>
      <c r="G1960" s="375" t="s">
        <v>2072</v>
      </c>
      <c r="H1960" s="375" t="s">
        <v>858</v>
      </c>
      <c r="I1960" s="375" t="s">
        <v>859</v>
      </c>
      <c r="J1960" s="375">
        <v>39552.47176</v>
      </c>
      <c r="K1960" s="375">
        <v>-4354.1378199999999</v>
      </c>
      <c r="L1960" s="375">
        <v>-3678.66849</v>
      </c>
      <c r="M1960" s="375">
        <v>53235.934789999999</v>
      </c>
      <c r="N1960" s="372">
        <v>0.93899999999999995</v>
      </c>
      <c r="O1960" s="704">
        <v>17.976552520641516</v>
      </c>
      <c r="P1960" s="375" t="s">
        <v>619</v>
      </c>
      <c r="Q1960" s="372" t="s">
        <v>619</v>
      </c>
      <c r="R1960" s="696">
        <v>20220204</v>
      </c>
      <c r="S1960" s="372" t="s">
        <v>12542</v>
      </c>
      <c r="T1960" s="697" t="s">
        <v>768</v>
      </c>
      <c r="U1960" s="372" t="s">
        <v>12713</v>
      </c>
      <c r="V1960" s="722" t="s">
        <v>770</v>
      </c>
      <c r="W1960" s="722">
        <v>0.95</v>
      </c>
      <c r="X1960" s="722">
        <v>1.32</v>
      </c>
      <c r="Y1960" s="722" t="s">
        <v>770</v>
      </c>
      <c r="Z1960" s="382" t="s">
        <v>924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12714</v>
      </c>
      <c r="B1961" s="373" t="s">
        <v>12715</v>
      </c>
      <c r="C1961" s="372" t="s">
        <v>12716</v>
      </c>
      <c r="D1961" s="374">
        <v>1101110036148</v>
      </c>
      <c r="E1961" s="372" t="s">
        <v>12717</v>
      </c>
      <c r="F1961" s="372" t="s">
        <v>5298</v>
      </c>
      <c r="G1961" s="375" t="s">
        <v>5298</v>
      </c>
      <c r="H1961" s="375" t="s">
        <v>858</v>
      </c>
      <c r="I1961" s="375" t="s">
        <v>859</v>
      </c>
      <c r="J1961" s="375">
        <v>106528.85068</v>
      </c>
      <c r="K1961" s="375">
        <v>10116.35786</v>
      </c>
      <c r="L1961" s="375">
        <v>11759.715</v>
      </c>
      <c r="M1961" s="375">
        <v>80972.797829999996</v>
      </c>
      <c r="N1961" s="372">
        <v>0.873</v>
      </c>
      <c r="O1961" s="704">
        <v>19.045841380863301</v>
      </c>
      <c r="P1961" s="375" t="s">
        <v>619</v>
      </c>
      <c r="Q1961" s="375" t="s">
        <v>619</v>
      </c>
      <c r="R1961" s="696">
        <v>19920725</v>
      </c>
      <c r="S1961" s="375" t="s">
        <v>6764</v>
      </c>
      <c r="T1961" s="697">
        <v>0.20900000000000002</v>
      </c>
      <c r="U1961" s="372" t="s">
        <v>12718</v>
      </c>
      <c r="V1961" s="722">
        <v>4.03</v>
      </c>
      <c r="W1961" s="722">
        <v>0.63</v>
      </c>
      <c r="X1961" s="722">
        <v>0.48</v>
      </c>
      <c r="Y1961" s="722">
        <v>4.1399999999999997</v>
      </c>
      <c r="Z1961" s="382" t="s">
        <v>924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12719</v>
      </c>
      <c r="B1962" s="373" t="s">
        <v>12720</v>
      </c>
      <c r="C1962" s="372" t="s">
        <v>12721</v>
      </c>
      <c r="D1962" s="374">
        <v>1101110307870</v>
      </c>
      <c r="E1962" s="372" t="s">
        <v>12722</v>
      </c>
      <c r="F1962" s="372" t="s">
        <v>972</v>
      </c>
      <c r="G1962" s="375" t="s">
        <v>973</v>
      </c>
      <c r="H1962" s="375" t="s">
        <v>1334</v>
      </c>
      <c r="I1962" s="375" t="s">
        <v>859</v>
      </c>
      <c r="J1962" s="375">
        <v>361481.60895000002</v>
      </c>
      <c r="K1962" s="375">
        <v>5301.8245200000001</v>
      </c>
      <c r="L1962" s="375">
        <v>3944.7591600000001</v>
      </c>
      <c r="M1962" s="375">
        <v>66753.296539999996</v>
      </c>
      <c r="N1962" s="372">
        <v>0.501</v>
      </c>
      <c r="O1962" s="704">
        <v>59.045157166020211</v>
      </c>
      <c r="P1962" s="375" t="s">
        <v>619</v>
      </c>
      <c r="Q1962" s="375" t="s">
        <v>619</v>
      </c>
      <c r="R1962" s="696">
        <v>20000411</v>
      </c>
      <c r="S1962" s="375" t="s">
        <v>12723</v>
      </c>
      <c r="T1962" s="697">
        <v>0.20900000000000002</v>
      </c>
      <c r="U1962" s="372" t="s">
        <v>12724</v>
      </c>
      <c r="V1962" s="722">
        <v>4.1399999999999997</v>
      </c>
      <c r="W1962" s="722">
        <v>0.6</v>
      </c>
      <c r="X1962" s="722">
        <v>0.11</v>
      </c>
      <c r="Y1962" s="722">
        <v>19.39</v>
      </c>
      <c r="Z1962" s="382" t="s">
        <v>924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12725</v>
      </c>
      <c r="B1963" s="373" t="s">
        <v>12726</v>
      </c>
      <c r="C1963" s="372" t="s">
        <v>12727</v>
      </c>
      <c r="D1963" s="374">
        <v>1101110042393</v>
      </c>
      <c r="E1963" s="372" t="s">
        <v>12727</v>
      </c>
      <c r="F1963" s="372" t="s">
        <v>5597</v>
      </c>
      <c r="G1963" s="375" t="s">
        <v>5597</v>
      </c>
      <c r="H1963" s="375" t="s">
        <v>814</v>
      </c>
      <c r="I1963" s="375" t="s">
        <v>751</v>
      </c>
      <c r="J1963" s="375">
        <v>32136.77159</v>
      </c>
      <c r="K1963" s="375">
        <v>-7919.2551800000001</v>
      </c>
      <c r="L1963" s="375">
        <v>-33017.456630000001</v>
      </c>
      <c r="M1963" s="375">
        <v>98909.084220000004</v>
      </c>
      <c r="N1963" s="372">
        <v>0.48399999999999999</v>
      </c>
      <c r="O1963" s="704">
        <v>27.557570258655321</v>
      </c>
      <c r="P1963" s="375" t="s">
        <v>16112</v>
      </c>
      <c r="Q1963" s="372" t="s">
        <v>16113</v>
      </c>
      <c r="R1963" s="696">
        <v>19731218</v>
      </c>
      <c r="S1963" s="372" t="s">
        <v>12728</v>
      </c>
      <c r="T1963" s="697" t="s">
        <v>768</v>
      </c>
      <c r="U1963" s="372" t="s">
        <v>12729</v>
      </c>
      <c r="V1963" s="722">
        <v>16.28</v>
      </c>
      <c r="W1963" s="722">
        <v>0.64</v>
      </c>
      <c r="X1963" s="722">
        <v>1.95</v>
      </c>
      <c r="Y1963" s="722" t="s">
        <v>770</v>
      </c>
      <c r="Z1963" s="382" t="s">
        <v>924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12730</v>
      </c>
      <c r="B1964" s="373" t="s">
        <v>12731</v>
      </c>
      <c r="C1964" s="372" t="s">
        <v>12732</v>
      </c>
      <c r="D1964" s="374">
        <v>1301110038918</v>
      </c>
      <c r="E1964" s="372" t="s">
        <v>12733</v>
      </c>
      <c r="F1964" s="375" t="s">
        <v>766</v>
      </c>
      <c r="G1964" s="375" t="s">
        <v>766</v>
      </c>
      <c r="H1964" s="375" t="s">
        <v>858</v>
      </c>
      <c r="I1964" s="375" t="s">
        <v>859</v>
      </c>
      <c r="J1964" s="375">
        <v>168311.13196999999</v>
      </c>
      <c r="K1964" s="375">
        <v>1786.5952</v>
      </c>
      <c r="L1964" s="375">
        <v>4525.8147900000004</v>
      </c>
      <c r="M1964" s="375">
        <v>106068.76498000001</v>
      </c>
      <c r="N1964" s="372">
        <v>0.73699999999999999</v>
      </c>
      <c r="O1964" s="704">
        <v>15.927889947366175</v>
      </c>
      <c r="P1964" s="375" t="s">
        <v>619</v>
      </c>
      <c r="Q1964" s="375" t="s">
        <v>619</v>
      </c>
      <c r="R1964" s="696">
        <v>20060808</v>
      </c>
      <c r="S1964" s="375" t="s">
        <v>12734</v>
      </c>
      <c r="T1964" s="697">
        <v>0.20900000000000002</v>
      </c>
      <c r="U1964" s="372" t="s">
        <v>12735</v>
      </c>
      <c r="V1964" s="722">
        <v>10.17</v>
      </c>
      <c r="W1964" s="722">
        <v>0.48</v>
      </c>
      <c r="X1964" s="722">
        <v>0.3</v>
      </c>
      <c r="Y1964" s="722">
        <v>19.03</v>
      </c>
      <c r="Z1964" s="382" t="s">
        <v>924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12736</v>
      </c>
      <c r="B1965" s="373" t="s">
        <v>12737</v>
      </c>
      <c r="C1965" s="372" t="s">
        <v>12738</v>
      </c>
      <c r="D1965" s="374">
        <v>1801110020246</v>
      </c>
      <c r="E1965" s="372" t="s">
        <v>12739</v>
      </c>
      <c r="F1965" s="375" t="s">
        <v>2113</v>
      </c>
      <c r="G1965" s="375" t="s">
        <v>2114</v>
      </c>
      <c r="H1965" s="375" t="s">
        <v>858</v>
      </c>
      <c r="I1965" s="375" t="s">
        <v>859</v>
      </c>
      <c r="J1965" s="375">
        <v>363084.13264999999</v>
      </c>
      <c r="K1965" s="375">
        <v>-654.7396</v>
      </c>
      <c r="L1965" s="375">
        <v>-18468.737980000002</v>
      </c>
      <c r="M1965" s="375">
        <v>33443.588819999997</v>
      </c>
      <c r="N1965" s="372">
        <v>0.255</v>
      </c>
      <c r="O1965" s="704">
        <v>898.81715415069505</v>
      </c>
      <c r="P1965" s="375" t="s">
        <v>619</v>
      </c>
      <c r="Q1965" s="372" t="s">
        <v>619</v>
      </c>
      <c r="R1965" s="696">
        <v>19931130</v>
      </c>
      <c r="S1965" s="372" t="s">
        <v>12740</v>
      </c>
      <c r="T1965" s="697" t="s">
        <v>768</v>
      </c>
      <c r="U1965" s="372" t="s">
        <v>12741</v>
      </c>
      <c r="V1965" s="722">
        <v>18.14</v>
      </c>
      <c r="W1965" s="722">
        <v>5.08</v>
      </c>
      <c r="X1965" s="722">
        <v>7.0000000000000007E-2</v>
      </c>
      <c r="Y1965" s="722" t="s">
        <v>770</v>
      </c>
      <c r="Z1965" s="382" t="s">
        <v>924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12742</v>
      </c>
      <c r="B1966" s="373" t="s">
        <v>12743</v>
      </c>
      <c r="C1966" s="372" t="s">
        <v>12744</v>
      </c>
      <c r="D1966" s="374">
        <v>1314110212929</v>
      </c>
      <c r="E1966" s="372" t="s">
        <v>12745</v>
      </c>
      <c r="F1966" s="375" t="s">
        <v>766</v>
      </c>
      <c r="G1966" s="375" t="s">
        <v>766</v>
      </c>
      <c r="H1966" s="375" t="s">
        <v>858</v>
      </c>
      <c r="I1966" s="375" t="s">
        <v>859</v>
      </c>
      <c r="J1966" s="375">
        <v>151619.76496</v>
      </c>
      <c r="K1966" s="375">
        <v>9351.3727299999991</v>
      </c>
      <c r="L1966" s="375">
        <v>7587.0956999999999</v>
      </c>
      <c r="M1966" s="375">
        <v>87755.780540000007</v>
      </c>
      <c r="N1966" s="372">
        <v>0.93400000000000005</v>
      </c>
      <c r="O1966" s="704">
        <v>20.784001355493498</v>
      </c>
      <c r="P1966" s="375" t="s">
        <v>619</v>
      </c>
      <c r="Q1966" s="375" t="s">
        <v>619</v>
      </c>
      <c r="R1966" s="696">
        <v>20130205</v>
      </c>
      <c r="S1966" s="375" t="s">
        <v>12746</v>
      </c>
      <c r="T1966" s="697">
        <v>0.20900000000000002</v>
      </c>
      <c r="U1966" s="372" t="s">
        <v>12747</v>
      </c>
      <c r="V1966" s="722">
        <v>3.31</v>
      </c>
      <c r="W1966" s="722">
        <v>0.49</v>
      </c>
      <c r="X1966" s="722">
        <v>0.28999999999999998</v>
      </c>
      <c r="Y1966" s="722">
        <v>7.46</v>
      </c>
      <c r="Z1966" s="382" t="s">
        <v>924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12748</v>
      </c>
      <c r="B1967" s="373" t="s">
        <v>12749</v>
      </c>
      <c r="C1967" s="372" t="s">
        <v>12750</v>
      </c>
      <c r="D1967" s="374">
        <v>1147110000402</v>
      </c>
      <c r="E1967" s="372" t="s">
        <v>12751</v>
      </c>
      <c r="F1967" s="372" t="s">
        <v>16120</v>
      </c>
      <c r="G1967" s="375" t="s">
        <v>16120</v>
      </c>
      <c r="H1967" s="375" t="s">
        <v>823</v>
      </c>
      <c r="I1967" s="375" t="s">
        <v>751</v>
      </c>
      <c r="J1967" s="375">
        <v>61105.022689999998</v>
      </c>
      <c r="K1967" s="375">
        <v>-1216.8920499999999</v>
      </c>
      <c r="L1967" s="375">
        <v>-593.86523999999997</v>
      </c>
      <c r="M1967" s="375">
        <v>131537.56129000001</v>
      </c>
      <c r="N1967" s="372">
        <v>0.66800000000000004</v>
      </c>
      <c r="O1967" s="704">
        <v>38.987846766997549</v>
      </c>
      <c r="P1967" s="375" t="s">
        <v>619</v>
      </c>
      <c r="Q1967" s="372" t="s">
        <v>619</v>
      </c>
      <c r="R1967" s="696">
        <v>19761223</v>
      </c>
      <c r="S1967" s="372" t="s">
        <v>12752</v>
      </c>
      <c r="T1967" s="697" t="s">
        <v>768</v>
      </c>
      <c r="U1967" s="372" t="s">
        <v>12753</v>
      </c>
      <c r="V1967" s="722">
        <v>31.12</v>
      </c>
      <c r="W1967" s="722">
        <v>0.39</v>
      </c>
      <c r="X1967" s="722">
        <v>0.86</v>
      </c>
      <c r="Y1967" s="722" t="s">
        <v>770</v>
      </c>
      <c r="Z1967" s="382" t="s">
        <v>924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12754</v>
      </c>
      <c r="B1968" s="373" t="s">
        <v>12755</v>
      </c>
      <c r="C1968" s="372" t="s">
        <v>12756</v>
      </c>
      <c r="D1968" s="374">
        <v>1101110413990</v>
      </c>
      <c r="E1968" s="372" t="s">
        <v>12757</v>
      </c>
      <c r="F1968" s="372" t="s">
        <v>1566</v>
      </c>
      <c r="G1968" s="375" t="s">
        <v>1566</v>
      </c>
      <c r="H1968" s="375" t="s">
        <v>3096</v>
      </c>
      <c r="I1968" s="375" t="s">
        <v>859</v>
      </c>
      <c r="J1968" s="375">
        <v>66085.461729999995</v>
      </c>
      <c r="K1968" s="375">
        <v>-6229.0473599999996</v>
      </c>
      <c r="L1968" s="375">
        <v>-15104.72623</v>
      </c>
      <c r="M1968" s="375">
        <v>37219.586340000002</v>
      </c>
      <c r="N1968" s="372">
        <v>0.878</v>
      </c>
      <c r="O1968" s="704">
        <v>10.245934715604406</v>
      </c>
      <c r="P1968" s="375" t="s">
        <v>619</v>
      </c>
      <c r="Q1968" s="375" t="s">
        <v>619</v>
      </c>
      <c r="R1968" s="696">
        <v>19940311</v>
      </c>
      <c r="S1968" s="375" t="s">
        <v>12758</v>
      </c>
      <c r="T1968" s="697" t="s">
        <v>768</v>
      </c>
      <c r="U1968" s="372" t="s">
        <v>12759</v>
      </c>
      <c r="V1968" s="722" t="s">
        <v>770</v>
      </c>
      <c r="W1968" s="722">
        <v>1.1100000000000001</v>
      </c>
      <c r="X1968" s="722">
        <v>0.65</v>
      </c>
      <c r="Y1968" s="722" t="s">
        <v>770</v>
      </c>
      <c r="Z1968" s="382" t="s">
        <v>924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12760</v>
      </c>
      <c r="B1969" s="373" t="s">
        <v>12761</v>
      </c>
      <c r="C1969" s="372" t="s">
        <v>15946</v>
      </c>
      <c r="D1969" s="374">
        <v>2101110118854</v>
      </c>
      <c r="E1969" s="372" t="s">
        <v>12762</v>
      </c>
      <c r="F1969" s="372" t="s">
        <v>1860</v>
      </c>
      <c r="G1969" s="375" t="s">
        <v>1861</v>
      </c>
      <c r="H1969" s="375" t="s">
        <v>858</v>
      </c>
      <c r="I1969" s="375" t="s">
        <v>859</v>
      </c>
      <c r="J1969" s="375">
        <v>262576.25727</v>
      </c>
      <c r="K1969" s="375">
        <v>14771.05322</v>
      </c>
      <c r="L1969" s="375">
        <v>-9475.9047800000008</v>
      </c>
      <c r="M1969" s="375">
        <v>93343.745739999998</v>
      </c>
      <c r="N1969" s="372">
        <v>0.99299999999999999</v>
      </c>
      <c r="O1969" s="704">
        <v>147.55273605886842</v>
      </c>
      <c r="P1969" s="375" t="s">
        <v>619</v>
      </c>
      <c r="Q1969" s="372" t="s">
        <v>619</v>
      </c>
      <c r="R1969" s="696">
        <v>20181207</v>
      </c>
      <c r="S1969" s="372" t="s">
        <v>12763</v>
      </c>
      <c r="T1969" s="697" t="s">
        <v>768</v>
      </c>
      <c r="U1969" s="372" t="s">
        <v>12764</v>
      </c>
      <c r="V1969" s="722">
        <v>4.4800000000000004</v>
      </c>
      <c r="W1969" s="722">
        <v>0.49</v>
      </c>
      <c r="X1969" s="722">
        <v>0.17</v>
      </c>
      <c r="Y1969" s="722" t="s">
        <v>770</v>
      </c>
      <c r="Z1969" s="382" t="s">
        <v>924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12765</v>
      </c>
      <c r="B1970" s="373" t="s">
        <v>12766</v>
      </c>
      <c r="C1970" s="372" t="s">
        <v>12767</v>
      </c>
      <c r="D1970" s="374">
        <v>1301110056407</v>
      </c>
      <c r="E1970" s="372" t="s">
        <v>12768</v>
      </c>
      <c r="F1970" s="375" t="s">
        <v>6607</v>
      </c>
      <c r="G1970" s="375" t="s">
        <v>6607</v>
      </c>
      <c r="H1970" s="375" t="s">
        <v>858</v>
      </c>
      <c r="I1970" s="375" t="s">
        <v>859</v>
      </c>
      <c r="J1970" s="375">
        <v>22720.32806</v>
      </c>
      <c r="K1970" s="375">
        <v>880.43507999999997</v>
      </c>
      <c r="L1970" s="375">
        <v>2229.3845799999999</v>
      </c>
      <c r="M1970" s="375">
        <v>53563.92901</v>
      </c>
      <c r="N1970" s="372">
        <v>0.78500000000000003</v>
      </c>
      <c r="O1970" s="704">
        <v>9.3685086615140403</v>
      </c>
      <c r="P1970" s="375" t="s">
        <v>619</v>
      </c>
      <c r="Q1970" s="372" t="s">
        <v>619</v>
      </c>
      <c r="R1970" s="696">
        <v>20110712</v>
      </c>
      <c r="S1970" s="375" t="s">
        <v>12769</v>
      </c>
      <c r="T1970" s="697">
        <v>0.20900000000000002</v>
      </c>
      <c r="U1970" s="372" t="s">
        <v>12770</v>
      </c>
      <c r="V1970" s="722">
        <v>0</v>
      </c>
      <c r="W1970" s="722">
        <v>0</v>
      </c>
      <c r="X1970" s="722">
        <v>0</v>
      </c>
      <c r="Y1970" s="722">
        <v>0</v>
      </c>
      <c r="Z1970" s="382" t="s">
        <v>924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12771</v>
      </c>
      <c r="B1971" s="373" t="s">
        <v>12772</v>
      </c>
      <c r="C1971" s="372" t="s">
        <v>12773</v>
      </c>
      <c r="D1971" s="374">
        <v>1341110170980</v>
      </c>
      <c r="E1971" s="372" t="s">
        <v>12774</v>
      </c>
      <c r="F1971" s="375" t="s">
        <v>4868</v>
      </c>
      <c r="G1971" s="375" t="s">
        <v>4868</v>
      </c>
      <c r="H1971" s="375" t="s">
        <v>858</v>
      </c>
      <c r="I1971" s="375" t="s">
        <v>859</v>
      </c>
      <c r="J1971" s="375">
        <v>14998.922070000001</v>
      </c>
      <c r="K1971" s="375">
        <v>2611.8249700000001</v>
      </c>
      <c r="L1971" s="375">
        <v>3097.4036900000001</v>
      </c>
      <c r="M1971" s="375">
        <v>32991.583129999999</v>
      </c>
      <c r="N1971" s="372">
        <v>0.80600000000000005</v>
      </c>
      <c r="O1971" s="704">
        <v>6.9644724405088914</v>
      </c>
      <c r="P1971" s="375" t="s">
        <v>619</v>
      </c>
      <c r="Q1971" s="372" t="s">
        <v>619</v>
      </c>
      <c r="R1971" s="696">
        <v>20161103</v>
      </c>
      <c r="S1971" s="372" t="s">
        <v>12775</v>
      </c>
      <c r="T1971" s="697">
        <v>0.20900000000000002</v>
      </c>
      <c r="U1971" s="372" t="s">
        <v>12776</v>
      </c>
      <c r="V1971" s="722">
        <v>13.83</v>
      </c>
      <c r="W1971" s="722">
        <v>1.34</v>
      </c>
      <c r="X1971" s="722">
        <v>2.95</v>
      </c>
      <c r="Y1971" s="722">
        <v>17.87</v>
      </c>
      <c r="Z1971" s="382" t="s">
        <v>924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12777</v>
      </c>
      <c r="B1972" s="373" t="s">
        <v>12778</v>
      </c>
      <c r="C1972" s="372" t="s">
        <v>12779</v>
      </c>
      <c r="D1972" s="374">
        <v>1545110006076</v>
      </c>
      <c r="E1972" s="372" t="s">
        <v>12780</v>
      </c>
      <c r="F1972" s="372" t="s">
        <v>3233</v>
      </c>
      <c r="G1972" s="375" t="s">
        <v>3233</v>
      </c>
      <c r="H1972" s="375" t="s">
        <v>750</v>
      </c>
      <c r="I1972" s="375" t="s">
        <v>751</v>
      </c>
      <c r="J1972" s="375">
        <v>89372.912259999997</v>
      </c>
      <c r="K1972" s="375">
        <v>753.14774</v>
      </c>
      <c r="L1972" s="375">
        <v>-837.5059</v>
      </c>
      <c r="M1972" s="375">
        <v>31541.156739999999</v>
      </c>
      <c r="N1972" s="372">
        <v>0.67700000000000005</v>
      </c>
      <c r="O1972" s="704">
        <v>44.865181142752341</v>
      </c>
      <c r="P1972" s="375" t="s">
        <v>619</v>
      </c>
      <c r="Q1972" s="375" t="s">
        <v>619</v>
      </c>
      <c r="R1972" s="696">
        <v>20020109</v>
      </c>
      <c r="S1972" s="375" t="s">
        <v>12781</v>
      </c>
      <c r="T1972" s="697" t="s">
        <v>768</v>
      </c>
      <c r="U1972" s="372" t="s">
        <v>12782</v>
      </c>
      <c r="V1972" s="722">
        <v>23.9</v>
      </c>
      <c r="W1972" s="722">
        <v>1.66</v>
      </c>
      <c r="X1972" s="722">
        <v>0.59</v>
      </c>
      <c r="Y1972" s="722" t="s">
        <v>770</v>
      </c>
      <c r="Z1972" s="382" t="s">
        <v>924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12783</v>
      </c>
      <c r="B1973" s="373" t="s">
        <v>12784</v>
      </c>
      <c r="C1973" s="372" t="s">
        <v>12785</v>
      </c>
      <c r="D1973" s="374">
        <v>1601110395297</v>
      </c>
      <c r="E1973" s="372" t="s">
        <v>12786</v>
      </c>
      <c r="F1973" s="372" t="s">
        <v>2121</v>
      </c>
      <c r="G1973" s="375" t="s">
        <v>4228</v>
      </c>
      <c r="H1973" s="375" t="s">
        <v>858</v>
      </c>
      <c r="I1973" s="375" t="s">
        <v>859</v>
      </c>
      <c r="J1973" s="375">
        <v>12216.822120000001</v>
      </c>
      <c r="K1973" s="375">
        <v>-17424.70435</v>
      </c>
      <c r="L1973" s="375">
        <v>-19795.423859999999</v>
      </c>
      <c r="M1973" s="375">
        <v>9559.2373800000005</v>
      </c>
      <c r="N1973" s="372">
        <v>0.84399999999999997</v>
      </c>
      <c r="O1973" s="704">
        <v>31.595592686585007</v>
      </c>
      <c r="P1973" s="375" t="s">
        <v>619</v>
      </c>
      <c r="Q1973" s="372" t="s">
        <v>619</v>
      </c>
      <c r="R1973" s="696">
        <v>20221021</v>
      </c>
      <c r="S1973" s="372" t="s">
        <v>12787</v>
      </c>
      <c r="T1973" s="697" t="s">
        <v>768</v>
      </c>
      <c r="U1973" s="372" t="s">
        <v>12788</v>
      </c>
      <c r="V1973" s="722" t="s">
        <v>770</v>
      </c>
      <c r="W1973" s="722">
        <v>6.1</v>
      </c>
      <c r="X1973" s="722">
        <v>3.85</v>
      </c>
      <c r="Y1973" s="722" t="s">
        <v>770</v>
      </c>
      <c r="Z1973" s="382" t="s">
        <v>924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12789</v>
      </c>
      <c r="B1974" s="373" t="s">
        <v>12790</v>
      </c>
      <c r="C1974" s="372" t="s">
        <v>16283</v>
      </c>
      <c r="D1974" s="374">
        <v>1101111517709</v>
      </c>
      <c r="E1974" s="372" t="s">
        <v>16284</v>
      </c>
      <c r="F1974" s="372" t="s">
        <v>3588</v>
      </c>
      <c r="G1974" s="375" t="s">
        <v>3589</v>
      </c>
      <c r="H1974" s="375" t="s">
        <v>858</v>
      </c>
      <c r="I1974" s="375" t="s">
        <v>859</v>
      </c>
      <c r="J1974" s="375">
        <v>20330.285909999999</v>
      </c>
      <c r="K1974" s="375">
        <v>-32.599939999999997</v>
      </c>
      <c r="L1974" s="375">
        <v>-2423.2660000000001</v>
      </c>
      <c r="M1974" s="375">
        <v>26627.317490000001</v>
      </c>
      <c r="N1974" s="372" t="s">
        <v>1023</v>
      </c>
      <c r="O1974" s="704">
        <v>2.3300693389584493</v>
      </c>
      <c r="P1974" s="375" t="s">
        <v>16112</v>
      </c>
      <c r="Q1974" s="372" t="s">
        <v>16113</v>
      </c>
      <c r="R1974" s="696">
        <v>20091222</v>
      </c>
      <c r="S1974" s="372" t="s">
        <v>12791</v>
      </c>
      <c r="T1974" s="697" t="s">
        <v>768</v>
      </c>
      <c r="U1974" s="372" t="s">
        <v>12792</v>
      </c>
      <c r="V1974" s="722">
        <v>59.6</v>
      </c>
      <c r="W1974" s="722">
        <v>2.11</v>
      </c>
      <c r="X1974" s="722">
        <v>2.86</v>
      </c>
      <c r="Y1974" s="722" t="s">
        <v>770</v>
      </c>
      <c r="Z1974" s="382" t="s">
        <v>924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12793</v>
      </c>
      <c r="B1975" s="373" t="s">
        <v>12794</v>
      </c>
      <c r="C1975" s="372" t="s">
        <v>12795</v>
      </c>
      <c r="D1975" s="374">
        <v>1101112131821</v>
      </c>
      <c r="E1975" s="372" t="s">
        <v>12796</v>
      </c>
      <c r="F1975" s="372" t="s">
        <v>1093</v>
      </c>
      <c r="G1975" s="375" t="s">
        <v>1094</v>
      </c>
      <c r="H1975" s="375" t="s">
        <v>858</v>
      </c>
      <c r="I1975" s="375" t="s">
        <v>859</v>
      </c>
      <c r="J1975" s="375">
        <v>34129.075989999998</v>
      </c>
      <c r="K1975" s="375">
        <v>-1603.88642</v>
      </c>
      <c r="L1975" s="375">
        <v>-9849.4940000000006</v>
      </c>
      <c r="M1975" s="375">
        <v>23488.892</v>
      </c>
      <c r="N1975" s="372">
        <v>0.49099999999999999</v>
      </c>
      <c r="O1975" s="704">
        <v>48.468737386505261</v>
      </c>
      <c r="P1975" s="375" t="s">
        <v>619</v>
      </c>
      <c r="Q1975" s="372" t="s">
        <v>619</v>
      </c>
      <c r="R1975" s="696">
        <v>20170712</v>
      </c>
      <c r="S1975" s="372" t="s">
        <v>12797</v>
      </c>
      <c r="T1975" s="697" t="s">
        <v>768</v>
      </c>
      <c r="U1975" s="375" t="s">
        <v>12798</v>
      </c>
      <c r="V1975" s="722">
        <v>312.05</v>
      </c>
      <c r="W1975" s="722">
        <v>2.1800000000000002</v>
      </c>
      <c r="X1975" s="722">
        <v>1.77</v>
      </c>
      <c r="Y1975" s="722" t="s">
        <v>770</v>
      </c>
      <c r="Z1975" s="382" t="s">
        <v>924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12799</v>
      </c>
      <c r="B1976" s="373" t="s">
        <v>12800</v>
      </c>
      <c r="C1976" s="372" t="s">
        <v>16035</v>
      </c>
      <c r="D1976" s="374">
        <v>1314110144073</v>
      </c>
      <c r="E1976" s="372" t="s">
        <v>16036</v>
      </c>
      <c r="F1976" s="372" t="s">
        <v>2072</v>
      </c>
      <c r="G1976" s="375" t="s">
        <v>2072</v>
      </c>
      <c r="H1976" s="375" t="s">
        <v>858</v>
      </c>
      <c r="I1976" s="375" t="s">
        <v>859</v>
      </c>
      <c r="J1976" s="375">
        <v>16205.02795</v>
      </c>
      <c r="K1976" s="375">
        <v>-12696.440140000001</v>
      </c>
      <c r="L1976" s="375">
        <v>-18079.395980000001</v>
      </c>
      <c r="M1976" s="375">
        <v>20740.811470000001</v>
      </c>
      <c r="N1976" s="372">
        <v>1.1319999999999999</v>
      </c>
      <c r="O1976" s="704">
        <v>33.030050120083914</v>
      </c>
      <c r="P1976" s="375" t="s">
        <v>619</v>
      </c>
      <c r="Q1976" s="375" t="s">
        <v>619</v>
      </c>
      <c r="R1976" s="696">
        <v>20190725</v>
      </c>
      <c r="S1976" s="375" t="s">
        <v>12801</v>
      </c>
      <c r="T1976" s="697" t="s">
        <v>768</v>
      </c>
      <c r="U1976" s="372" t="s">
        <v>12802</v>
      </c>
      <c r="V1976" s="722">
        <v>0</v>
      </c>
      <c r="W1976" s="722">
        <v>0</v>
      </c>
      <c r="X1976" s="722">
        <v>0</v>
      </c>
      <c r="Y1976" s="722">
        <v>0</v>
      </c>
      <c r="Z1976" s="382" t="s">
        <v>924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12803</v>
      </c>
      <c r="B1977" s="373" t="s">
        <v>12804</v>
      </c>
      <c r="C1977" s="372" t="s">
        <v>12805</v>
      </c>
      <c r="D1977" s="374">
        <v>1243110005515</v>
      </c>
      <c r="E1977" s="372" t="s">
        <v>12806</v>
      </c>
      <c r="F1977" s="372" t="s">
        <v>1320</v>
      </c>
      <c r="G1977" s="375" t="s">
        <v>16103</v>
      </c>
      <c r="H1977" s="375" t="s">
        <v>858</v>
      </c>
      <c r="I1977" s="375" t="s">
        <v>859</v>
      </c>
      <c r="J1977" s="375">
        <v>72883.640650000001</v>
      </c>
      <c r="K1977" s="375">
        <v>432.34096</v>
      </c>
      <c r="L1977" s="375">
        <v>-3957.4940299999998</v>
      </c>
      <c r="M1977" s="375">
        <v>75102.899409999998</v>
      </c>
      <c r="N1977" s="372">
        <v>0.50800000000000001</v>
      </c>
      <c r="O1977" s="704">
        <v>213.07984326116119</v>
      </c>
      <c r="P1977" s="375" t="s">
        <v>619</v>
      </c>
      <c r="Q1977" s="372" t="s">
        <v>619</v>
      </c>
      <c r="R1977" s="696">
        <v>20141215</v>
      </c>
      <c r="S1977" s="372" t="s">
        <v>12807</v>
      </c>
      <c r="T1977" s="697" t="s">
        <v>768</v>
      </c>
      <c r="U1977" s="372" t="s">
        <v>12808</v>
      </c>
      <c r="V1977" s="722">
        <v>15.09</v>
      </c>
      <c r="W1977" s="722">
        <v>0.57999999999999996</v>
      </c>
      <c r="X1977" s="722">
        <v>0.61</v>
      </c>
      <c r="Y1977" s="722" t="s">
        <v>770</v>
      </c>
      <c r="Z1977" s="382" t="s">
        <v>924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12809</v>
      </c>
      <c r="B1978" s="373" t="s">
        <v>12810</v>
      </c>
      <c r="C1978" s="372" t="s">
        <v>12811</v>
      </c>
      <c r="D1978" s="374">
        <v>1101112605793</v>
      </c>
      <c r="E1978" s="372" t="s">
        <v>12812</v>
      </c>
      <c r="F1978" s="372" t="s">
        <v>1793</v>
      </c>
      <c r="G1978" s="375" t="s">
        <v>1794</v>
      </c>
      <c r="H1978" s="375" t="s">
        <v>858</v>
      </c>
      <c r="I1978" s="375" t="s">
        <v>859</v>
      </c>
      <c r="J1978" s="375">
        <v>13769.99935</v>
      </c>
      <c r="K1978" s="375">
        <v>113.27233</v>
      </c>
      <c r="L1978" s="375">
        <v>886.14202999999998</v>
      </c>
      <c r="M1978" s="375">
        <v>19104.137559999999</v>
      </c>
      <c r="N1978" s="372">
        <v>1.1379999999999999</v>
      </c>
      <c r="O1978" s="704">
        <v>1.0004519557998808</v>
      </c>
      <c r="P1978" s="375" t="s">
        <v>619</v>
      </c>
      <c r="Q1978" s="375" t="s">
        <v>619</v>
      </c>
      <c r="R1978" s="696">
        <v>20111202</v>
      </c>
      <c r="S1978" s="372" t="s">
        <v>12813</v>
      </c>
      <c r="T1978" s="697">
        <v>0.20900000000000002</v>
      </c>
      <c r="U1978" s="372" t="s">
        <v>12814</v>
      </c>
      <c r="V1978" s="722">
        <v>55.22</v>
      </c>
      <c r="W1978" s="722">
        <v>2.2000000000000002</v>
      </c>
      <c r="X1978" s="722">
        <v>3.05</v>
      </c>
      <c r="Y1978" s="722">
        <v>50.52</v>
      </c>
      <c r="Z1978" s="382" t="s">
        <v>924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12815</v>
      </c>
      <c r="B1979" s="373" t="s">
        <v>12816</v>
      </c>
      <c r="C1979" s="372" t="s">
        <v>12817</v>
      </c>
      <c r="D1979" s="374">
        <v>1942110000018</v>
      </c>
      <c r="E1979" s="372" t="s">
        <v>12818</v>
      </c>
      <c r="F1979" s="375" t="s">
        <v>8433</v>
      </c>
      <c r="G1979" s="375" t="s">
        <v>8434</v>
      </c>
      <c r="H1979" s="375" t="s">
        <v>1465</v>
      </c>
      <c r="I1979" s="375" t="s">
        <v>751</v>
      </c>
      <c r="J1979" s="375">
        <v>283563.47194999998</v>
      </c>
      <c r="K1979" s="375">
        <v>11280.32842</v>
      </c>
      <c r="L1979" s="375">
        <v>2535.10763</v>
      </c>
      <c r="M1979" s="375">
        <v>165792.77371000001</v>
      </c>
      <c r="N1979" s="372">
        <v>0.54300000000000004</v>
      </c>
      <c r="O1979" s="704">
        <v>161.47465378331398</v>
      </c>
      <c r="P1979" s="375" t="s">
        <v>619</v>
      </c>
      <c r="Q1979" s="372" t="s">
        <v>619</v>
      </c>
      <c r="R1979" s="696">
        <v>19921223</v>
      </c>
      <c r="S1979" s="372" t="s">
        <v>12819</v>
      </c>
      <c r="T1979" s="697">
        <v>0.20900000000000002</v>
      </c>
      <c r="U1979" s="372" t="s">
        <v>12820</v>
      </c>
      <c r="V1979" s="722">
        <v>5.78</v>
      </c>
      <c r="W1979" s="722">
        <v>0.37</v>
      </c>
      <c r="X1979" s="722">
        <v>0.21</v>
      </c>
      <c r="Y1979" s="722">
        <v>44.74</v>
      </c>
      <c r="Z1979" s="382" t="s">
        <v>924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12821</v>
      </c>
      <c r="B1980" s="373" t="s">
        <v>12822</v>
      </c>
      <c r="C1980" s="372" t="s">
        <v>12823</v>
      </c>
      <c r="D1980" s="374">
        <v>1244110005688</v>
      </c>
      <c r="E1980" s="372" t="s">
        <v>12824</v>
      </c>
      <c r="F1980" s="375" t="s">
        <v>16037</v>
      </c>
      <c r="G1980" s="375" t="s">
        <v>16037</v>
      </c>
      <c r="H1980" s="375" t="s">
        <v>3096</v>
      </c>
      <c r="I1980" s="375" t="s">
        <v>859</v>
      </c>
      <c r="J1980" s="375">
        <v>120106.90234</v>
      </c>
      <c r="K1980" s="375">
        <v>15073.297930000001</v>
      </c>
      <c r="L1980" s="375">
        <v>16783.547849999999</v>
      </c>
      <c r="M1980" s="375">
        <v>183500.08554999999</v>
      </c>
      <c r="N1980" s="372">
        <v>0.58399999999999996</v>
      </c>
      <c r="O1980" s="704">
        <v>17.436204184782607</v>
      </c>
      <c r="P1980" s="375" t="s">
        <v>619</v>
      </c>
      <c r="Q1980" s="372" t="s">
        <v>619</v>
      </c>
      <c r="R1980" s="696">
        <v>19930527</v>
      </c>
      <c r="S1980" s="372" t="s">
        <v>12825</v>
      </c>
      <c r="T1980" s="697">
        <v>0.20900000000000002</v>
      </c>
      <c r="U1980" s="372" t="s">
        <v>12826</v>
      </c>
      <c r="V1980" s="722">
        <v>3.64</v>
      </c>
      <c r="W1980" s="722">
        <v>0.28999999999999998</v>
      </c>
      <c r="X1980" s="722">
        <v>0.46</v>
      </c>
      <c r="Y1980" s="722">
        <v>4.25</v>
      </c>
      <c r="Z1980" s="382" t="s">
        <v>924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12827</v>
      </c>
      <c r="B1981" s="373" t="s">
        <v>12828</v>
      </c>
      <c r="C1981" s="372" t="s">
        <v>12829</v>
      </c>
      <c r="D1981" s="374">
        <v>1101111651242</v>
      </c>
      <c r="E1981" s="372" t="s">
        <v>12830</v>
      </c>
      <c r="F1981" s="372" t="s">
        <v>1272</v>
      </c>
      <c r="G1981" s="375" t="s">
        <v>1272</v>
      </c>
      <c r="H1981" s="375" t="s">
        <v>858</v>
      </c>
      <c r="I1981" s="375" t="s">
        <v>859</v>
      </c>
      <c r="J1981" s="375">
        <v>74921.747489999994</v>
      </c>
      <c r="K1981" s="375">
        <v>27.93535</v>
      </c>
      <c r="L1981" s="375">
        <v>-6733.4614300000003</v>
      </c>
      <c r="M1981" s="375">
        <v>81192.497399999993</v>
      </c>
      <c r="N1981" s="372">
        <v>0.43099999999999999</v>
      </c>
      <c r="O1981" s="704">
        <v>127.72304405313531</v>
      </c>
      <c r="P1981" s="375" t="s">
        <v>619</v>
      </c>
      <c r="Q1981" s="372" t="s">
        <v>619</v>
      </c>
      <c r="R1981" s="696">
        <v>20071012</v>
      </c>
      <c r="S1981" s="372" t="s">
        <v>12831</v>
      </c>
      <c r="T1981" s="697" t="s">
        <v>768</v>
      </c>
      <c r="U1981" s="372" t="s">
        <v>12832</v>
      </c>
      <c r="V1981" s="722">
        <v>11.3</v>
      </c>
      <c r="W1981" s="722">
        <v>0.52</v>
      </c>
      <c r="X1981" s="722">
        <v>0.76</v>
      </c>
      <c r="Y1981" s="722" t="s">
        <v>770</v>
      </c>
      <c r="Z1981" s="382" t="s">
        <v>924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12833</v>
      </c>
      <c r="B1982" s="373" t="s">
        <v>12834</v>
      </c>
      <c r="C1982" s="372" t="s">
        <v>12835</v>
      </c>
      <c r="D1982" s="374">
        <v>1101111858814</v>
      </c>
      <c r="E1982" s="372" t="s">
        <v>12836</v>
      </c>
      <c r="F1982" s="375" t="s">
        <v>5766</v>
      </c>
      <c r="G1982" s="375" t="s">
        <v>5766</v>
      </c>
      <c r="H1982" s="375" t="s">
        <v>1334</v>
      </c>
      <c r="I1982" s="375" t="s">
        <v>859</v>
      </c>
      <c r="J1982" s="375">
        <v>105020.02399</v>
      </c>
      <c r="K1982" s="375">
        <v>2328.9400900000001</v>
      </c>
      <c r="L1982" s="375">
        <v>2767.0858499999999</v>
      </c>
      <c r="M1982" s="375">
        <v>36746.923349999997</v>
      </c>
      <c r="N1982" s="372">
        <v>0.63100000000000001</v>
      </c>
      <c r="O1982" s="704">
        <v>51.935146248431529</v>
      </c>
      <c r="P1982" s="375" t="s">
        <v>619</v>
      </c>
      <c r="Q1982" s="372" t="s">
        <v>619</v>
      </c>
      <c r="R1982" s="696">
        <v>20041229</v>
      </c>
      <c r="S1982" s="372" t="s">
        <v>12837</v>
      </c>
      <c r="T1982" s="697">
        <v>0.20900000000000002</v>
      </c>
      <c r="U1982" s="372" t="s">
        <v>12838</v>
      </c>
      <c r="V1982" s="722">
        <v>9.66</v>
      </c>
      <c r="W1982" s="722">
        <v>0.78</v>
      </c>
      <c r="X1982" s="722">
        <v>0.33</v>
      </c>
      <c r="Y1982" s="722">
        <v>18.239999999999998</v>
      </c>
      <c r="Z1982" s="382" t="s">
        <v>924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12839</v>
      </c>
      <c r="B1983" s="373" t="s">
        <v>12840</v>
      </c>
      <c r="C1983" s="372" t="s">
        <v>12841</v>
      </c>
      <c r="D1983" s="374">
        <v>1701110020694</v>
      </c>
      <c r="E1983" s="372" t="s">
        <v>12842</v>
      </c>
      <c r="F1983" s="375" t="s">
        <v>2989</v>
      </c>
      <c r="G1983" s="375" t="s">
        <v>2989</v>
      </c>
      <c r="H1983" s="375" t="s">
        <v>858</v>
      </c>
      <c r="I1983" s="375" t="s">
        <v>859</v>
      </c>
      <c r="J1983" s="375">
        <v>228354.85526000001</v>
      </c>
      <c r="K1983" s="375">
        <v>734.76773000000003</v>
      </c>
      <c r="L1983" s="375">
        <v>21647.635310000001</v>
      </c>
      <c r="M1983" s="375">
        <v>368839.91756999999</v>
      </c>
      <c r="N1983" s="372">
        <v>0.73299999999999998</v>
      </c>
      <c r="O1983" s="704">
        <v>0</v>
      </c>
      <c r="P1983" s="375" t="s">
        <v>619</v>
      </c>
      <c r="Q1983" s="375" t="s">
        <v>619</v>
      </c>
      <c r="R1983" s="696">
        <v>19941222</v>
      </c>
      <c r="S1983" s="375" t="s">
        <v>12843</v>
      </c>
      <c r="T1983" s="697">
        <v>0.23100000000000001</v>
      </c>
      <c r="U1983" s="372" t="s">
        <v>11305</v>
      </c>
      <c r="V1983" s="722">
        <v>0</v>
      </c>
      <c r="W1983" s="722">
        <v>0</v>
      </c>
      <c r="X1983" s="722">
        <v>0</v>
      </c>
      <c r="Y1983" s="722">
        <v>0</v>
      </c>
      <c r="Z1983" s="382" t="s">
        <v>924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12844</v>
      </c>
      <c r="B1984" s="373" t="s">
        <v>12845</v>
      </c>
      <c r="C1984" s="372" t="s">
        <v>12846</v>
      </c>
      <c r="D1984" s="374">
        <v>1345110000387</v>
      </c>
      <c r="E1984" s="372" t="s">
        <v>12847</v>
      </c>
      <c r="F1984" s="375" t="s">
        <v>10980</v>
      </c>
      <c r="G1984" s="375" t="s">
        <v>12848</v>
      </c>
      <c r="H1984" s="375" t="s">
        <v>823</v>
      </c>
      <c r="I1984" s="375" t="s">
        <v>751</v>
      </c>
      <c r="J1984" s="375">
        <v>55681.906210000001</v>
      </c>
      <c r="K1984" s="375">
        <v>4596.9039400000001</v>
      </c>
      <c r="L1984" s="375">
        <v>4616.3852399999996</v>
      </c>
      <c r="M1984" s="375">
        <v>32585.274000000001</v>
      </c>
      <c r="N1984" s="372">
        <v>1.097</v>
      </c>
      <c r="O1984" s="704">
        <v>23.515379583911237</v>
      </c>
      <c r="P1984" s="375" t="s">
        <v>619</v>
      </c>
      <c r="Q1984" s="372" t="s">
        <v>619</v>
      </c>
      <c r="R1984" s="696">
        <v>19890930</v>
      </c>
      <c r="S1984" s="372" t="s">
        <v>12849</v>
      </c>
      <c r="T1984" s="697">
        <v>0.20900000000000002</v>
      </c>
      <c r="U1984" s="372" t="s">
        <v>12850</v>
      </c>
      <c r="V1984" s="722">
        <v>11.96</v>
      </c>
      <c r="W1984" s="722">
        <v>2.08</v>
      </c>
      <c r="X1984" s="722">
        <v>1.22</v>
      </c>
      <c r="Y1984" s="722">
        <v>18.32</v>
      </c>
      <c r="Z1984" s="382" t="s">
        <v>924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12851</v>
      </c>
      <c r="B1985" s="373" t="s">
        <v>12852</v>
      </c>
      <c r="C1985" s="372" t="s">
        <v>12853</v>
      </c>
      <c r="D1985" s="374">
        <v>1201110590960</v>
      </c>
      <c r="E1985" s="372" t="s">
        <v>12854</v>
      </c>
      <c r="F1985" s="375" t="s">
        <v>1093</v>
      </c>
      <c r="G1985" s="375" t="s">
        <v>1094</v>
      </c>
      <c r="H1985" s="375" t="s">
        <v>858</v>
      </c>
      <c r="I1985" s="375" t="s">
        <v>859</v>
      </c>
      <c r="J1985" s="375">
        <v>87828.331739999994</v>
      </c>
      <c r="K1985" s="375">
        <v>-4633.2889299999997</v>
      </c>
      <c r="L1985" s="375">
        <v>-8201.4046300000009</v>
      </c>
      <c r="M1985" s="375">
        <v>37201.01571</v>
      </c>
      <c r="N1985" s="372" t="s">
        <v>1023</v>
      </c>
      <c r="O1985" s="704">
        <v>65.927711291493424</v>
      </c>
      <c r="P1985" s="375" t="s">
        <v>619</v>
      </c>
      <c r="Q1985" s="375" t="s">
        <v>619</v>
      </c>
      <c r="R1985" s="696">
        <v>20230724</v>
      </c>
      <c r="S1985" s="375" t="s">
        <v>12855</v>
      </c>
      <c r="T1985" s="697" t="s">
        <v>768</v>
      </c>
      <c r="U1985" s="372" t="s">
        <v>12856</v>
      </c>
      <c r="V1985" s="722" t="s">
        <v>770</v>
      </c>
      <c r="W1985" s="722">
        <v>1.65</v>
      </c>
      <c r="X1985" s="722">
        <v>0.67</v>
      </c>
      <c r="Y1985" s="722" t="s">
        <v>770</v>
      </c>
      <c r="Z1985" s="382" t="s">
        <v>924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12857</v>
      </c>
      <c r="B1986" s="373" t="s">
        <v>12858</v>
      </c>
      <c r="C1986" s="372" t="s">
        <v>12859</v>
      </c>
      <c r="D1986" s="374">
        <v>1101110005052</v>
      </c>
      <c r="E1986" s="372" t="s">
        <v>12860</v>
      </c>
      <c r="F1986" s="372" t="s">
        <v>12861</v>
      </c>
      <c r="G1986" s="375" t="s">
        <v>12862</v>
      </c>
      <c r="H1986" s="375" t="s">
        <v>843</v>
      </c>
      <c r="I1986" s="375" t="s">
        <v>751</v>
      </c>
      <c r="J1986" s="375">
        <v>133396.57240999999</v>
      </c>
      <c r="K1986" s="375">
        <v>-4174.9575199999999</v>
      </c>
      <c r="L1986" s="375">
        <v>-8559.2487799999999</v>
      </c>
      <c r="M1986" s="375">
        <v>91692.701620000007</v>
      </c>
      <c r="N1986" s="372">
        <v>0.78100000000000003</v>
      </c>
      <c r="O1986" s="704">
        <v>206.04398811303665</v>
      </c>
      <c r="P1986" s="375" t="s">
        <v>619</v>
      </c>
      <c r="Q1986" s="372" t="s">
        <v>619</v>
      </c>
      <c r="R1986" s="696">
        <v>19740626</v>
      </c>
      <c r="S1986" s="372" t="s">
        <v>12863</v>
      </c>
      <c r="T1986" s="697" t="s">
        <v>768</v>
      </c>
      <c r="U1986" s="372" t="s">
        <v>12864</v>
      </c>
      <c r="V1986" s="722">
        <v>22.24</v>
      </c>
      <c r="W1986" s="722">
        <v>0.5</v>
      </c>
      <c r="X1986" s="722">
        <v>0.34</v>
      </c>
      <c r="Y1986" s="722" t="s">
        <v>770</v>
      </c>
      <c r="Z1986" s="382" t="s">
        <v>924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12865</v>
      </c>
      <c r="B1987" s="373" t="s">
        <v>12866</v>
      </c>
      <c r="C1987" s="372" t="s">
        <v>12867</v>
      </c>
      <c r="D1987" s="374">
        <v>1101114339415</v>
      </c>
      <c r="E1987" s="372" t="s">
        <v>12868</v>
      </c>
      <c r="F1987" s="372" t="s">
        <v>2989</v>
      </c>
      <c r="G1987" s="375" t="s">
        <v>2989</v>
      </c>
      <c r="H1987" s="375" t="s">
        <v>858</v>
      </c>
      <c r="I1987" s="375" t="s">
        <v>859</v>
      </c>
      <c r="J1987" s="375">
        <v>330022.16113999998</v>
      </c>
      <c r="K1987" s="375">
        <v>1037.90699</v>
      </c>
      <c r="L1987" s="375">
        <v>2476.1299300000001</v>
      </c>
      <c r="M1987" s="375">
        <v>109900.38662999999</v>
      </c>
      <c r="N1987" s="372">
        <v>0.878</v>
      </c>
      <c r="O1987" s="704">
        <v>31.908121416964853</v>
      </c>
      <c r="P1987" s="375" t="s">
        <v>619</v>
      </c>
      <c r="Q1987" s="375" t="s">
        <v>619</v>
      </c>
      <c r="R1987" s="696">
        <v>20100831</v>
      </c>
      <c r="S1987" s="375" t="s">
        <v>11247</v>
      </c>
      <c r="T1987" s="697">
        <v>0.20900000000000002</v>
      </c>
      <c r="U1987" s="372" t="s">
        <v>12869</v>
      </c>
      <c r="V1987" s="722">
        <v>0</v>
      </c>
      <c r="W1987" s="722">
        <v>0</v>
      </c>
      <c r="X1987" s="722">
        <v>0</v>
      </c>
      <c r="Y1987" s="722">
        <v>0</v>
      </c>
      <c r="Z1987" s="382" t="s">
        <v>924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12870</v>
      </c>
      <c r="B1988" s="373" t="s">
        <v>12871</v>
      </c>
      <c r="C1988" s="372" t="s">
        <v>12872</v>
      </c>
      <c r="D1988" s="374">
        <v>2101110058935</v>
      </c>
      <c r="E1988" s="372" t="s">
        <v>12873</v>
      </c>
      <c r="F1988" s="375" t="s">
        <v>766</v>
      </c>
      <c r="G1988" s="375" t="s">
        <v>11561</v>
      </c>
      <c r="H1988" s="375" t="s">
        <v>858</v>
      </c>
      <c r="I1988" s="375" t="s">
        <v>859</v>
      </c>
      <c r="J1988" s="375">
        <v>11815.816000000001</v>
      </c>
      <c r="K1988" s="375">
        <v>-5355.3478599999999</v>
      </c>
      <c r="L1988" s="375">
        <v>-5292.55062</v>
      </c>
      <c r="M1988" s="375">
        <v>25238.00923</v>
      </c>
      <c r="N1988" s="372" t="s">
        <v>1023</v>
      </c>
      <c r="O1988" s="704">
        <v>27.041304135014656</v>
      </c>
      <c r="P1988" s="375" t="s">
        <v>619</v>
      </c>
      <c r="Q1988" s="372" t="s">
        <v>619</v>
      </c>
      <c r="R1988" s="696">
        <v>20230803</v>
      </c>
      <c r="S1988" s="372" t="s">
        <v>12874</v>
      </c>
      <c r="T1988" s="697" t="s">
        <v>768</v>
      </c>
      <c r="U1988" s="372" t="s">
        <v>12875</v>
      </c>
      <c r="V1988" s="722">
        <v>0</v>
      </c>
      <c r="W1988" s="722">
        <v>0</v>
      </c>
      <c r="X1988" s="722">
        <v>0</v>
      </c>
      <c r="Y1988" s="722">
        <v>0</v>
      </c>
      <c r="Z1988" s="382" t="s">
        <v>924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12876</v>
      </c>
      <c r="B1989" s="373" t="s">
        <v>12877</v>
      </c>
      <c r="C1989" s="372" t="s">
        <v>16308</v>
      </c>
      <c r="D1989" s="374">
        <v>1311110035640</v>
      </c>
      <c r="E1989" s="372" t="s">
        <v>12878</v>
      </c>
      <c r="F1989" s="375" t="s">
        <v>1653</v>
      </c>
      <c r="G1989" s="375" t="s">
        <v>1653</v>
      </c>
      <c r="H1989" s="375" t="s">
        <v>858</v>
      </c>
      <c r="I1989" s="375" t="s">
        <v>859</v>
      </c>
      <c r="J1989" s="375">
        <v>8839.8819299999996</v>
      </c>
      <c r="K1989" s="375">
        <v>-12560.336719999999</v>
      </c>
      <c r="L1989" s="375">
        <v>-10333.720079999999</v>
      </c>
      <c r="M1989" s="375">
        <v>47778.328300000001</v>
      </c>
      <c r="N1989" s="372">
        <v>0.371</v>
      </c>
      <c r="O1989" s="704">
        <v>0.38525711771031679</v>
      </c>
      <c r="P1989" s="375" t="s">
        <v>16112</v>
      </c>
      <c r="Q1989" s="372" t="s">
        <v>16113</v>
      </c>
      <c r="R1989" s="696">
        <v>20060725</v>
      </c>
      <c r="S1989" s="372" t="e">
        <v>#N/A</v>
      </c>
      <c r="T1989" s="697" t="s">
        <v>768</v>
      </c>
      <c r="U1989" s="372" t="s">
        <v>12879</v>
      </c>
      <c r="V1989" s="722">
        <v>0</v>
      </c>
      <c r="W1989" s="722">
        <v>0</v>
      </c>
      <c r="X1989" s="722">
        <v>0</v>
      </c>
      <c r="Y1989" s="722">
        <v>0</v>
      </c>
      <c r="Z1989" s="382" t="s">
        <v>924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12880</v>
      </c>
      <c r="B1990" s="373" t="s">
        <v>12881</v>
      </c>
      <c r="C1990" s="372" t="s">
        <v>16038</v>
      </c>
      <c r="D1990" s="374">
        <v>1101114327915</v>
      </c>
      <c r="E1990" s="372" t="s">
        <v>16039</v>
      </c>
      <c r="F1990" s="375" t="s">
        <v>1052</v>
      </c>
      <c r="G1990" s="375" t="s">
        <v>16101</v>
      </c>
      <c r="H1990" s="375" t="s">
        <v>858</v>
      </c>
      <c r="I1990" s="375" t="s">
        <v>859</v>
      </c>
      <c r="J1990" s="375">
        <v>3773.30332</v>
      </c>
      <c r="K1990" s="375">
        <v>-3141.1688600000002</v>
      </c>
      <c r="L1990" s="375">
        <v>-3128.2155499999999</v>
      </c>
      <c r="M1990" s="375">
        <v>16797.938630000001</v>
      </c>
      <c r="N1990" s="372">
        <v>0.58499999999999996</v>
      </c>
      <c r="O1990" s="704">
        <v>7.2703345423053429</v>
      </c>
      <c r="P1990" s="375" t="s">
        <v>619</v>
      </c>
      <c r="Q1990" s="372" t="s">
        <v>619</v>
      </c>
      <c r="R1990" s="696">
        <v>20190201</v>
      </c>
      <c r="S1990" s="372" t="s">
        <v>12882</v>
      </c>
      <c r="T1990" s="697" t="s">
        <v>768</v>
      </c>
      <c r="U1990" s="372" t="s">
        <v>12883</v>
      </c>
      <c r="V1990" s="722" t="s">
        <v>770</v>
      </c>
      <c r="W1990" s="722">
        <v>3.91</v>
      </c>
      <c r="X1990" s="722">
        <v>17.100000000000001</v>
      </c>
      <c r="Y1990" s="722" t="s">
        <v>770</v>
      </c>
      <c r="Z1990" s="382" t="s">
        <v>924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12884</v>
      </c>
      <c r="B1991" s="373" t="s">
        <v>12885</v>
      </c>
      <c r="C1991" s="372" t="s">
        <v>16040</v>
      </c>
      <c r="D1991" s="374">
        <v>1601110091332</v>
      </c>
      <c r="E1991" s="372" t="s">
        <v>15947</v>
      </c>
      <c r="F1991" s="372" t="s">
        <v>3669</v>
      </c>
      <c r="G1991" s="375" t="s">
        <v>3669</v>
      </c>
      <c r="H1991" s="375" t="s">
        <v>1334</v>
      </c>
      <c r="I1991" s="375" t="s">
        <v>859</v>
      </c>
      <c r="J1991" s="375">
        <v>-4408.1101200000003</v>
      </c>
      <c r="K1991" s="375">
        <v>-2439.8212199999998</v>
      </c>
      <c r="L1991" s="375">
        <v>-6207.8301899999997</v>
      </c>
      <c r="M1991" s="375">
        <v>42266.147530000002</v>
      </c>
      <c r="N1991" s="372">
        <v>1.3740000000000001</v>
      </c>
      <c r="O1991" s="704">
        <v>20.800418372614061</v>
      </c>
      <c r="P1991" s="375" t="s">
        <v>619</v>
      </c>
      <c r="Q1991" s="372" t="s">
        <v>619</v>
      </c>
      <c r="R1991" s="696">
        <v>20141126</v>
      </c>
      <c r="S1991" s="372" t="s">
        <v>12886</v>
      </c>
      <c r="T1991" s="697" t="s">
        <v>768</v>
      </c>
      <c r="U1991" s="372" t="s">
        <v>12887</v>
      </c>
      <c r="V1991" s="722">
        <v>338.95</v>
      </c>
      <c r="W1991" s="722">
        <v>1.53</v>
      </c>
      <c r="X1991" s="722">
        <v>-12.64</v>
      </c>
      <c r="Y1991" s="722">
        <v>8.36</v>
      </c>
      <c r="Z1991" s="382" t="s">
        <v>924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12888</v>
      </c>
      <c r="B1992" s="373" t="s">
        <v>12889</v>
      </c>
      <c r="C1992" s="372" t="s">
        <v>12890</v>
      </c>
      <c r="D1992" s="374">
        <v>1943110004498</v>
      </c>
      <c r="E1992" s="372" t="s">
        <v>12891</v>
      </c>
      <c r="F1992" s="375" t="s">
        <v>1320</v>
      </c>
      <c r="G1992" s="375" t="s">
        <v>16103</v>
      </c>
      <c r="H1992" s="375" t="s">
        <v>858</v>
      </c>
      <c r="I1992" s="375" t="s">
        <v>859</v>
      </c>
      <c r="J1992" s="375">
        <v>61460.744010000002</v>
      </c>
      <c r="K1992" s="375">
        <v>-9650.5316999999995</v>
      </c>
      <c r="L1992" s="375">
        <v>-13522.85348</v>
      </c>
      <c r="M1992" s="375">
        <v>32664.162189999999</v>
      </c>
      <c r="N1992" s="372">
        <v>0.56000000000000005</v>
      </c>
      <c r="O1992" s="704">
        <v>61.192167447719662</v>
      </c>
      <c r="P1992" s="375" t="s">
        <v>619</v>
      </c>
      <c r="Q1992" s="372" t="s">
        <v>619</v>
      </c>
      <c r="R1992" s="696">
        <v>19990811</v>
      </c>
      <c r="S1992" s="372" t="s">
        <v>12892</v>
      </c>
      <c r="T1992" s="697" t="s">
        <v>768</v>
      </c>
      <c r="U1992" s="372" t="s">
        <v>12893</v>
      </c>
      <c r="V1992" s="722" t="s">
        <v>770</v>
      </c>
      <c r="W1992" s="722">
        <v>1.25</v>
      </c>
      <c r="X1992" s="722">
        <v>0.72</v>
      </c>
      <c r="Y1992" s="722" t="s">
        <v>770</v>
      </c>
      <c r="Z1992" s="382" t="s">
        <v>924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12894</v>
      </c>
      <c r="B1993" s="373" t="s">
        <v>12895</v>
      </c>
      <c r="C1993" s="372" t="s">
        <v>15948</v>
      </c>
      <c r="D1993" s="374">
        <v>1101114305614</v>
      </c>
      <c r="E1993" s="372" t="s">
        <v>15949</v>
      </c>
      <c r="F1993" s="372" t="s">
        <v>1959</v>
      </c>
      <c r="G1993" s="375" t="s">
        <v>1959</v>
      </c>
      <c r="H1993" s="375" t="s">
        <v>858</v>
      </c>
      <c r="I1993" s="375" t="s">
        <v>859</v>
      </c>
      <c r="J1993" s="375">
        <v>18298.756020000001</v>
      </c>
      <c r="K1993" s="375">
        <v>-10219.257379999999</v>
      </c>
      <c r="L1993" s="375">
        <v>-30086.69226</v>
      </c>
      <c r="M1993" s="375">
        <v>100664.92243999999</v>
      </c>
      <c r="N1993" s="372">
        <v>0.81699999999999995</v>
      </c>
      <c r="O1993" s="704">
        <v>61.449367683492063</v>
      </c>
      <c r="P1993" s="375" t="s">
        <v>619</v>
      </c>
      <c r="Q1993" s="372" t="s">
        <v>16113</v>
      </c>
      <c r="R1993" s="696">
        <v>20101005</v>
      </c>
      <c r="S1993" s="372" t="s">
        <v>12896</v>
      </c>
      <c r="T1993" s="697" t="s">
        <v>768</v>
      </c>
      <c r="U1993" s="372" t="s">
        <v>12897</v>
      </c>
      <c r="V1993" s="722" t="s">
        <v>770</v>
      </c>
      <c r="W1993" s="722">
        <v>0.56000000000000005</v>
      </c>
      <c r="X1993" s="722">
        <v>2.29</v>
      </c>
      <c r="Y1993" s="722" t="s">
        <v>770</v>
      </c>
      <c r="Z1993" s="382" t="s">
        <v>924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12898</v>
      </c>
      <c r="B1994" s="373" t="s">
        <v>12899</v>
      </c>
      <c r="C1994" s="372" t="s">
        <v>12900</v>
      </c>
      <c r="D1994" s="374">
        <v>2042110000784</v>
      </c>
      <c r="E1994" s="372" t="s">
        <v>12901</v>
      </c>
      <c r="F1994" s="375" t="s">
        <v>5407</v>
      </c>
      <c r="G1994" s="375" t="s">
        <v>10792</v>
      </c>
      <c r="H1994" s="375" t="s">
        <v>858</v>
      </c>
      <c r="I1994" s="375" t="s">
        <v>859</v>
      </c>
      <c r="J1994" s="375">
        <v>43591.348180000001</v>
      </c>
      <c r="K1994" s="375">
        <v>-743.04849000000002</v>
      </c>
      <c r="L1994" s="375">
        <v>745.17494999999997</v>
      </c>
      <c r="M1994" s="375">
        <v>65421.217700000001</v>
      </c>
      <c r="N1994" s="372">
        <v>1.0680000000000001</v>
      </c>
      <c r="O1994" s="704">
        <v>0.13266136195410808</v>
      </c>
      <c r="P1994" s="375" t="s">
        <v>619</v>
      </c>
      <c r="Q1994" s="372" t="s">
        <v>619</v>
      </c>
      <c r="R1994" s="696">
        <v>20111219</v>
      </c>
      <c r="S1994" s="372" t="s">
        <v>12902</v>
      </c>
      <c r="T1994" s="697">
        <v>0.20900000000000002</v>
      </c>
      <c r="U1994" s="372" t="s">
        <v>12903</v>
      </c>
      <c r="V1994" s="722">
        <v>0</v>
      </c>
      <c r="W1994" s="722">
        <v>0</v>
      </c>
      <c r="X1994" s="722">
        <v>0</v>
      </c>
      <c r="Y1994" s="722">
        <v>0</v>
      </c>
      <c r="Z1994" s="382" t="s">
        <v>924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12904</v>
      </c>
      <c r="B1995" s="373" t="s">
        <v>12905</v>
      </c>
      <c r="C1995" s="372" t="s">
        <v>12906</v>
      </c>
      <c r="D1995" s="374">
        <v>1101116869965</v>
      </c>
      <c r="E1995" s="372" t="s">
        <v>12907</v>
      </c>
      <c r="F1995" s="375" t="s">
        <v>1367</v>
      </c>
      <c r="G1995" s="375" t="s">
        <v>1367</v>
      </c>
      <c r="H1995" s="375" t="s">
        <v>858</v>
      </c>
      <c r="I1995" s="375" t="s">
        <v>859</v>
      </c>
      <c r="J1995" s="375">
        <v>28730.752939999998</v>
      </c>
      <c r="K1995" s="375">
        <v>-3804.1777000000002</v>
      </c>
      <c r="L1995" s="375">
        <v>-13278.594870000001</v>
      </c>
      <c r="M1995" s="375">
        <v>28966.045580000002</v>
      </c>
      <c r="N1995" s="372">
        <v>0.51300000000000001</v>
      </c>
      <c r="O1995" s="704">
        <v>29.373846081979615</v>
      </c>
      <c r="P1995" s="375" t="s">
        <v>619</v>
      </c>
      <c r="Q1995" s="372" t="s">
        <v>619</v>
      </c>
      <c r="R1995" s="696">
        <v>20181212</v>
      </c>
      <c r="S1995" s="372" t="s">
        <v>12908</v>
      </c>
      <c r="T1995" s="697" t="s">
        <v>768</v>
      </c>
      <c r="U1995" s="372" t="s">
        <v>12909</v>
      </c>
      <c r="V1995" s="722" t="s">
        <v>770</v>
      </c>
      <c r="W1995" s="722">
        <v>2.85</v>
      </c>
      <c r="X1995" s="722">
        <v>1.97</v>
      </c>
      <c r="Y1995" s="722" t="s">
        <v>770</v>
      </c>
      <c r="Z1995" s="382" t="s">
        <v>924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12910</v>
      </c>
      <c r="B1996" s="373" t="s">
        <v>12911</v>
      </c>
      <c r="C1996" s="372" t="s">
        <v>12912</v>
      </c>
      <c r="D1996" s="374">
        <v>1101110984199</v>
      </c>
      <c r="E1996" s="372" t="s">
        <v>12913</v>
      </c>
      <c r="F1996" s="372" t="s">
        <v>8996</v>
      </c>
      <c r="G1996" s="375" t="s">
        <v>8996</v>
      </c>
      <c r="H1996" s="375" t="s">
        <v>8015</v>
      </c>
      <c r="I1996" s="375" t="s">
        <v>859</v>
      </c>
      <c r="J1996" s="375">
        <v>50519.082979999999</v>
      </c>
      <c r="K1996" s="375">
        <v>6801.73387</v>
      </c>
      <c r="L1996" s="375">
        <v>28529.374319999999</v>
      </c>
      <c r="M1996" s="375">
        <v>364386.68221</v>
      </c>
      <c r="N1996" s="372">
        <v>0.69499999999999995</v>
      </c>
      <c r="O1996" s="704">
        <v>84.321469820297551</v>
      </c>
      <c r="P1996" s="375" t="s">
        <v>619</v>
      </c>
      <c r="Q1996" s="372" t="s">
        <v>619</v>
      </c>
      <c r="R1996" s="696">
        <v>20000425</v>
      </c>
      <c r="S1996" s="372" t="s">
        <v>12914</v>
      </c>
      <c r="T1996" s="697">
        <v>0.23100000000000001</v>
      </c>
      <c r="U1996" s="372" t="s">
        <v>12915</v>
      </c>
      <c r="V1996" s="722">
        <v>10.62</v>
      </c>
      <c r="W1996" s="722">
        <v>0.15</v>
      </c>
      <c r="X1996" s="722">
        <v>1.0900000000000001</v>
      </c>
      <c r="Y1996" s="722">
        <v>2.11</v>
      </c>
      <c r="Z1996" s="382" t="s">
        <v>924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12916</v>
      </c>
      <c r="B1997" s="373" t="s">
        <v>12917</v>
      </c>
      <c r="C1997" s="372" t="s">
        <v>12918</v>
      </c>
      <c r="D1997" s="374">
        <v>1845110020244</v>
      </c>
      <c r="E1997" s="372" t="s">
        <v>12919</v>
      </c>
      <c r="F1997" s="372" t="s">
        <v>1860</v>
      </c>
      <c r="G1997" s="375" t="s">
        <v>1861</v>
      </c>
      <c r="H1997" s="375" t="s">
        <v>858</v>
      </c>
      <c r="I1997" s="375" t="s">
        <v>859</v>
      </c>
      <c r="J1997" s="375">
        <v>115913.18270999999</v>
      </c>
      <c r="K1997" s="375">
        <v>7796.8043399999997</v>
      </c>
      <c r="L1997" s="375">
        <v>-33798.3632</v>
      </c>
      <c r="M1997" s="375">
        <v>46923.756889999997</v>
      </c>
      <c r="N1997" s="372">
        <v>0.70699999999999996</v>
      </c>
      <c r="O1997" s="704">
        <v>181.53289571790171</v>
      </c>
      <c r="P1997" s="375" t="s">
        <v>619</v>
      </c>
      <c r="Q1997" s="375" t="s">
        <v>619</v>
      </c>
      <c r="R1997" s="696">
        <v>20061020</v>
      </c>
      <c r="S1997" s="375" t="s">
        <v>12920</v>
      </c>
      <c r="T1997" s="697" t="s">
        <v>768</v>
      </c>
      <c r="U1997" s="372" t="s">
        <v>15950</v>
      </c>
      <c r="V1997" s="722">
        <v>10.1</v>
      </c>
      <c r="W1997" s="722">
        <v>0.88</v>
      </c>
      <c r="X1997" s="722">
        <v>0.36</v>
      </c>
      <c r="Y1997" s="722" t="s">
        <v>770</v>
      </c>
      <c r="Z1997" s="382" t="s">
        <v>924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12921</v>
      </c>
      <c r="B1998" s="373" t="s">
        <v>12922</v>
      </c>
      <c r="C1998" s="372" t="s">
        <v>12923</v>
      </c>
      <c r="D1998" s="374">
        <v>1101116793007</v>
      </c>
      <c r="E1998" s="372" t="s">
        <v>12924</v>
      </c>
      <c r="F1998" s="372" t="s">
        <v>3233</v>
      </c>
      <c r="G1998" s="375" t="s">
        <v>3233</v>
      </c>
      <c r="H1998" s="375" t="s">
        <v>858</v>
      </c>
      <c r="I1998" s="375" t="s">
        <v>859</v>
      </c>
      <c r="J1998" s="375">
        <v>55930.874259999997</v>
      </c>
      <c r="K1998" s="375">
        <v>-362.70348000000001</v>
      </c>
      <c r="L1998" s="375">
        <v>-226.26732000000001</v>
      </c>
      <c r="M1998" s="375">
        <v>16851.309860000001</v>
      </c>
      <c r="N1998" s="372">
        <v>1.0069999999999999</v>
      </c>
      <c r="O1998" s="704">
        <v>10.92665106502178</v>
      </c>
      <c r="P1998" s="375" t="s">
        <v>619</v>
      </c>
      <c r="Q1998" s="372" t="s">
        <v>619</v>
      </c>
      <c r="R1998" s="696">
        <v>20180830</v>
      </c>
      <c r="S1998" s="372" t="s">
        <v>12925</v>
      </c>
      <c r="T1998" s="697" t="s">
        <v>768</v>
      </c>
      <c r="U1998" s="372" t="s">
        <v>12926</v>
      </c>
      <c r="V1998" s="722">
        <v>0</v>
      </c>
      <c r="W1998" s="722">
        <v>0</v>
      </c>
      <c r="X1998" s="722">
        <v>0</v>
      </c>
      <c r="Y1998" s="722">
        <v>0</v>
      </c>
      <c r="Z1998" s="382" t="s">
        <v>924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12927</v>
      </c>
      <c r="B1999" s="373" t="s">
        <v>12928</v>
      </c>
      <c r="C1999" s="372" t="s">
        <v>16041</v>
      </c>
      <c r="D1999" s="374">
        <v>1101113016999</v>
      </c>
      <c r="E1999" s="372" t="s">
        <v>16042</v>
      </c>
      <c r="F1999" s="372" t="s">
        <v>1273</v>
      </c>
      <c r="G1999" s="375" t="s">
        <v>1449</v>
      </c>
      <c r="H1999" s="375" t="s">
        <v>858</v>
      </c>
      <c r="I1999" s="375" t="s">
        <v>859</v>
      </c>
      <c r="J1999" s="375">
        <v>13907.67794</v>
      </c>
      <c r="K1999" s="375">
        <v>-6667.0000499999996</v>
      </c>
      <c r="L1999" s="375">
        <v>-18672.119610000002</v>
      </c>
      <c r="M1999" s="375">
        <v>67058.019620000006</v>
      </c>
      <c r="N1999" s="372">
        <v>0.83299999999999996</v>
      </c>
      <c r="O1999" s="704">
        <v>5.0399514698647838</v>
      </c>
      <c r="P1999" s="375" t="s">
        <v>619</v>
      </c>
      <c r="Q1999" s="372" t="s">
        <v>619</v>
      </c>
      <c r="R1999" s="696">
        <v>20141229</v>
      </c>
      <c r="S1999" s="372" t="s">
        <v>12929</v>
      </c>
      <c r="T1999" s="697" t="s">
        <v>768</v>
      </c>
      <c r="U1999" s="372" t="s">
        <v>12930</v>
      </c>
      <c r="V1999" s="722" t="s">
        <v>770</v>
      </c>
      <c r="W1999" s="722">
        <v>0.48</v>
      </c>
      <c r="X1999" s="722">
        <v>2.23</v>
      </c>
      <c r="Y1999" s="722" t="s">
        <v>770</v>
      </c>
      <c r="Z1999" s="382" t="s">
        <v>924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12931</v>
      </c>
      <c r="B2000" s="373" t="s">
        <v>12932</v>
      </c>
      <c r="C2000" s="372" t="s">
        <v>12933</v>
      </c>
      <c r="D2000" s="374">
        <v>1101112103953</v>
      </c>
      <c r="E2000" s="372" t="s">
        <v>12934</v>
      </c>
      <c r="F2000" s="372" t="s">
        <v>2665</v>
      </c>
      <c r="G2000" s="375" t="s">
        <v>12935</v>
      </c>
      <c r="H2000" s="375" t="s">
        <v>1536</v>
      </c>
      <c r="I2000" s="375" t="s">
        <v>751</v>
      </c>
      <c r="J2000" s="375">
        <v>35540.148139999998</v>
      </c>
      <c r="K2000" s="375">
        <v>-3283.9854099999998</v>
      </c>
      <c r="L2000" s="375">
        <v>-1473.2517499999999</v>
      </c>
      <c r="M2000" s="375">
        <v>82292.725399999996</v>
      </c>
      <c r="N2000" s="372">
        <v>1.1160000000000001</v>
      </c>
      <c r="O2000" s="704">
        <v>104.95364507213243</v>
      </c>
      <c r="P2000" s="375" t="s">
        <v>619</v>
      </c>
      <c r="Q2000" s="372" t="s">
        <v>619</v>
      </c>
      <c r="R2000" s="696">
        <v>20061226</v>
      </c>
      <c r="S2000" s="372" t="s">
        <v>12936</v>
      </c>
      <c r="T2000" s="697" t="s">
        <v>768</v>
      </c>
      <c r="U2000" s="372" t="s">
        <v>12937</v>
      </c>
      <c r="V2000" s="722" t="s">
        <v>770</v>
      </c>
      <c r="W2000" s="722">
        <v>0.51</v>
      </c>
      <c r="X2000" s="722">
        <v>1.1599999999999999</v>
      </c>
      <c r="Y2000" s="722" t="s">
        <v>770</v>
      </c>
      <c r="Z2000" s="382" t="s">
        <v>924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12938</v>
      </c>
      <c r="B2001" s="373" t="s">
        <v>12939</v>
      </c>
      <c r="C2001" s="372" t="s">
        <v>12940</v>
      </c>
      <c r="D2001" s="374">
        <v>1748110000309</v>
      </c>
      <c r="E2001" s="372" t="s">
        <v>12941</v>
      </c>
      <c r="F2001" s="372" t="s">
        <v>4096</v>
      </c>
      <c r="G2001" s="375" t="s">
        <v>4096</v>
      </c>
      <c r="H2001" s="375" t="s">
        <v>858</v>
      </c>
      <c r="I2001" s="375" t="s">
        <v>859</v>
      </c>
      <c r="J2001" s="375">
        <v>33606.213259999997</v>
      </c>
      <c r="K2001" s="375">
        <v>1972.9796799999999</v>
      </c>
      <c r="L2001" s="375">
        <v>522.50498000000005</v>
      </c>
      <c r="M2001" s="375">
        <v>89240.549440000003</v>
      </c>
      <c r="N2001" s="372">
        <v>0.40500000000000003</v>
      </c>
      <c r="O2001" s="704">
        <v>32.933536761658395</v>
      </c>
      <c r="P2001" s="375" t="s">
        <v>16112</v>
      </c>
      <c r="Q2001" s="372" t="s">
        <v>16113</v>
      </c>
      <c r="R2001" s="696">
        <v>20180810</v>
      </c>
      <c r="S2001" s="372" t="s">
        <v>12942</v>
      </c>
      <c r="T2001" s="697">
        <v>0.20900000000000002</v>
      </c>
      <c r="U2001" s="372" t="s">
        <v>12943</v>
      </c>
      <c r="V2001" s="722">
        <v>0</v>
      </c>
      <c r="W2001" s="722">
        <v>0</v>
      </c>
      <c r="X2001" s="722">
        <v>0</v>
      </c>
      <c r="Y2001" s="722">
        <v>0</v>
      </c>
      <c r="Z2001" s="382" t="s">
        <v>924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12944</v>
      </c>
      <c r="B2002" s="373" t="s">
        <v>12945</v>
      </c>
      <c r="C2002" s="372" t="s">
        <v>12946</v>
      </c>
      <c r="D2002" s="374">
        <v>1101112124389</v>
      </c>
      <c r="E2002" s="372" t="s">
        <v>12947</v>
      </c>
      <c r="F2002" s="372" t="s">
        <v>1113</v>
      </c>
      <c r="G2002" s="375" t="s">
        <v>1333</v>
      </c>
      <c r="H2002" s="375" t="s">
        <v>1334</v>
      </c>
      <c r="I2002" s="375" t="s">
        <v>859</v>
      </c>
      <c r="J2002" s="375">
        <v>10250.892459999999</v>
      </c>
      <c r="K2002" s="375">
        <v>-1730.39005</v>
      </c>
      <c r="L2002" s="375">
        <v>-3497.3196800000001</v>
      </c>
      <c r="M2002" s="375">
        <v>19750.14546</v>
      </c>
      <c r="N2002" s="372">
        <v>0.96899999999999997</v>
      </c>
      <c r="O2002" s="704">
        <v>5.8160212975751442</v>
      </c>
      <c r="P2002" s="375" t="s">
        <v>619</v>
      </c>
      <c r="Q2002" s="375" t="s">
        <v>619</v>
      </c>
      <c r="R2002" s="696">
        <v>20091106</v>
      </c>
      <c r="S2002" s="375" t="s">
        <v>12948</v>
      </c>
      <c r="T2002" s="697" t="s">
        <v>768</v>
      </c>
      <c r="U2002" s="372" t="s">
        <v>12949</v>
      </c>
      <c r="V2002" s="722">
        <v>0</v>
      </c>
      <c r="W2002" s="722">
        <v>0</v>
      </c>
      <c r="X2002" s="722">
        <v>0</v>
      </c>
      <c r="Y2002" s="722">
        <v>0</v>
      </c>
      <c r="Z2002" s="382" t="s">
        <v>924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12950</v>
      </c>
      <c r="B2003" s="373" t="s">
        <v>12951</v>
      </c>
      <c r="C2003" s="372" t="s">
        <v>12952</v>
      </c>
      <c r="D2003" s="374">
        <v>1101111434218</v>
      </c>
      <c r="E2003" s="372" t="s">
        <v>12953</v>
      </c>
      <c r="F2003" s="372" t="s">
        <v>842</v>
      </c>
      <c r="G2003" s="375" t="s">
        <v>842</v>
      </c>
      <c r="H2003" s="375" t="s">
        <v>3096</v>
      </c>
      <c r="I2003" s="375" t="s">
        <v>859</v>
      </c>
      <c r="J2003" s="375">
        <v>15621.54852</v>
      </c>
      <c r="K2003" s="375">
        <v>-9929.5491500000007</v>
      </c>
      <c r="L2003" s="375">
        <v>-9963.0149999999994</v>
      </c>
      <c r="M2003" s="375">
        <v>17153.2857</v>
      </c>
      <c r="N2003" s="372" t="s">
        <v>1023</v>
      </c>
      <c r="O2003" s="704">
        <v>0.76713836001533497</v>
      </c>
      <c r="P2003" s="375" t="s">
        <v>619</v>
      </c>
      <c r="Q2003" s="372" t="s">
        <v>619</v>
      </c>
      <c r="R2003" s="696">
        <v>20020820</v>
      </c>
      <c r="S2003" s="372" t="s">
        <v>12954</v>
      </c>
      <c r="T2003" s="697" t="s">
        <v>768</v>
      </c>
      <c r="U2003" s="372" t="s">
        <v>12955</v>
      </c>
      <c r="V2003" s="722" t="s">
        <v>770</v>
      </c>
      <c r="W2003" s="722">
        <v>3.69</v>
      </c>
      <c r="X2003" s="722">
        <v>3.72</v>
      </c>
      <c r="Y2003" s="722" t="s">
        <v>770</v>
      </c>
      <c r="Z2003" s="382" t="s">
        <v>924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12956</v>
      </c>
      <c r="B2004" s="373" t="s">
        <v>12957</v>
      </c>
      <c r="C2004" s="372" t="s">
        <v>12958</v>
      </c>
      <c r="D2004" s="374">
        <v>1101115545962</v>
      </c>
      <c r="E2004" s="372" t="s">
        <v>12959</v>
      </c>
      <c r="F2004" s="372" t="s">
        <v>1367</v>
      </c>
      <c r="G2004" s="375" t="s">
        <v>1367</v>
      </c>
      <c r="H2004" s="375" t="s">
        <v>858</v>
      </c>
      <c r="I2004" s="375" t="s">
        <v>859</v>
      </c>
      <c r="J2004" s="375">
        <v>14441.743350000001</v>
      </c>
      <c r="K2004" s="375">
        <v>-10828.77475</v>
      </c>
      <c r="L2004" s="375">
        <v>-12543.043439999999</v>
      </c>
      <c r="M2004" s="375">
        <v>20077.543030000001</v>
      </c>
      <c r="N2004" s="372">
        <v>0.90700000000000003</v>
      </c>
      <c r="O2004" s="704">
        <v>2.2649477948381218</v>
      </c>
      <c r="P2004" s="375" t="s">
        <v>619</v>
      </c>
      <c r="Q2004" s="372" t="s">
        <v>619</v>
      </c>
      <c r="R2004" s="696">
        <v>20141229</v>
      </c>
      <c r="S2004" s="372" t="s">
        <v>1367</v>
      </c>
      <c r="T2004" s="697" t="s">
        <v>768</v>
      </c>
      <c r="U2004" s="372" t="s">
        <v>12960</v>
      </c>
      <c r="V2004" s="722" t="s">
        <v>770</v>
      </c>
      <c r="W2004" s="722">
        <v>1.89</v>
      </c>
      <c r="X2004" s="722">
        <v>2.63</v>
      </c>
      <c r="Y2004" s="722" t="s">
        <v>770</v>
      </c>
      <c r="Z2004" s="382" t="s">
        <v>924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12961</v>
      </c>
      <c r="B2005" s="373" t="s">
        <v>12962</v>
      </c>
      <c r="C2005" s="372" t="s">
        <v>16285</v>
      </c>
      <c r="D2005" s="374">
        <v>1101112887193</v>
      </c>
      <c r="E2005" s="372" t="s">
        <v>16286</v>
      </c>
      <c r="F2005" s="375" t="s">
        <v>1113</v>
      </c>
      <c r="G2005" s="375" t="s">
        <v>1333</v>
      </c>
      <c r="H2005" s="375" t="s">
        <v>1334</v>
      </c>
      <c r="I2005" s="375" t="s">
        <v>859</v>
      </c>
      <c r="J2005" s="375">
        <v>10350.18721</v>
      </c>
      <c r="K2005" s="375">
        <v>-16208.0483</v>
      </c>
      <c r="L2005" s="375">
        <v>-19254.604670000001</v>
      </c>
      <c r="M2005" s="375">
        <v>9054.1352000000006</v>
      </c>
      <c r="N2005" s="372">
        <v>0.997</v>
      </c>
      <c r="O2005" s="704">
        <v>10.918423061363688</v>
      </c>
      <c r="P2005" s="375" t="s">
        <v>619</v>
      </c>
      <c r="Q2005" s="375" t="s">
        <v>619</v>
      </c>
      <c r="R2005" s="696">
        <v>20210603</v>
      </c>
      <c r="S2005" s="375" t="s">
        <v>12963</v>
      </c>
      <c r="T2005" s="697" t="s">
        <v>768</v>
      </c>
      <c r="U2005" s="372" t="s">
        <v>12964</v>
      </c>
      <c r="V2005" s="722" t="s">
        <v>770</v>
      </c>
      <c r="W2005" s="722">
        <v>5.45</v>
      </c>
      <c r="X2005" s="722">
        <v>6.81</v>
      </c>
      <c r="Y2005" s="722" t="s">
        <v>770</v>
      </c>
      <c r="Z2005" s="382" t="s">
        <v>924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12965</v>
      </c>
      <c r="B2006" s="373" t="s">
        <v>12966</v>
      </c>
      <c r="C2006" s="372" t="s">
        <v>12967</v>
      </c>
      <c r="D2006" s="374">
        <v>1601110221319</v>
      </c>
      <c r="E2006" s="372" t="s">
        <v>12968</v>
      </c>
      <c r="F2006" s="372" t="s">
        <v>5597</v>
      </c>
      <c r="G2006" s="375" t="s">
        <v>5597</v>
      </c>
      <c r="H2006" s="375" t="s">
        <v>1528</v>
      </c>
      <c r="I2006" s="375" t="s">
        <v>859</v>
      </c>
      <c r="J2006" s="375">
        <v>143709.66841000001</v>
      </c>
      <c r="K2006" s="375">
        <v>12725.412249999999</v>
      </c>
      <c r="L2006" s="375">
        <v>-25050.948260000001</v>
      </c>
      <c r="M2006" s="375">
        <v>70362.916100000002</v>
      </c>
      <c r="N2006" s="372">
        <v>0.53100000000000003</v>
      </c>
      <c r="O2006" s="704">
        <v>61.466320612060862</v>
      </c>
      <c r="P2006" s="375" t="s">
        <v>619</v>
      </c>
      <c r="Q2006" s="372" t="s">
        <v>619</v>
      </c>
      <c r="R2006" s="696">
        <v>20110614</v>
      </c>
      <c r="S2006" s="372" t="s">
        <v>12969</v>
      </c>
      <c r="T2006" s="697" t="s">
        <v>768</v>
      </c>
      <c r="U2006" s="372" t="s">
        <v>15951</v>
      </c>
      <c r="V2006" s="722">
        <v>0</v>
      </c>
      <c r="W2006" s="722">
        <v>0</v>
      </c>
      <c r="X2006" s="722">
        <v>0</v>
      </c>
      <c r="Y2006" s="722">
        <v>0</v>
      </c>
      <c r="Z2006" s="382" t="s">
        <v>924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12970</v>
      </c>
      <c r="B2007" s="373" t="s">
        <v>12971</v>
      </c>
      <c r="C2007" s="372" t="s">
        <v>12972</v>
      </c>
      <c r="D2007" s="374">
        <v>1101117182655</v>
      </c>
      <c r="E2007" s="372" t="s">
        <v>12973</v>
      </c>
      <c r="F2007" s="372" t="s">
        <v>12974</v>
      </c>
      <c r="G2007" s="375" t="s">
        <v>12974</v>
      </c>
      <c r="H2007" s="375" t="s">
        <v>858</v>
      </c>
      <c r="I2007" s="375" t="s">
        <v>859</v>
      </c>
      <c r="J2007" s="375">
        <v>90662.454540000006</v>
      </c>
      <c r="K2007" s="375">
        <v>278.06763999999998</v>
      </c>
      <c r="L2007" s="375">
        <v>641.08016999999995</v>
      </c>
      <c r="M2007" s="375">
        <v>24304.968260000001</v>
      </c>
      <c r="N2007" s="372">
        <v>0.89700000000000002</v>
      </c>
      <c r="O2007" s="704">
        <v>76.382027843266044</v>
      </c>
      <c r="P2007" s="375" t="s">
        <v>619</v>
      </c>
      <c r="Q2007" s="372" t="s">
        <v>619</v>
      </c>
      <c r="R2007" s="696">
        <v>20191011</v>
      </c>
      <c r="S2007" s="372" t="s">
        <v>2847</v>
      </c>
      <c r="T2007" s="697">
        <v>0.20900000000000002</v>
      </c>
      <c r="U2007" s="372" t="s">
        <v>12975</v>
      </c>
      <c r="V2007" s="722">
        <v>24.94</v>
      </c>
      <c r="W2007" s="722">
        <v>1.68</v>
      </c>
      <c r="X2007" s="722">
        <v>0.47</v>
      </c>
      <c r="Y2007" s="722" t="s">
        <v>770</v>
      </c>
      <c r="Z2007" s="382" t="s">
        <v>924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12976</v>
      </c>
      <c r="B2008" s="373" t="s">
        <v>12977</v>
      </c>
      <c r="C2008" s="372" t="s">
        <v>12978</v>
      </c>
      <c r="D2008" s="374">
        <v>1101111118276</v>
      </c>
      <c r="E2008" s="372" t="s">
        <v>12979</v>
      </c>
      <c r="F2008" s="375" t="s">
        <v>2256</v>
      </c>
      <c r="G2008" s="375" t="s">
        <v>2256</v>
      </c>
      <c r="H2008" s="375" t="s">
        <v>4844</v>
      </c>
      <c r="I2008" s="375" t="s">
        <v>859</v>
      </c>
      <c r="J2008" s="375">
        <v>260138.16634</v>
      </c>
      <c r="K2008" s="375">
        <v>-11104.574699999999</v>
      </c>
      <c r="L2008" s="375">
        <v>-23241.953000000001</v>
      </c>
      <c r="M2008" s="375">
        <v>47615.11492</v>
      </c>
      <c r="N2008" s="372">
        <v>1.0669999999999999</v>
      </c>
      <c r="O2008" s="704">
        <v>46.546028884074204</v>
      </c>
      <c r="P2008" s="375" t="s">
        <v>619</v>
      </c>
      <c r="Q2008" s="372" t="s">
        <v>619</v>
      </c>
      <c r="R2008" s="696">
        <v>20080718</v>
      </c>
      <c r="S2008" s="372" t="s">
        <v>12980</v>
      </c>
      <c r="T2008" s="697" t="s">
        <v>768</v>
      </c>
      <c r="U2008" s="372" t="s">
        <v>12981</v>
      </c>
      <c r="V2008" s="722" t="s">
        <v>770</v>
      </c>
      <c r="W2008" s="722">
        <v>0.74</v>
      </c>
      <c r="X2008" s="722">
        <v>0.14000000000000001</v>
      </c>
      <c r="Y2008" s="722" t="s">
        <v>770</v>
      </c>
      <c r="Z2008" s="382" t="s">
        <v>924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12982</v>
      </c>
      <c r="B2009" s="373" t="s">
        <v>12983</v>
      </c>
      <c r="C2009" s="372" t="s">
        <v>12984</v>
      </c>
      <c r="D2009" s="374">
        <v>1101111342213</v>
      </c>
      <c r="E2009" s="372" t="s">
        <v>12985</v>
      </c>
      <c r="F2009" s="375" t="s">
        <v>1653</v>
      </c>
      <c r="G2009" s="375" t="s">
        <v>1653</v>
      </c>
      <c r="H2009" s="375" t="s">
        <v>858</v>
      </c>
      <c r="I2009" s="375" t="s">
        <v>859</v>
      </c>
      <c r="J2009" s="375">
        <v>32384.840929999998</v>
      </c>
      <c r="K2009" s="375">
        <v>-5446.5665099999997</v>
      </c>
      <c r="L2009" s="375">
        <v>-7163.8167700000004</v>
      </c>
      <c r="M2009" s="375">
        <v>36593.076630000003</v>
      </c>
      <c r="N2009" s="372">
        <v>1.248</v>
      </c>
      <c r="O2009" s="704">
        <v>59.285000093924431</v>
      </c>
      <c r="P2009" s="375" t="s">
        <v>619</v>
      </c>
      <c r="Q2009" s="372" t="s">
        <v>619</v>
      </c>
      <c r="R2009" s="696">
        <v>20091006</v>
      </c>
      <c r="S2009" s="372" t="s">
        <v>12986</v>
      </c>
      <c r="T2009" s="697" t="s">
        <v>768</v>
      </c>
      <c r="U2009" s="372" t="s">
        <v>12987</v>
      </c>
      <c r="V2009" s="722" t="s">
        <v>770</v>
      </c>
      <c r="W2009" s="722">
        <v>0.72</v>
      </c>
      <c r="X2009" s="722">
        <v>0.97</v>
      </c>
      <c r="Y2009" s="722" t="s">
        <v>770</v>
      </c>
      <c r="Z2009" s="382" t="s">
        <v>924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12988</v>
      </c>
      <c r="B2010" s="373" t="s">
        <v>12989</v>
      </c>
      <c r="C2010" s="372" t="s">
        <v>12990</v>
      </c>
      <c r="D2010" s="374">
        <v>1913110002354</v>
      </c>
      <c r="E2010" s="372" t="s">
        <v>12991</v>
      </c>
      <c r="F2010" s="375" t="s">
        <v>1860</v>
      </c>
      <c r="G2010" s="375" t="s">
        <v>1861</v>
      </c>
      <c r="H2010" s="375" t="s">
        <v>858</v>
      </c>
      <c r="I2010" s="375" t="s">
        <v>859</v>
      </c>
      <c r="J2010" s="375">
        <v>77544.512459999998</v>
      </c>
      <c r="K2010" s="375">
        <v>5735.1200099999996</v>
      </c>
      <c r="L2010" s="375">
        <v>5940.0283600000002</v>
      </c>
      <c r="M2010" s="375">
        <v>46068.624510000001</v>
      </c>
      <c r="N2010" s="372" t="s">
        <v>1023</v>
      </c>
      <c r="O2010" s="704">
        <v>3.775876013317498</v>
      </c>
      <c r="P2010" s="375" t="s">
        <v>619</v>
      </c>
      <c r="Q2010" s="372" t="s">
        <v>619</v>
      </c>
      <c r="R2010" s="696">
        <v>20051027</v>
      </c>
      <c r="S2010" s="372" t="s">
        <v>12992</v>
      </c>
      <c r="T2010" s="697">
        <v>0.20900000000000002</v>
      </c>
      <c r="U2010" s="372" t="s">
        <v>8875</v>
      </c>
      <c r="V2010" s="722">
        <v>0</v>
      </c>
      <c r="W2010" s="722">
        <v>0</v>
      </c>
      <c r="X2010" s="722">
        <v>0</v>
      </c>
      <c r="Y2010" s="722">
        <v>0</v>
      </c>
      <c r="Z2010" s="382" t="s">
        <v>924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12993</v>
      </c>
      <c r="B2011" s="373" t="s">
        <v>12994</v>
      </c>
      <c r="C2011" s="372" t="s">
        <v>12995</v>
      </c>
      <c r="D2011" s="374">
        <v>1348110001545</v>
      </c>
      <c r="E2011" s="372" t="s">
        <v>12996</v>
      </c>
      <c r="F2011" s="372" t="s">
        <v>1868</v>
      </c>
      <c r="G2011" s="375" t="s">
        <v>1869</v>
      </c>
      <c r="H2011" s="375" t="s">
        <v>858</v>
      </c>
      <c r="I2011" s="375" t="s">
        <v>859</v>
      </c>
      <c r="J2011" s="375">
        <v>23515.20174</v>
      </c>
      <c r="K2011" s="375">
        <v>-4910.5142100000003</v>
      </c>
      <c r="L2011" s="375">
        <v>-2228.1804400000001</v>
      </c>
      <c r="M2011" s="375">
        <v>43853.972349999996</v>
      </c>
      <c r="N2011" s="372">
        <v>0.106</v>
      </c>
      <c r="O2011" s="704">
        <v>21.753419820331889</v>
      </c>
      <c r="P2011" s="375" t="s">
        <v>619</v>
      </c>
      <c r="Q2011" s="375" t="s">
        <v>619</v>
      </c>
      <c r="R2011" s="696">
        <v>19971103</v>
      </c>
      <c r="S2011" s="375" t="s">
        <v>12997</v>
      </c>
      <c r="T2011" s="697" t="s">
        <v>768</v>
      </c>
      <c r="U2011" s="372" t="s">
        <v>12998</v>
      </c>
      <c r="V2011" s="722" t="s">
        <v>770</v>
      </c>
      <c r="W2011" s="722">
        <v>1.53</v>
      </c>
      <c r="X2011" s="722">
        <v>2.7</v>
      </c>
      <c r="Y2011" s="722" t="s">
        <v>770</v>
      </c>
      <c r="Z2011" s="382" t="s">
        <v>924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12999</v>
      </c>
      <c r="B2012" s="373" t="s">
        <v>13000</v>
      </c>
      <c r="C2012" s="372" t="s">
        <v>13001</v>
      </c>
      <c r="D2012" s="374">
        <v>1101110279996</v>
      </c>
      <c r="E2012" s="372" t="s">
        <v>13002</v>
      </c>
      <c r="F2012" s="375" t="s">
        <v>1534</v>
      </c>
      <c r="G2012" s="375" t="s">
        <v>3638</v>
      </c>
      <c r="H2012" s="375" t="s">
        <v>1536</v>
      </c>
      <c r="I2012" s="375" t="s">
        <v>751</v>
      </c>
      <c r="J2012" s="375">
        <v>117298.86143</v>
      </c>
      <c r="K2012" s="375">
        <v>-587.35514999999998</v>
      </c>
      <c r="L2012" s="375">
        <v>115.07718</v>
      </c>
      <c r="M2012" s="375">
        <v>33266.449159999996</v>
      </c>
      <c r="N2012" s="372">
        <v>1.2470000000000001</v>
      </c>
      <c r="O2012" s="704">
        <v>92.593657718774836</v>
      </c>
      <c r="P2012" s="375" t="s">
        <v>619</v>
      </c>
      <c r="Q2012" s="372" t="s">
        <v>619</v>
      </c>
      <c r="R2012" s="696">
        <v>19890620</v>
      </c>
      <c r="S2012" s="372" t="s">
        <v>13003</v>
      </c>
      <c r="T2012" s="697">
        <v>9.9000000000000005E-2</v>
      </c>
      <c r="U2012" s="372" t="s">
        <v>13004</v>
      </c>
      <c r="V2012" s="722">
        <v>12.67</v>
      </c>
      <c r="W2012" s="722">
        <v>1.47</v>
      </c>
      <c r="X2012" s="722">
        <v>0.42</v>
      </c>
      <c r="Y2012" s="722" t="s">
        <v>770</v>
      </c>
      <c r="Z2012" s="382" t="s">
        <v>924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13005</v>
      </c>
      <c r="B2013" s="373" t="s">
        <v>13006</v>
      </c>
      <c r="C2013" s="372" t="s">
        <v>13007</v>
      </c>
      <c r="D2013" s="374">
        <v>2149110013103</v>
      </c>
      <c r="E2013" s="372" t="s">
        <v>13008</v>
      </c>
      <c r="F2013" s="375" t="s">
        <v>766</v>
      </c>
      <c r="G2013" s="375" t="s">
        <v>766</v>
      </c>
      <c r="H2013" s="375" t="s">
        <v>858</v>
      </c>
      <c r="I2013" s="375" t="s">
        <v>859</v>
      </c>
      <c r="J2013" s="375">
        <v>36333.270089999998</v>
      </c>
      <c r="K2013" s="375">
        <v>-3249.51343</v>
      </c>
      <c r="L2013" s="375">
        <v>11642.78744</v>
      </c>
      <c r="M2013" s="375">
        <v>134178.02853000001</v>
      </c>
      <c r="N2013" s="372">
        <v>0.80600000000000005</v>
      </c>
      <c r="O2013" s="704">
        <v>15.690952408222959</v>
      </c>
      <c r="P2013" s="375" t="s">
        <v>619</v>
      </c>
      <c r="Q2013" s="372" t="s">
        <v>619</v>
      </c>
      <c r="R2013" s="696">
        <v>20071008</v>
      </c>
      <c r="S2013" s="372" t="s">
        <v>13009</v>
      </c>
      <c r="T2013" s="697">
        <v>0.20900000000000002</v>
      </c>
      <c r="U2013" s="372" t="s">
        <v>13010</v>
      </c>
      <c r="V2013" s="722">
        <v>116.21</v>
      </c>
      <c r="W2013" s="722">
        <v>0.3</v>
      </c>
      <c r="X2013" s="722">
        <v>1.18</v>
      </c>
      <c r="Y2013" s="722">
        <v>3.28</v>
      </c>
      <c r="Z2013" s="382" t="s">
        <v>924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13011</v>
      </c>
      <c r="B2014" s="373" t="s">
        <v>13012</v>
      </c>
      <c r="C2014" s="372" t="s">
        <v>13013</v>
      </c>
      <c r="D2014" s="374">
        <v>1450110000540</v>
      </c>
      <c r="E2014" s="372" t="s">
        <v>13014</v>
      </c>
      <c r="F2014" s="375" t="s">
        <v>11044</v>
      </c>
      <c r="G2014" s="375" t="s">
        <v>11044</v>
      </c>
      <c r="H2014" s="375" t="s">
        <v>858</v>
      </c>
      <c r="I2014" s="375" t="s">
        <v>859</v>
      </c>
      <c r="J2014" s="375">
        <v>130990.49088</v>
      </c>
      <c r="K2014" s="375">
        <v>-9140.0556799999995</v>
      </c>
      <c r="L2014" s="375">
        <v>-5892.3629799999999</v>
      </c>
      <c r="M2014" s="375">
        <v>126743.2954</v>
      </c>
      <c r="N2014" s="372">
        <v>0.64400000000000002</v>
      </c>
      <c r="O2014" s="704">
        <v>80.072491180116216</v>
      </c>
      <c r="P2014" s="375" t="s">
        <v>619</v>
      </c>
      <c r="Q2014" s="372" t="s">
        <v>619</v>
      </c>
      <c r="R2014" s="696">
        <v>20051220</v>
      </c>
      <c r="S2014" s="372" t="s">
        <v>13015</v>
      </c>
      <c r="T2014" s="697" t="s">
        <v>768</v>
      </c>
      <c r="U2014" s="372" t="s">
        <v>13016</v>
      </c>
      <c r="V2014" s="722" t="s">
        <v>770</v>
      </c>
      <c r="W2014" s="722">
        <v>0.32</v>
      </c>
      <c r="X2014" s="722">
        <v>0.31</v>
      </c>
      <c r="Y2014" s="722" t="s">
        <v>770</v>
      </c>
      <c r="Z2014" s="382" t="s">
        <v>924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13017</v>
      </c>
      <c r="B2015" s="373" t="s">
        <v>13018</v>
      </c>
      <c r="C2015" s="372" t="s">
        <v>13019</v>
      </c>
      <c r="D2015" s="374">
        <v>1301110023349</v>
      </c>
      <c r="E2015" s="372" t="s">
        <v>13020</v>
      </c>
      <c r="F2015" s="372" t="s">
        <v>766</v>
      </c>
      <c r="G2015" s="375" t="s">
        <v>766</v>
      </c>
      <c r="H2015" s="375" t="s">
        <v>858</v>
      </c>
      <c r="I2015" s="375" t="s">
        <v>859</v>
      </c>
      <c r="J2015" s="375">
        <v>14721.30546</v>
      </c>
      <c r="K2015" s="375">
        <v>-46.274120000000003</v>
      </c>
      <c r="L2015" s="375">
        <v>6196.1546600000001</v>
      </c>
      <c r="M2015" s="375">
        <v>125372.80074000001</v>
      </c>
      <c r="N2015" s="372">
        <v>0.79600000000000004</v>
      </c>
      <c r="O2015" s="704">
        <v>5.7242734500216663E-2</v>
      </c>
      <c r="P2015" s="375" t="s">
        <v>619</v>
      </c>
      <c r="Q2015" s="375" t="s">
        <v>619</v>
      </c>
      <c r="R2015" s="696">
        <v>19991218</v>
      </c>
      <c r="S2015" s="372" t="s">
        <v>6965</v>
      </c>
      <c r="T2015" s="697">
        <v>0.20900000000000002</v>
      </c>
      <c r="U2015" s="372" t="s">
        <v>13021</v>
      </c>
      <c r="V2015" s="722">
        <v>0</v>
      </c>
      <c r="W2015" s="722">
        <v>0</v>
      </c>
      <c r="X2015" s="722">
        <v>0</v>
      </c>
      <c r="Y2015" s="722">
        <v>0</v>
      </c>
      <c r="Z2015" s="382" t="s">
        <v>924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13022</v>
      </c>
      <c r="B2016" s="373" t="s">
        <v>13023</v>
      </c>
      <c r="C2016" s="372" t="s">
        <v>13024</v>
      </c>
      <c r="D2016" s="374">
        <v>1201110003111</v>
      </c>
      <c r="E2016" s="372" t="s">
        <v>13025</v>
      </c>
      <c r="F2016" s="372" t="s">
        <v>1300</v>
      </c>
      <c r="G2016" s="375" t="s">
        <v>1300</v>
      </c>
      <c r="H2016" s="375" t="s">
        <v>858</v>
      </c>
      <c r="I2016" s="375" t="s">
        <v>859</v>
      </c>
      <c r="J2016" s="375">
        <v>120465.12828999999</v>
      </c>
      <c r="K2016" s="375">
        <v>-8325.6541500000003</v>
      </c>
      <c r="L2016" s="375">
        <v>-7693.4802499999996</v>
      </c>
      <c r="M2016" s="375">
        <v>105609.65268</v>
      </c>
      <c r="N2016" s="372">
        <v>0.96599999999999997</v>
      </c>
      <c r="O2016" s="704">
        <v>57.941056117019983</v>
      </c>
      <c r="P2016" s="375" t="s">
        <v>619</v>
      </c>
      <c r="Q2016" s="372" t="s">
        <v>619</v>
      </c>
      <c r="R2016" s="696">
        <v>19920831</v>
      </c>
      <c r="S2016" s="372" t="s">
        <v>13026</v>
      </c>
      <c r="T2016" s="697" t="s">
        <v>768</v>
      </c>
      <c r="U2016" s="375" t="s">
        <v>13027</v>
      </c>
      <c r="V2016" s="722" t="s">
        <v>770</v>
      </c>
      <c r="W2016" s="722">
        <v>0.41</v>
      </c>
      <c r="X2016" s="722">
        <v>0.36</v>
      </c>
      <c r="Y2016" s="722" t="s">
        <v>770</v>
      </c>
      <c r="Z2016" s="382" t="s">
        <v>924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13028</v>
      </c>
      <c r="B2017" s="373" t="s">
        <v>13029</v>
      </c>
      <c r="C2017" s="372" t="s">
        <v>13030</v>
      </c>
      <c r="D2017" s="374">
        <v>1615110116305</v>
      </c>
      <c r="E2017" s="372" t="s">
        <v>13031</v>
      </c>
      <c r="F2017" s="372" t="s">
        <v>1747</v>
      </c>
      <c r="G2017" s="375" t="s">
        <v>1747</v>
      </c>
      <c r="H2017" s="375" t="s">
        <v>858</v>
      </c>
      <c r="I2017" s="375" t="s">
        <v>859</v>
      </c>
      <c r="J2017" s="375">
        <v>1151.5003400000001</v>
      </c>
      <c r="K2017" s="375">
        <v>-9564.6101500000004</v>
      </c>
      <c r="L2017" s="375">
        <v>-8108.5855300000003</v>
      </c>
      <c r="M2017" s="375">
        <v>22829.361099999998</v>
      </c>
      <c r="N2017" s="372">
        <v>0.77500000000000002</v>
      </c>
      <c r="O2017" s="704">
        <v>6.5677865221907119</v>
      </c>
      <c r="P2017" s="375" t="s">
        <v>619</v>
      </c>
      <c r="Q2017" s="375" t="s">
        <v>619</v>
      </c>
      <c r="R2017" s="696">
        <v>20210526</v>
      </c>
      <c r="S2017" s="375" t="s">
        <v>13032</v>
      </c>
      <c r="T2017" s="697" t="s">
        <v>768</v>
      </c>
      <c r="U2017" s="372" t="s">
        <v>13033</v>
      </c>
      <c r="V2017" s="722" t="s">
        <v>770</v>
      </c>
      <c r="W2017" s="722">
        <v>2.99</v>
      </c>
      <c r="X2017" s="722">
        <v>55.83</v>
      </c>
      <c r="Y2017" s="722" t="s">
        <v>770</v>
      </c>
      <c r="Z2017" s="382" t="s">
        <v>924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13034</v>
      </c>
      <c r="B2018" s="373" t="s">
        <v>13035</v>
      </c>
      <c r="C2018" s="372" t="s">
        <v>13036</v>
      </c>
      <c r="D2018" s="374">
        <v>1101110271497</v>
      </c>
      <c r="E2018" s="372" t="s">
        <v>13037</v>
      </c>
      <c r="F2018" s="372" t="s">
        <v>1876</v>
      </c>
      <c r="G2018" s="375" t="s">
        <v>1876</v>
      </c>
      <c r="H2018" s="375" t="s">
        <v>1383</v>
      </c>
      <c r="I2018" s="375" t="s">
        <v>751</v>
      </c>
      <c r="J2018" s="375">
        <v>162877.12794000001</v>
      </c>
      <c r="K2018" s="375">
        <v>5053.7069000000001</v>
      </c>
      <c r="L2018" s="375">
        <v>2310.1417799999999</v>
      </c>
      <c r="M2018" s="375">
        <v>45058.85684</v>
      </c>
      <c r="N2018" s="372">
        <v>0.56699999999999995</v>
      </c>
      <c r="O2018" s="704">
        <v>22.839502844851765</v>
      </c>
      <c r="P2018" s="375" t="s">
        <v>619</v>
      </c>
      <c r="Q2018" s="375" t="s">
        <v>619</v>
      </c>
      <c r="R2018" s="696">
        <v>19970623</v>
      </c>
      <c r="S2018" s="375" t="s">
        <v>13038</v>
      </c>
      <c r="T2018" s="697">
        <v>0.20900000000000002</v>
      </c>
      <c r="U2018" s="372" t="s">
        <v>13039</v>
      </c>
      <c r="V2018" s="722">
        <v>10</v>
      </c>
      <c r="W2018" s="722">
        <v>1.63</v>
      </c>
      <c r="X2018" s="722">
        <v>0.45</v>
      </c>
      <c r="Y2018" s="722">
        <v>38.200000000000003</v>
      </c>
      <c r="Z2018" s="382" t="s">
        <v>924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13040</v>
      </c>
      <c r="B2019" s="373" t="s">
        <v>13041</v>
      </c>
      <c r="C2019" s="372" t="s">
        <v>16043</v>
      </c>
      <c r="D2019" s="374">
        <v>1358110109900</v>
      </c>
      <c r="E2019" s="372" t="s">
        <v>16044</v>
      </c>
      <c r="F2019" s="372" t="s">
        <v>1272</v>
      </c>
      <c r="G2019" s="375" t="s">
        <v>1272</v>
      </c>
      <c r="H2019" s="375" t="s">
        <v>858</v>
      </c>
      <c r="I2019" s="375" t="s">
        <v>859</v>
      </c>
      <c r="J2019" s="375">
        <v>57821.576650000003</v>
      </c>
      <c r="K2019" s="375">
        <v>1070.12951</v>
      </c>
      <c r="L2019" s="375">
        <v>-7718.3001800000002</v>
      </c>
      <c r="M2019" s="375">
        <v>33922.567239999997</v>
      </c>
      <c r="N2019" s="372">
        <v>0.8</v>
      </c>
      <c r="O2019" s="704">
        <v>23.502983833518382</v>
      </c>
      <c r="P2019" s="375" t="s">
        <v>16112</v>
      </c>
      <c r="Q2019" s="372" t="s">
        <v>16113</v>
      </c>
      <c r="R2019" s="696">
        <v>20120802</v>
      </c>
      <c r="S2019" s="372" t="s">
        <v>13042</v>
      </c>
      <c r="T2019" s="697" t="s">
        <v>768</v>
      </c>
      <c r="U2019" s="372" t="s">
        <v>13043</v>
      </c>
      <c r="V2019" s="722">
        <v>57.1</v>
      </c>
      <c r="W2019" s="722">
        <v>3.59</v>
      </c>
      <c r="X2019" s="722">
        <v>2.1</v>
      </c>
      <c r="Y2019" s="722" t="s">
        <v>770</v>
      </c>
      <c r="Z2019" s="382" t="s">
        <v>924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13044</v>
      </c>
      <c r="B2020" s="373" t="s">
        <v>13045</v>
      </c>
      <c r="C2020" s="372" t="s">
        <v>16127</v>
      </c>
      <c r="D2020" s="374">
        <v>1101115403623</v>
      </c>
      <c r="E2020" s="372" t="s">
        <v>16084</v>
      </c>
      <c r="F2020" s="372" t="s">
        <v>2647</v>
      </c>
      <c r="G2020" s="375" t="s">
        <v>2647</v>
      </c>
      <c r="H2020" s="375" t="s">
        <v>858</v>
      </c>
      <c r="I2020" s="375" t="s">
        <v>859</v>
      </c>
      <c r="J2020" s="375">
        <v>31891.454600000001</v>
      </c>
      <c r="K2020" s="375">
        <v>1327.41482</v>
      </c>
      <c r="L2020" s="375">
        <v>5865.1292599999997</v>
      </c>
      <c r="M2020" s="375">
        <v>147518.56461999999</v>
      </c>
      <c r="N2020" s="372">
        <v>0.76500000000000001</v>
      </c>
      <c r="O2020" s="704">
        <v>101.29383175843201</v>
      </c>
      <c r="P2020" s="375" t="s">
        <v>619</v>
      </c>
      <c r="Q2020" s="375" t="s">
        <v>619</v>
      </c>
      <c r="R2020" s="696">
        <v>20140813</v>
      </c>
      <c r="S2020" s="372" t="s">
        <v>13046</v>
      </c>
      <c r="T2020" s="697">
        <v>0.20900000000000002</v>
      </c>
      <c r="U2020" s="372" t="s">
        <v>13047</v>
      </c>
      <c r="V2020" s="722">
        <v>0</v>
      </c>
      <c r="W2020" s="722">
        <v>0</v>
      </c>
      <c r="X2020" s="722">
        <v>0</v>
      </c>
      <c r="Y2020" s="722">
        <v>0</v>
      </c>
      <c r="Z2020" s="382" t="s">
        <v>924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13048</v>
      </c>
      <c r="B2021" s="373" t="s">
        <v>13049</v>
      </c>
      <c r="C2021" s="372" t="s">
        <v>13050</v>
      </c>
      <c r="D2021" s="374">
        <v>1701110030958</v>
      </c>
      <c r="E2021" s="372" t="s">
        <v>13051</v>
      </c>
      <c r="F2021" s="372" t="s">
        <v>7041</v>
      </c>
      <c r="G2021" s="375" t="s">
        <v>8264</v>
      </c>
      <c r="H2021" s="375" t="s">
        <v>858</v>
      </c>
      <c r="I2021" s="375" t="s">
        <v>859</v>
      </c>
      <c r="J2021" s="375">
        <v>90163.294309999997</v>
      </c>
      <c r="K2021" s="375">
        <v>7786.1331700000001</v>
      </c>
      <c r="L2021" s="375">
        <v>7198.1090999999997</v>
      </c>
      <c r="M2021" s="375">
        <v>92107.048630000005</v>
      </c>
      <c r="N2021" s="372">
        <v>0.95299999999999996</v>
      </c>
      <c r="O2021" s="704">
        <v>28.321263895144128</v>
      </c>
      <c r="P2021" s="375" t="s">
        <v>619</v>
      </c>
      <c r="Q2021" s="375" t="s">
        <v>619</v>
      </c>
      <c r="R2021" s="696">
        <v>20000314</v>
      </c>
      <c r="S2021" s="372" t="s">
        <v>13052</v>
      </c>
      <c r="T2021" s="697">
        <v>0.20900000000000002</v>
      </c>
      <c r="U2021" s="372" t="s">
        <v>13053</v>
      </c>
      <c r="V2021" s="722">
        <v>15.36</v>
      </c>
      <c r="W2021" s="722">
        <v>1.37</v>
      </c>
      <c r="X2021" s="722">
        <v>1.4</v>
      </c>
      <c r="Y2021" s="722">
        <v>21.3</v>
      </c>
      <c r="Z2021" s="382" t="s">
        <v>924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13054</v>
      </c>
      <c r="B2022" s="373" t="s">
        <v>13055</v>
      </c>
      <c r="C2022" s="372" t="s">
        <v>13056</v>
      </c>
      <c r="D2022" s="374">
        <v>1101111670234</v>
      </c>
      <c r="E2022" s="372" t="s">
        <v>13057</v>
      </c>
      <c r="F2022" s="372" t="s">
        <v>13058</v>
      </c>
      <c r="G2022" s="375" t="s">
        <v>13058</v>
      </c>
      <c r="H2022" s="375" t="s">
        <v>1334</v>
      </c>
      <c r="I2022" s="375" t="s">
        <v>859</v>
      </c>
      <c r="J2022" s="375">
        <v>53454.64026</v>
      </c>
      <c r="K2022" s="375">
        <v>2253.80087</v>
      </c>
      <c r="L2022" s="375">
        <v>2373.2410100000002</v>
      </c>
      <c r="M2022" s="375">
        <v>30546.52421</v>
      </c>
      <c r="N2022" s="372">
        <v>0.65700000000000003</v>
      </c>
      <c r="O2022" s="704">
        <v>1.6146591974880966</v>
      </c>
      <c r="P2022" s="375" t="s">
        <v>619</v>
      </c>
      <c r="Q2022" s="372" t="s">
        <v>619</v>
      </c>
      <c r="R2022" s="696">
        <v>20200701</v>
      </c>
      <c r="S2022" s="372" t="s">
        <v>13059</v>
      </c>
      <c r="T2022" s="697">
        <v>0.20900000000000002</v>
      </c>
      <c r="U2022" s="372" t="s">
        <v>13060</v>
      </c>
      <c r="V2022" s="722">
        <v>12.32</v>
      </c>
      <c r="W2022" s="722">
        <v>1.76</v>
      </c>
      <c r="X2022" s="722">
        <v>0.99</v>
      </c>
      <c r="Y2022" s="722">
        <v>25.53</v>
      </c>
      <c r="Z2022" s="382" t="s">
        <v>924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13061</v>
      </c>
      <c r="B2023" s="373" t="s">
        <v>13062</v>
      </c>
      <c r="C2023" s="372" t="s">
        <v>13063</v>
      </c>
      <c r="D2023" s="374">
        <v>1101110073413</v>
      </c>
      <c r="E2023" s="372" t="s">
        <v>13064</v>
      </c>
      <c r="F2023" s="372" t="s">
        <v>2702</v>
      </c>
      <c r="G2023" s="375" t="s">
        <v>12574</v>
      </c>
      <c r="H2023" s="375" t="s">
        <v>1465</v>
      </c>
      <c r="I2023" s="375" t="s">
        <v>751</v>
      </c>
      <c r="J2023" s="375">
        <v>4418.5471900000002</v>
      </c>
      <c r="K2023" s="375">
        <v>-4981.3382099999999</v>
      </c>
      <c r="L2023" s="375">
        <v>-1818.9582700000001</v>
      </c>
      <c r="M2023" s="375">
        <v>165035.78164</v>
      </c>
      <c r="N2023" s="372">
        <v>0.88800000000000001</v>
      </c>
      <c r="O2023" s="704">
        <v>8.1719093446262328</v>
      </c>
      <c r="P2023" s="375" t="s">
        <v>619</v>
      </c>
      <c r="Q2023" s="372" t="s">
        <v>619</v>
      </c>
      <c r="R2023" s="696">
        <v>19770630</v>
      </c>
      <c r="S2023" s="372" t="s">
        <v>13065</v>
      </c>
      <c r="T2023" s="697" t="s">
        <v>768</v>
      </c>
      <c r="U2023" s="372" t="s">
        <v>13066</v>
      </c>
      <c r="V2023" s="722">
        <v>0</v>
      </c>
      <c r="W2023" s="722">
        <v>0</v>
      </c>
      <c r="X2023" s="722">
        <v>0</v>
      </c>
      <c r="Y2023" s="722">
        <v>0</v>
      </c>
      <c r="Z2023" s="382" t="s">
        <v>924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13067</v>
      </c>
      <c r="B2024" s="373" t="s">
        <v>13068</v>
      </c>
      <c r="C2024" s="372" t="s">
        <v>16287</v>
      </c>
      <c r="D2024" s="374">
        <v>1701110391532</v>
      </c>
      <c r="E2024" s="372" t="s">
        <v>16288</v>
      </c>
      <c r="F2024" s="372" t="s">
        <v>5129</v>
      </c>
      <c r="G2024" s="375" t="s">
        <v>8120</v>
      </c>
      <c r="H2024" s="375" t="s">
        <v>843</v>
      </c>
      <c r="I2024" s="375" t="s">
        <v>751</v>
      </c>
      <c r="J2024" s="375">
        <v>57572.768340000002</v>
      </c>
      <c r="K2024" s="375">
        <v>-8816.6555599999992</v>
      </c>
      <c r="L2024" s="375">
        <v>-17296.512780000001</v>
      </c>
      <c r="M2024" s="375">
        <v>118422.76791</v>
      </c>
      <c r="N2024" s="372">
        <v>0.80300000000000005</v>
      </c>
      <c r="O2024" s="704">
        <v>13.964690572310163</v>
      </c>
      <c r="P2024" s="375" t="s">
        <v>619</v>
      </c>
      <c r="Q2024" s="372" t="s">
        <v>619</v>
      </c>
      <c r="R2024" s="696">
        <v>20091230</v>
      </c>
      <c r="S2024" s="372" t="s">
        <v>16128</v>
      </c>
      <c r="T2024" s="697" t="s">
        <v>768</v>
      </c>
      <c r="U2024" s="372" t="s">
        <v>15952</v>
      </c>
      <c r="V2024" s="722" t="s">
        <v>770</v>
      </c>
      <c r="W2024" s="722">
        <v>0.5</v>
      </c>
      <c r="X2024" s="722">
        <v>0.96</v>
      </c>
      <c r="Y2024" s="722">
        <v>48.77</v>
      </c>
      <c r="Z2024" s="382" t="s">
        <v>924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13069</v>
      </c>
      <c r="B2025" s="373" t="s">
        <v>13070</v>
      </c>
      <c r="C2025" s="372" t="s">
        <v>13071</v>
      </c>
      <c r="D2025" s="374">
        <v>1101111577977</v>
      </c>
      <c r="E2025" s="372" t="s">
        <v>13072</v>
      </c>
      <c r="F2025" s="372" t="s">
        <v>3293</v>
      </c>
      <c r="G2025" s="375" t="s">
        <v>3293</v>
      </c>
      <c r="H2025" s="375" t="s">
        <v>3096</v>
      </c>
      <c r="I2025" s="375" t="s">
        <v>859</v>
      </c>
      <c r="J2025" s="375">
        <v>319501.39084000001</v>
      </c>
      <c r="K2025" s="375">
        <v>595.74977999999999</v>
      </c>
      <c r="L2025" s="375">
        <v>-124.22054</v>
      </c>
      <c r="M2025" s="375">
        <v>38936.85123</v>
      </c>
      <c r="N2025" s="372">
        <v>0.96299999999999997</v>
      </c>
      <c r="O2025" s="704">
        <v>85.183185624208647</v>
      </c>
      <c r="P2025" s="375" t="s">
        <v>619</v>
      </c>
      <c r="Q2025" s="372" t="s">
        <v>619</v>
      </c>
      <c r="R2025" s="696">
        <v>20020208</v>
      </c>
      <c r="S2025" s="372" t="s">
        <v>13073</v>
      </c>
      <c r="T2025" s="697" t="s">
        <v>768</v>
      </c>
      <c r="U2025" s="372" t="s">
        <v>13074</v>
      </c>
      <c r="V2025" s="722">
        <v>0</v>
      </c>
      <c r="W2025" s="722">
        <v>0</v>
      </c>
      <c r="X2025" s="722">
        <v>0</v>
      </c>
      <c r="Y2025" s="722">
        <v>0</v>
      </c>
      <c r="Z2025" s="382" t="s">
        <v>924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13075</v>
      </c>
      <c r="B2026" s="373" t="s">
        <v>13076</v>
      </c>
      <c r="C2026" s="372" t="s">
        <v>13077</v>
      </c>
      <c r="D2026" s="374">
        <v>1101113489609</v>
      </c>
      <c r="E2026" s="372" t="s">
        <v>13078</v>
      </c>
      <c r="F2026" s="372" t="s">
        <v>10611</v>
      </c>
      <c r="G2026" s="375" t="s">
        <v>10611</v>
      </c>
      <c r="H2026" s="375" t="s">
        <v>1040</v>
      </c>
      <c r="I2026" s="375" t="s">
        <v>751</v>
      </c>
      <c r="J2026" s="375">
        <v>117519.43957</v>
      </c>
      <c r="K2026" s="375">
        <v>-9690.3005499999999</v>
      </c>
      <c r="L2026" s="375">
        <v>-24001.31221</v>
      </c>
      <c r="M2026" s="375">
        <v>204692.05749000001</v>
      </c>
      <c r="N2026" s="372">
        <v>0.622</v>
      </c>
      <c r="O2026" s="704">
        <v>118.97451772612038</v>
      </c>
      <c r="P2026" s="375" t="s">
        <v>16112</v>
      </c>
      <c r="Q2026" s="372" t="s">
        <v>16113</v>
      </c>
      <c r="R2026" s="696">
        <v>20060731</v>
      </c>
      <c r="S2026" s="372" t="s">
        <v>13079</v>
      </c>
      <c r="T2026" s="697" t="s">
        <v>768</v>
      </c>
      <c r="U2026" s="372" t="s">
        <v>13080</v>
      </c>
      <c r="V2026" s="722" t="s">
        <v>770</v>
      </c>
      <c r="W2026" s="722">
        <v>0.33</v>
      </c>
      <c r="X2026" s="722">
        <v>0.55000000000000004</v>
      </c>
      <c r="Y2026" s="722" t="s">
        <v>770</v>
      </c>
      <c r="Z2026" s="382" t="s">
        <v>924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13081</v>
      </c>
      <c r="B2027" s="373" t="s">
        <v>13082</v>
      </c>
      <c r="C2027" s="372" t="s">
        <v>13083</v>
      </c>
      <c r="D2027" s="374">
        <v>1101113971466</v>
      </c>
      <c r="E2027" s="372" t="s">
        <v>13084</v>
      </c>
      <c r="F2027" s="375" t="s">
        <v>1093</v>
      </c>
      <c r="G2027" s="375" t="s">
        <v>1094</v>
      </c>
      <c r="H2027" s="375" t="s">
        <v>858</v>
      </c>
      <c r="I2027" s="375" t="s">
        <v>859</v>
      </c>
      <c r="J2027" s="375">
        <v>28555.37787</v>
      </c>
      <c r="K2027" s="375">
        <v>1946.6883800000001</v>
      </c>
      <c r="L2027" s="375">
        <v>3975.6788099999999</v>
      </c>
      <c r="M2027" s="375">
        <v>35672.693930000001</v>
      </c>
      <c r="N2027" s="372">
        <v>0.63500000000000001</v>
      </c>
      <c r="O2027" s="704">
        <v>45.743951272750131</v>
      </c>
      <c r="P2027" s="375" t="s">
        <v>16112</v>
      </c>
      <c r="Q2027" s="372" t="s">
        <v>16113</v>
      </c>
      <c r="R2027" s="696">
        <v>20170302</v>
      </c>
      <c r="S2027" s="372" t="s">
        <v>13085</v>
      </c>
      <c r="T2027" s="697">
        <v>0.20900000000000002</v>
      </c>
      <c r="U2027" s="372" t="s">
        <v>13086</v>
      </c>
      <c r="V2027" s="722">
        <v>44.47</v>
      </c>
      <c r="W2027" s="722">
        <v>1.57</v>
      </c>
      <c r="X2027" s="722">
        <v>1.61</v>
      </c>
      <c r="Y2027" s="722">
        <v>21.33</v>
      </c>
      <c r="Z2027" s="382" t="s">
        <v>924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13087</v>
      </c>
      <c r="B2028" s="373" t="s">
        <v>13088</v>
      </c>
      <c r="C2028" s="372" t="s">
        <v>13089</v>
      </c>
      <c r="D2028" s="374">
        <v>1101114022325</v>
      </c>
      <c r="E2028" s="372" t="s">
        <v>13090</v>
      </c>
      <c r="F2028" s="375" t="s">
        <v>10335</v>
      </c>
      <c r="G2028" s="375" t="s">
        <v>12076</v>
      </c>
      <c r="H2028" s="375" t="s">
        <v>1334</v>
      </c>
      <c r="I2028" s="375" t="s">
        <v>859</v>
      </c>
      <c r="J2028" s="375">
        <v>26275.152669999999</v>
      </c>
      <c r="K2028" s="375">
        <v>-3162.6956</v>
      </c>
      <c r="L2028" s="375">
        <v>-1742.15644</v>
      </c>
      <c r="M2028" s="375">
        <v>36607.495750000002</v>
      </c>
      <c r="N2028" s="372">
        <v>0.53500000000000003</v>
      </c>
      <c r="O2028" s="704">
        <v>1.5677276849956723</v>
      </c>
      <c r="P2028" s="375" t="s">
        <v>619</v>
      </c>
      <c r="Q2028" s="372" t="s">
        <v>619</v>
      </c>
      <c r="R2028" s="696">
        <v>20150629</v>
      </c>
      <c r="S2028" s="372" t="s">
        <v>13091</v>
      </c>
      <c r="T2028" s="697" t="s">
        <v>768</v>
      </c>
      <c r="U2028" s="372" t="s">
        <v>13092</v>
      </c>
      <c r="V2028" s="722">
        <v>0</v>
      </c>
      <c r="W2028" s="722">
        <v>0</v>
      </c>
      <c r="X2028" s="722">
        <v>0</v>
      </c>
      <c r="Y2028" s="722">
        <v>0</v>
      </c>
      <c r="Z2028" s="382" t="s">
        <v>924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13093</v>
      </c>
      <c r="B2029" s="373" t="s">
        <v>13094</v>
      </c>
      <c r="C2029" s="372" t="s">
        <v>13095</v>
      </c>
      <c r="D2029" s="374">
        <v>1101113840843</v>
      </c>
      <c r="E2029" s="372" t="s">
        <v>13096</v>
      </c>
      <c r="F2029" s="375" t="s">
        <v>3882</v>
      </c>
      <c r="G2029" s="375" t="s">
        <v>7791</v>
      </c>
      <c r="H2029" s="375" t="s">
        <v>892</v>
      </c>
      <c r="I2029" s="375" t="s">
        <v>859</v>
      </c>
      <c r="J2029" s="375">
        <v>24572.8393</v>
      </c>
      <c r="K2029" s="375">
        <v>6040.9796399999996</v>
      </c>
      <c r="L2029" s="375">
        <v>6312.7981799999998</v>
      </c>
      <c r="M2029" s="375">
        <v>86372.248009999996</v>
      </c>
      <c r="N2029" s="372">
        <v>0.89</v>
      </c>
      <c r="O2029" s="704">
        <v>2.1936757066298163</v>
      </c>
      <c r="P2029" s="375" t="s">
        <v>619</v>
      </c>
      <c r="Q2029" s="372" t="s">
        <v>619</v>
      </c>
      <c r="R2029" s="696">
        <v>20161215</v>
      </c>
      <c r="S2029" s="372" t="s">
        <v>10219</v>
      </c>
      <c r="T2029" s="697">
        <v>0.20900000000000002</v>
      </c>
      <c r="U2029" s="372" t="s">
        <v>13097</v>
      </c>
      <c r="V2029" s="722">
        <v>0</v>
      </c>
      <c r="W2029" s="722">
        <v>0.54</v>
      </c>
      <c r="X2029" s="722">
        <v>1.77</v>
      </c>
      <c r="Y2029" s="722">
        <v>11.89</v>
      </c>
      <c r="Z2029" s="382" t="s">
        <v>924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13098</v>
      </c>
      <c r="B2030" s="373" t="s">
        <v>13099</v>
      </c>
      <c r="C2030" s="372" t="s">
        <v>13100</v>
      </c>
      <c r="D2030" s="374">
        <v>1942110000191</v>
      </c>
      <c r="E2030" s="372" t="s">
        <v>13101</v>
      </c>
      <c r="F2030" s="375" t="s">
        <v>2744</v>
      </c>
      <c r="G2030" s="375" t="s">
        <v>6509</v>
      </c>
      <c r="H2030" s="375" t="s">
        <v>809</v>
      </c>
      <c r="I2030" s="375" t="s">
        <v>751</v>
      </c>
      <c r="J2030" s="375">
        <v>481249.92627</v>
      </c>
      <c r="K2030" s="375">
        <v>4665.8359200000004</v>
      </c>
      <c r="L2030" s="375">
        <v>-5936.7959899999996</v>
      </c>
      <c r="M2030" s="375">
        <v>228153.52911</v>
      </c>
      <c r="N2030" s="372">
        <v>0.65500000000000003</v>
      </c>
      <c r="O2030" s="704">
        <v>646.265295219628</v>
      </c>
      <c r="P2030" s="375" t="s">
        <v>619</v>
      </c>
      <c r="Q2030" s="372" t="s">
        <v>619</v>
      </c>
      <c r="R2030" s="696">
        <v>20100125</v>
      </c>
      <c r="S2030" s="372" t="s">
        <v>13102</v>
      </c>
      <c r="T2030" s="697" t="s">
        <v>768</v>
      </c>
      <c r="U2030" s="372" t="s">
        <v>13103</v>
      </c>
      <c r="V2030" s="722">
        <v>13.62</v>
      </c>
      <c r="W2030" s="722">
        <v>0.17</v>
      </c>
      <c r="X2030" s="722">
        <v>0.1</v>
      </c>
      <c r="Y2030" s="722" t="s">
        <v>770</v>
      </c>
      <c r="Z2030" s="382" t="s">
        <v>924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13104</v>
      </c>
      <c r="B2031" s="373" t="s">
        <v>13105</v>
      </c>
      <c r="C2031" s="372" t="s">
        <v>13106</v>
      </c>
      <c r="D2031" s="374">
        <v>1101114493344</v>
      </c>
      <c r="E2031" s="372" t="s">
        <v>13107</v>
      </c>
      <c r="F2031" s="375" t="s">
        <v>4188</v>
      </c>
      <c r="G2031" s="375" t="s">
        <v>4189</v>
      </c>
      <c r="H2031" s="375" t="s">
        <v>965</v>
      </c>
      <c r="I2031" s="375" t="s">
        <v>751</v>
      </c>
      <c r="J2031" s="375">
        <v>203965.94547000001</v>
      </c>
      <c r="K2031" s="375">
        <v>-2213.8337200000001</v>
      </c>
      <c r="L2031" s="375">
        <v>2039.8748599999999</v>
      </c>
      <c r="M2031" s="375">
        <v>66554.740139999994</v>
      </c>
      <c r="N2031" s="372">
        <v>0.70399999999999996</v>
      </c>
      <c r="O2031" s="704">
        <v>20.526836839084527</v>
      </c>
      <c r="P2031" s="375" t="s">
        <v>619</v>
      </c>
      <c r="Q2031" s="372" t="s">
        <v>619</v>
      </c>
      <c r="R2031" s="696">
        <v>20110125</v>
      </c>
      <c r="S2031" s="372" t="s">
        <v>13108</v>
      </c>
      <c r="T2031" s="697">
        <v>0.20900000000000002</v>
      </c>
      <c r="U2031" s="372" t="s">
        <v>13109</v>
      </c>
      <c r="V2031" s="722">
        <v>11.07</v>
      </c>
      <c r="W2031" s="722">
        <v>0.8</v>
      </c>
      <c r="X2031" s="722">
        <v>0.28000000000000003</v>
      </c>
      <c r="Y2031" s="722">
        <v>25.9</v>
      </c>
      <c r="Z2031" s="382" t="s">
        <v>924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13110</v>
      </c>
      <c r="B2032" s="373" t="s">
        <v>13111</v>
      </c>
      <c r="C2032" s="372" t="s">
        <v>16129</v>
      </c>
      <c r="D2032" s="374">
        <v>1358110087437</v>
      </c>
      <c r="E2032" s="372" t="s">
        <v>13112</v>
      </c>
      <c r="F2032" s="375" t="s">
        <v>2181</v>
      </c>
      <c r="G2032" s="375" t="s">
        <v>3520</v>
      </c>
      <c r="H2032" s="375" t="s">
        <v>858</v>
      </c>
      <c r="I2032" s="375" t="s">
        <v>4410</v>
      </c>
      <c r="J2032" s="375">
        <v>0</v>
      </c>
      <c r="K2032" s="375">
        <v>0</v>
      </c>
      <c r="L2032" s="375">
        <v>0</v>
      </c>
      <c r="M2032" s="375">
        <v>0</v>
      </c>
      <c r="N2032" s="372" t="s">
        <v>1023</v>
      </c>
      <c r="O2032" s="704" t="s">
        <v>16298</v>
      </c>
      <c r="P2032" s="375" t="s">
        <v>619</v>
      </c>
      <c r="Q2032" s="372" t="s">
        <v>619</v>
      </c>
      <c r="R2032" s="696">
        <v>20170726</v>
      </c>
      <c r="S2032" s="372" t="e">
        <v>#N/A</v>
      </c>
      <c r="T2032" s="697" t="s">
        <v>768</v>
      </c>
      <c r="U2032" s="372" t="s">
        <v>13113</v>
      </c>
      <c r="V2032" s="722">
        <v>0</v>
      </c>
      <c r="W2032" s="722">
        <v>0</v>
      </c>
      <c r="X2032" s="722">
        <v>0</v>
      </c>
      <c r="Y2032" s="722">
        <v>0</v>
      </c>
      <c r="Z2032" s="382" t="s">
        <v>924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13114</v>
      </c>
      <c r="B2033" s="373" t="s">
        <v>13115</v>
      </c>
      <c r="C2033" s="372" t="s">
        <v>13116</v>
      </c>
      <c r="D2033" s="374">
        <v>1314110241465</v>
      </c>
      <c r="E2033" s="372" t="s">
        <v>13117</v>
      </c>
      <c r="F2033" s="375" t="s">
        <v>1860</v>
      </c>
      <c r="G2033" s="375" t="s">
        <v>1861</v>
      </c>
      <c r="H2033" s="375" t="s">
        <v>789</v>
      </c>
      <c r="I2033" s="375" t="s">
        <v>751</v>
      </c>
      <c r="J2033" s="375">
        <v>204587.71075</v>
      </c>
      <c r="K2033" s="375">
        <v>12603.248799999999</v>
      </c>
      <c r="L2033" s="375">
        <v>15682.667659999999</v>
      </c>
      <c r="M2033" s="375">
        <v>213028.09396</v>
      </c>
      <c r="N2033" s="372">
        <v>0.875</v>
      </c>
      <c r="O2033" s="704">
        <v>24.304664985010934</v>
      </c>
      <c r="P2033" s="375" t="s">
        <v>619</v>
      </c>
      <c r="Q2033" s="372" t="s">
        <v>619</v>
      </c>
      <c r="R2033" s="696">
        <v>20100531</v>
      </c>
      <c r="S2033" s="372" t="s">
        <v>13118</v>
      </c>
      <c r="T2033" s="697">
        <v>0.20900000000000002</v>
      </c>
      <c r="U2033" s="372" t="s">
        <v>13119</v>
      </c>
      <c r="V2033" s="722">
        <v>3</v>
      </c>
      <c r="W2033" s="722">
        <v>0.26</v>
      </c>
      <c r="X2033" s="722">
        <v>0.26</v>
      </c>
      <c r="Y2033" s="722">
        <v>4.3099999999999996</v>
      </c>
      <c r="Z2033" s="382" t="s">
        <v>924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13120</v>
      </c>
      <c r="B2034" s="373" t="s">
        <v>13121</v>
      </c>
      <c r="C2034" s="372" t="s">
        <v>13122</v>
      </c>
      <c r="D2034" s="374">
        <v>1358110139949</v>
      </c>
      <c r="E2034" s="372" t="s">
        <v>13123</v>
      </c>
      <c r="F2034" s="375" t="s">
        <v>1113</v>
      </c>
      <c r="G2034" s="375" t="s">
        <v>1333</v>
      </c>
      <c r="H2034" s="375" t="s">
        <v>1334</v>
      </c>
      <c r="I2034" s="375" t="s">
        <v>859</v>
      </c>
      <c r="J2034" s="375">
        <v>26146.806260000001</v>
      </c>
      <c r="K2034" s="375">
        <v>-3048.77036</v>
      </c>
      <c r="L2034" s="375">
        <v>-3081.4922099999999</v>
      </c>
      <c r="M2034" s="375">
        <v>27909.266060000002</v>
      </c>
      <c r="N2034" s="372" t="s">
        <v>1023</v>
      </c>
      <c r="O2034" s="704">
        <v>22.578800150514709</v>
      </c>
      <c r="P2034" s="375" t="s">
        <v>619</v>
      </c>
      <c r="Q2034" s="372" t="s">
        <v>619</v>
      </c>
      <c r="R2034" s="696">
        <v>20230302</v>
      </c>
      <c r="S2034" s="372" t="s">
        <v>13124</v>
      </c>
      <c r="T2034" s="697" t="s">
        <v>768</v>
      </c>
      <c r="U2034" s="372" t="s">
        <v>13125</v>
      </c>
      <c r="V2034" s="722">
        <v>0</v>
      </c>
      <c r="W2034" s="722">
        <v>0</v>
      </c>
      <c r="X2034" s="722">
        <v>0</v>
      </c>
      <c r="Y2034" s="722">
        <v>0</v>
      </c>
      <c r="Z2034" s="382" t="s">
        <v>924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13126</v>
      </c>
      <c r="B2035" s="373" t="s">
        <v>13127</v>
      </c>
      <c r="C2035" s="372" t="s">
        <v>13128</v>
      </c>
      <c r="D2035" s="374">
        <v>1301110007989</v>
      </c>
      <c r="E2035" s="372" t="s">
        <v>13129</v>
      </c>
      <c r="F2035" s="375" t="s">
        <v>1753</v>
      </c>
      <c r="G2035" s="375" t="s">
        <v>6496</v>
      </c>
      <c r="H2035" s="375" t="s">
        <v>750</v>
      </c>
      <c r="I2035" s="375" t="s">
        <v>751</v>
      </c>
      <c r="J2035" s="375">
        <v>25477.707460000001</v>
      </c>
      <c r="K2035" s="375">
        <v>-4562.7640099999999</v>
      </c>
      <c r="L2035" s="375">
        <v>863.20429000000001</v>
      </c>
      <c r="M2035" s="375">
        <v>31809.65093</v>
      </c>
      <c r="N2035" s="372" t="s">
        <v>1023</v>
      </c>
      <c r="O2035" s="704">
        <v>80.629057794482208</v>
      </c>
      <c r="P2035" s="375" t="s">
        <v>16112</v>
      </c>
      <c r="Q2035" s="375" t="s">
        <v>619</v>
      </c>
      <c r="R2035" s="696">
        <v>19891130</v>
      </c>
      <c r="S2035" s="375" t="s">
        <v>13130</v>
      </c>
      <c r="T2035" s="697">
        <v>0.20900000000000002</v>
      </c>
      <c r="U2035" s="372" t="s">
        <v>13131</v>
      </c>
      <c r="V2035" s="722" t="s">
        <v>770</v>
      </c>
      <c r="W2035" s="722">
        <v>1.72</v>
      </c>
      <c r="X2035" s="722">
        <v>2.12</v>
      </c>
      <c r="Y2035" s="722">
        <v>17.22</v>
      </c>
      <c r="Z2035" s="382" t="s">
        <v>924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13132</v>
      </c>
      <c r="B2036" s="373" t="s">
        <v>13133</v>
      </c>
      <c r="C2036" s="372" t="s">
        <v>16045</v>
      </c>
      <c r="D2036" s="374">
        <v>1601110075170</v>
      </c>
      <c r="E2036" s="372" t="s">
        <v>15953</v>
      </c>
      <c r="F2036" s="375" t="s">
        <v>618</v>
      </c>
      <c r="G2036" s="375" t="s">
        <v>618</v>
      </c>
      <c r="H2036" s="375" t="s">
        <v>858</v>
      </c>
      <c r="I2036" s="375" t="s">
        <v>859</v>
      </c>
      <c r="J2036" s="375">
        <v>17253.5236</v>
      </c>
      <c r="K2036" s="375">
        <v>-9797.5247600000002</v>
      </c>
      <c r="L2036" s="375">
        <v>-22795.976129999999</v>
      </c>
      <c r="M2036" s="375">
        <v>62100.551119999996</v>
      </c>
      <c r="N2036" s="372">
        <v>0.23300000000000001</v>
      </c>
      <c r="O2036" s="704">
        <v>35.495369190543649</v>
      </c>
      <c r="P2036" s="375" t="s">
        <v>619</v>
      </c>
      <c r="Q2036" s="372" t="s">
        <v>619</v>
      </c>
      <c r="R2036" s="696">
        <v>20040211</v>
      </c>
      <c r="S2036" s="372" t="s">
        <v>13134</v>
      </c>
      <c r="T2036" s="697" t="s">
        <v>768</v>
      </c>
      <c r="U2036" s="372" t="s">
        <v>13135</v>
      </c>
      <c r="V2036" s="722" t="s">
        <v>770</v>
      </c>
      <c r="W2036" s="722">
        <v>0.91</v>
      </c>
      <c r="X2036" s="722">
        <v>3.23</v>
      </c>
      <c r="Y2036" s="722" t="s">
        <v>770</v>
      </c>
      <c r="Z2036" s="382" t="s">
        <v>924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13136</v>
      </c>
      <c r="B2037" s="373" t="s">
        <v>13137</v>
      </c>
      <c r="C2037" s="372" t="s">
        <v>13138</v>
      </c>
      <c r="D2037" s="374">
        <v>1211110054981</v>
      </c>
      <c r="E2037" s="372" t="s">
        <v>13139</v>
      </c>
      <c r="F2037" s="375" t="s">
        <v>3118</v>
      </c>
      <c r="G2037" s="375" t="s">
        <v>3118</v>
      </c>
      <c r="H2037" s="375" t="s">
        <v>858</v>
      </c>
      <c r="I2037" s="375" t="s">
        <v>859</v>
      </c>
      <c r="J2037" s="375">
        <v>101778.64391</v>
      </c>
      <c r="K2037" s="375">
        <v>3534.4455800000001</v>
      </c>
      <c r="L2037" s="375">
        <v>3414.82258</v>
      </c>
      <c r="M2037" s="375">
        <v>105664.26548</v>
      </c>
      <c r="N2037" s="372">
        <v>0.74399999999999999</v>
      </c>
      <c r="O2037" s="704">
        <v>12.24304106246089</v>
      </c>
      <c r="P2037" s="375" t="s">
        <v>619</v>
      </c>
      <c r="Q2037" s="372" t="s">
        <v>619</v>
      </c>
      <c r="R2037" s="696">
        <v>20070919</v>
      </c>
      <c r="S2037" s="372" t="s">
        <v>13140</v>
      </c>
      <c r="T2037" s="697">
        <v>0.20900000000000002</v>
      </c>
      <c r="U2037" s="372" t="s">
        <v>13141</v>
      </c>
      <c r="V2037" s="722">
        <v>7.2</v>
      </c>
      <c r="W2037" s="722">
        <v>0.46</v>
      </c>
      <c r="X2037" s="722">
        <v>0.49</v>
      </c>
      <c r="Y2037" s="722">
        <v>14.62</v>
      </c>
      <c r="Z2037" s="382" t="s">
        <v>924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13142</v>
      </c>
      <c r="B2038" s="373" t="s">
        <v>13143</v>
      </c>
      <c r="C2038" s="372" t="s">
        <v>13144</v>
      </c>
      <c r="D2038" s="374">
        <v>1101111402851</v>
      </c>
      <c r="E2038" s="372" t="s">
        <v>13145</v>
      </c>
      <c r="F2038" s="375" t="s">
        <v>4263</v>
      </c>
      <c r="G2038" s="375" t="s">
        <v>4264</v>
      </c>
      <c r="H2038" s="375" t="s">
        <v>1334</v>
      </c>
      <c r="I2038" s="375" t="s">
        <v>859</v>
      </c>
      <c r="J2038" s="375">
        <v>25043.670770000001</v>
      </c>
      <c r="K2038" s="375">
        <v>3825.0434599999999</v>
      </c>
      <c r="L2038" s="375">
        <v>3471.2704899999999</v>
      </c>
      <c r="M2038" s="375">
        <v>37290.16792</v>
      </c>
      <c r="N2038" s="372">
        <v>0.78600000000000003</v>
      </c>
      <c r="O2038" s="704">
        <v>21.75067382529642</v>
      </c>
      <c r="P2038" s="375" t="s">
        <v>619</v>
      </c>
      <c r="Q2038" s="372" t="s">
        <v>619</v>
      </c>
      <c r="R2038" s="696">
        <v>20010706</v>
      </c>
      <c r="S2038" s="372" t="s">
        <v>13146</v>
      </c>
      <c r="T2038" s="697">
        <v>0.20900000000000002</v>
      </c>
      <c r="U2038" s="372" t="s">
        <v>13147</v>
      </c>
      <c r="V2038" s="722">
        <v>0</v>
      </c>
      <c r="W2038" s="722">
        <v>0</v>
      </c>
      <c r="X2038" s="722">
        <v>0</v>
      </c>
      <c r="Y2038" s="722">
        <v>0</v>
      </c>
      <c r="Z2038" s="382" t="s">
        <v>924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13148</v>
      </c>
      <c r="B2039" s="373" t="s">
        <v>13149</v>
      </c>
      <c r="C2039" s="372" t="s">
        <v>13150</v>
      </c>
      <c r="D2039" s="374">
        <v>1741110000098</v>
      </c>
      <c r="E2039" s="372" t="s">
        <v>13151</v>
      </c>
      <c r="F2039" s="375" t="s">
        <v>4053</v>
      </c>
      <c r="G2039" s="375" t="s">
        <v>4053</v>
      </c>
      <c r="H2039" s="375" t="s">
        <v>858</v>
      </c>
      <c r="I2039" s="375" t="s">
        <v>859</v>
      </c>
      <c r="J2039" s="375">
        <v>121119.30282</v>
      </c>
      <c r="K2039" s="375">
        <v>9730.9825700000001</v>
      </c>
      <c r="L2039" s="375">
        <v>9415.3984199999995</v>
      </c>
      <c r="M2039" s="375">
        <v>133831.91768000001</v>
      </c>
      <c r="N2039" s="372">
        <v>0.85799999999999998</v>
      </c>
      <c r="O2039" s="704">
        <v>92.735584866665604</v>
      </c>
      <c r="P2039" s="375" t="s">
        <v>619</v>
      </c>
      <c r="Q2039" s="375" t="s">
        <v>619</v>
      </c>
      <c r="R2039" s="696">
        <v>20100126</v>
      </c>
      <c r="S2039" s="375" t="s">
        <v>13152</v>
      </c>
      <c r="T2039" s="697">
        <v>0.20900000000000002</v>
      </c>
      <c r="U2039" s="372" t="s">
        <v>13153</v>
      </c>
      <c r="V2039" s="722">
        <v>0</v>
      </c>
      <c r="W2039" s="722">
        <v>0</v>
      </c>
      <c r="X2039" s="722">
        <v>0</v>
      </c>
      <c r="Y2039" s="722">
        <v>0</v>
      </c>
      <c r="Z2039" s="382" t="s">
        <v>924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13154</v>
      </c>
      <c r="B2040" s="373" t="s">
        <v>13155</v>
      </c>
      <c r="C2040" s="372" t="s">
        <v>13156</v>
      </c>
      <c r="D2040" s="374">
        <v>1601110048870</v>
      </c>
      <c r="E2040" s="372" t="s">
        <v>13157</v>
      </c>
      <c r="F2040" s="375" t="s">
        <v>1740</v>
      </c>
      <c r="G2040" s="375" t="s">
        <v>1740</v>
      </c>
      <c r="H2040" s="375" t="s">
        <v>3096</v>
      </c>
      <c r="I2040" s="375" t="s">
        <v>859</v>
      </c>
      <c r="J2040" s="375">
        <v>7924.4819799999996</v>
      </c>
      <c r="K2040" s="375">
        <v>-2460.8742699999998</v>
      </c>
      <c r="L2040" s="375">
        <v>-3090.3431</v>
      </c>
      <c r="M2040" s="375">
        <v>429060.09937000001</v>
      </c>
      <c r="N2040" s="372">
        <v>0.752</v>
      </c>
      <c r="O2040" s="704">
        <v>8.0960168601076285E-2</v>
      </c>
      <c r="P2040" s="375" t="s">
        <v>619</v>
      </c>
      <c r="Q2040" s="372" t="s">
        <v>619</v>
      </c>
      <c r="R2040" s="696">
        <v>20010731</v>
      </c>
      <c r="S2040" s="372" t="s">
        <v>13158</v>
      </c>
      <c r="T2040" s="697" t="s">
        <v>768</v>
      </c>
      <c r="U2040" s="372" t="s">
        <v>15954</v>
      </c>
      <c r="V2040" s="722">
        <v>25.56</v>
      </c>
      <c r="W2040" s="722">
        <v>0.26</v>
      </c>
      <c r="X2040" s="722">
        <v>6.77</v>
      </c>
      <c r="Y2040" s="722" t="s">
        <v>770</v>
      </c>
      <c r="Z2040" s="382" t="s">
        <v>924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13159</v>
      </c>
      <c r="B2041" s="373" t="s">
        <v>13160</v>
      </c>
      <c r="C2041" s="372" t="s">
        <v>13161</v>
      </c>
      <c r="D2041" s="374">
        <v>1243110006456</v>
      </c>
      <c r="E2041" s="372" t="s">
        <v>13162</v>
      </c>
      <c r="F2041" s="375" t="s">
        <v>995</v>
      </c>
      <c r="G2041" s="375" t="s">
        <v>996</v>
      </c>
      <c r="H2041" s="375" t="s">
        <v>750</v>
      </c>
      <c r="I2041" s="375" t="s">
        <v>751</v>
      </c>
      <c r="J2041" s="375">
        <v>113358.62684</v>
      </c>
      <c r="K2041" s="375">
        <v>-5969.62961</v>
      </c>
      <c r="L2041" s="375">
        <v>-6681.3597499999996</v>
      </c>
      <c r="M2041" s="375">
        <v>24843.74452</v>
      </c>
      <c r="N2041" s="372">
        <v>0.57999999999999996</v>
      </c>
      <c r="O2041" s="704">
        <v>126.47425973880897</v>
      </c>
      <c r="P2041" s="375" t="s">
        <v>619</v>
      </c>
      <c r="Q2041" s="372" t="s">
        <v>619</v>
      </c>
      <c r="R2041" s="696">
        <v>19880118</v>
      </c>
      <c r="S2041" s="372" t="s">
        <v>13163</v>
      </c>
      <c r="T2041" s="697" t="s">
        <v>768</v>
      </c>
      <c r="U2041" s="372" t="s">
        <v>13164</v>
      </c>
      <c r="V2041" s="722" t="s">
        <v>770</v>
      </c>
      <c r="W2041" s="722">
        <v>1.3</v>
      </c>
      <c r="X2041" s="722">
        <v>0.28999999999999998</v>
      </c>
      <c r="Y2041" s="722" t="s">
        <v>770</v>
      </c>
      <c r="Z2041" s="382" t="s">
        <v>924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13165</v>
      </c>
      <c r="B2042" s="373" t="s">
        <v>13166</v>
      </c>
      <c r="C2042" s="372" t="s">
        <v>13167</v>
      </c>
      <c r="D2042" s="374">
        <v>1101110613607</v>
      </c>
      <c r="E2042" s="372" t="s">
        <v>13168</v>
      </c>
      <c r="F2042" s="375" t="s">
        <v>1273</v>
      </c>
      <c r="G2042" s="375" t="s">
        <v>1449</v>
      </c>
      <c r="H2042" s="375" t="s">
        <v>858</v>
      </c>
      <c r="I2042" s="375" t="s">
        <v>859</v>
      </c>
      <c r="J2042" s="375">
        <v>0</v>
      </c>
      <c r="K2042" s="375">
        <v>0</v>
      </c>
      <c r="L2042" s="375">
        <v>0</v>
      </c>
      <c r="M2042" s="375">
        <v>0</v>
      </c>
      <c r="N2042" s="372">
        <v>0.622</v>
      </c>
      <c r="O2042" s="704" t="s">
        <v>16298</v>
      </c>
      <c r="P2042" s="375" t="s">
        <v>619</v>
      </c>
      <c r="Q2042" s="372" t="s">
        <v>619</v>
      </c>
      <c r="R2042" s="696">
        <v>19971013</v>
      </c>
      <c r="S2042" s="372" t="s">
        <v>13169</v>
      </c>
      <c r="T2042" s="697" t="s">
        <v>768</v>
      </c>
      <c r="U2042" s="372" t="s">
        <v>13170</v>
      </c>
      <c r="V2042" s="722">
        <v>0</v>
      </c>
      <c r="W2042" s="722">
        <v>0</v>
      </c>
      <c r="X2042" s="722">
        <v>0</v>
      </c>
      <c r="Y2042" s="722">
        <v>0</v>
      </c>
      <c r="Z2042" s="382" t="s">
        <v>924</v>
      </c>
      <c r="AA2042" s="372">
        <v>269.84852169999999</v>
      </c>
      <c r="AB2042" s="372">
        <v>289.64480450000002</v>
      </c>
      <c r="AC2042" s="372">
        <v>319.5693938</v>
      </c>
      <c r="AD2042" s="372">
        <v>305.84075000000001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13171</v>
      </c>
      <c r="B2043" s="373" t="s">
        <v>13172</v>
      </c>
      <c r="C2043" s="372" t="s">
        <v>13173</v>
      </c>
      <c r="D2043" s="374">
        <v>1101115125649</v>
      </c>
      <c r="E2043" s="372" t="s">
        <v>13174</v>
      </c>
      <c r="F2043" s="375" t="s">
        <v>13175</v>
      </c>
      <c r="G2043" s="375" t="s">
        <v>13175</v>
      </c>
      <c r="H2043" s="375" t="s">
        <v>858</v>
      </c>
      <c r="I2043" s="375" t="s">
        <v>859</v>
      </c>
      <c r="J2043" s="375">
        <v>109446.7941</v>
      </c>
      <c r="K2043" s="375">
        <v>-7261.1772099999998</v>
      </c>
      <c r="L2043" s="375">
        <v>-15158.566870000001</v>
      </c>
      <c r="M2043" s="375">
        <v>40341.800069999998</v>
      </c>
      <c r="N2043" s="372">
        <v>0.72</v>
      </c>
      <c r="O2043" s="704">
        <v>69.152644759248844</v>
      </c>
      <c r="P2043" s="375" t="s">
        <v>619</v>
      </c>
      <c r="Q2043" s="372" t="s">
        <v>619</v>
      </c>
      <c r="R2043" s="696">
        <v>20190711</v>
      </c>
      <c r="S2043" s="372" t="s">
        <v>13176</v>
      </c>
      <c r="T2043" s="697" t="s">
        <v>768</v>
      </c>
      <c r="U2043" s="372" t="s">
        <v>13177</v>
      </c>
      <c r="V2043" s="722">
        <v>8.93</v>
      </c>
      <c r="W2043" s="722">
        <v>0.83</v>
      </c>
      <c r="X2043" s="722">
        <v>0.3</v>
      </c>
      <c r="Y2043" s="722" t="s">
        <v>770</v>
      </c>
      <c r="Z2043" s="382" t="s">
        <v>924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13178</v>
      </c>
      <c r="B2044" s="373" t="s">
        <v>13179</v>
      </c>
      <c r="C2044" s="372" t="s">
        <v>13180</v>
      </c>
      <c r="D2044" s="374">
        <v>1311110041192</v>
      </c>
      <c r="E2044" s="372" t="s">
        <v>13181</v>
      </c>
      <c r="F2044" s="375" t="s">
        <v>2515</v>
      </c>
      <c r="G2044" s="375" t="s">
        <v>2515</v>
      </c>
      <c r="H2044" s="375" t="s">
        <v>814</v>
      </c>
      <c r="I2044" s="375" t="s">
        <v>751</v>
      </c>
      <c r="J2044" s="375">
        <v>47953.829129999998</v>
      </c>
      <c r="K2044" s="375">
        <v>455.29446999999999</v>
      </c>
      <c r="L2044" s="375">
        <v>4359.0084699999998</v>
      </c>
      <c r="M2044" s="375">
        <v>56335.397640000003</v>
      </c>
      <c r="N2044" s="372">
        <v>0.59</v>
      </c>
      <c r="O2044" s="704">
        <v>1.3635149880992654</v>
      </c>
      <c r="P2044" s="375" t="s">
        <v>619</v>
      </c>
      <c r="Q2044" s="372" t="s">
        <v>619</v>
      </c>
      <c r="R2044" s="696">
        <v>20030701</v>
      </c>
      <c r="S2044" s="372" t="s">
        <v>13182</v>
      </c>
      <c r="T2044" s="697">
        <v>0.20900000000000002</v>
      </c>
      <c r="U2044" s="372" t="s">
        <v>13183</v>
      </c>
      <c r="V2044" s="722">
        <v>23.52</v>
      </c>
      <c r="W2044" s="722">
        <v>0.86</v>
      </c>
      <c r="X2044" s="722">
        <v>1.1499999999999999</v>
      </c>
      <c r="Y2044" s="722">
        <v>15.54</v>
      </c>
      <c r="Z2044" s="382" t="s">
        <v>924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13184</v>
      </c>
      <c r="B2045" s="373" t="s">
        <v>13185</v>
      </c>
      <c r="C2045" s="372" t="s">
        <v>13186</v>
      </c>
      <c r="D2045" s="374">
        <v>1201110290289</v>
      </c>
      <c r="E2045" s="372" t="s">
        <v>13187</v>
      </c>
      <c r="F2045" s="372" t="s">
        <v>12688</v>
      </c>
      <c r="G2045" s="375" t="s">
        <v>13188</v>
      </c>
      <c r="H2045" s="375" t="s">
        <v>858</v>
      </c>
      <c r="I2045" s="375" t="s">
        <v>859</v>
      </c>
      <c r="J2045" s="375">
        <v>45859.593970000002</v>
      </c>
      <c r="K2045" s="375">
        <v>4887.2807000000003</v>
      </c>
      <c r="L2045" s="375">
        <v>5594.2870300000004</v>
      </c>
      <c r="M2045" s="375">
        <v>43942.245730000002</v>
      </c>
      <c r="N2045" s="372">
        <v>0.56799999999999995</v>
      </c>
      <c r="O2045" s="704">
        <v>26.74236962959025</v>
      </c>
      <c r="P2045" s="375" t="s">
        <v>619</v>
      </c>
      <c r="Q2045" s="372" t="s">
        <v>619</v>
      </c>
      <c r="R2045" s="696">
        <v>20170928</v>
      </c>
      <c r="S2045" s="372" t="s">
        <v>13189</v>
      </c>
      <c r="T2045" s="697">
        <v>0.20900000000000002</v>
      </c>
      <c r="U2045" s="372" t="s">
        <v>15955</v>
      </c>
      <c r="V2045" s="722">
        <v>9</v>
      </c>
      <c r="W2045" s="722">
        <v>1.1599999999999999</v>
      </c>
      <c r="X2045" s="722">
        <v>1.1100000000000001</v>
      </c>
      <c r="Y2045" s="722">
        <v>7.03</v>
      </c>
      <c r="Z2045" s="382" t="s">
        <v>924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13190</v>
      </c>
      <c r="B2046" s="373" t="s">
        <v>13191</v>
      </c>
      <c r="C2046" s="372" t="s">
        <v>13192</v>
      </c>
      <c r="D2046" s="374">
        <v>1648110026753</v>
      </c>
      <c r="E2046" s="372" t="s">
        <v>13193</v>
      </c>
      <c r="F2046" s="375" t="s">
        <v>1273</v>
      </c>
      <c r="G2046" s="375" t="s">
        <v>1273</v>
      </c>
      <c r="H2046" s="375" t="s">
        <v>858</v>
      </c>
      <c r="I2046" s="375" t="s">
        <v>859</v>
      </c>
      <c r="J2046" s="375">
        <v>4941.4638199999999</v>
      </c>
      <c r="K2046" s="375">
        <v>-6444.7846900000004</v>
      </c>
      <c r="L2046" s="375">
        <v>-6730.1926599999997</v>
      </c>
      <c r="M2046" s="375">
        <v>22546.713820000001</v>
      </c>
      <c r="N2046" s="372">
        <v>0.73399999999999999</v>
      </c>
      <c r="O2046" s="704">
        <v>19.026642987272517</v>
      </c>
      <c r="P2046" s="375" t="s">
        <v>619</v>
      </c>
      <c r="Q2046" s="375" t="s">
        <v>619</v>
      </c>
      <c r="R2046" s="696">
        <v>20210309</v>
      </c>
      <c r="S2046" s="372" t="s">
        <v>13194</v>
      </c>
      <c r="T2046" s="697" t="s">
        <v>768</v>
      </c>
      <c r="U2046" s="372" t="s">
        <v>13195</v>
      </c>
      <c r="V2046" s="722">
        <v>0</v>
      </c>
      <c r="W2046" s="722">
        <v>0</v>
      </c>
      <c r="X2046" s="722">
        <v>0</v>
      </c>
      <c r="Y2046" s="722">
        <v>0</v>
      </c>
      <c r="Z2046" s="382" t="s">
        <v>924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13196</v>
      </c>
      <c r="B2047" s="372" t="s">
        <v>13197</v>
      </c>
      <c r="C2047" s="372" t="s">
        <v>13198</v>
      </c>
      <c r="D2047" s="374">
        <v>1201110658289</v>
      </c>
      <c r="E2047" s="372" t="s">
        <v>13199</v>
      </c>
      <c r="F2047" s="372" t="s">
        <v>1113</v>
      </c>
      <c r="G2047" s="375" t="s">
        <v>1333</v>
      </c>
      <c r="H2047" s="375" t="s">
        <v>1334</v>
      </c>
      <c r="I2047" s="375" t="s">
        <v>859</v>
      </c>
      <c r="J2047" s="375">
        <v>40204.002639999999</v>
      </c>
      <c r="K2047" s="375">
        <v>-10436.621080000001</v>
      </c>
      <c r="L2047" s="375">
        <v>-26406.714660000001</v>
      </c>
      <c r="M2047" s="375">
        <v>35342.394979999997</v>
      </c>
      <c r="N2047" s="372">
        <v>0.59099999999999997</v>
      </c>
      <c r="O2047" s="704">
        <v>160.61876816456865</v>
      </c>
      <c r="P2047" s="375" t="s">
        <v>16112</v>
      </c>
      <c r="Q2047" s="372" t="s">
        <v>16113</v>
      </c>
      <c r="R2047" s="696">
        <v>20180626</v>
      </c>
      <c r="S2047" s="372" t="s">
        <v>13200</v>
      </c>
      <c r="T2047" s="697" t="s">
        <v>768</v>
      </c>
      <c r="U2047" s="372" t="s">
        <v>13201</v>
      </c>
      <c r="V2047" s="722" t="s">
        <v>770</v>
      </c>
      <c r="W2047" s="722">
        <v>1.66</v>
      </c>
      <c r="X2047" s="722">
        <v>1.35</v>
      </c>
      <c r="Y2047" s="722" t="s">
        <v>770</v>
      </c>
      <c r="Z2047" s="382" t="s">
        <v>924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13202</v>
      </c>
      <c r="B2048" s="372" t="s">
        <v>13203</v>
      </c>
      <c r="C2048" s="372" t="s">
        <v>13204</v>
      </c>
      <c r="D2048" s="374">
        <v>1243110001513</v>
      </c>
      <c r="E2048" s="372" t="s">
        <v>13205</v>
      </c>
      <c r="F2048" s="372" t="s">
        <v>1761</v>
      </c>
      <c r="G2048" s="375" t="s">
        <v>13206</v>
      </c>
      <c r="H2048" s="375" t="s">
        <v>858</v>
      </c>
      <c r="I2048" s="375" t="s">
        <v>859</v>
      </c>
      <c r="J2048" s="375">
        <v>161609.40843000001</v>
      </c>
      <c r="K2048" s="375">
        <v>10103.971799999999</v>
      </c>
      <c r="L2048" s="375">
        <v>11301.485699999999</v>
      </c>
      <c r="M2048" s="375">
        <v>115959.54175999999</v>
      </c>
      <c r="N2048" s="372">
        <v>0.70899999999999996</v>
      </c>
      <c r="O2048" s="704">
        <v>2.5736317950603711</v>
      </c>
      <c r="P2048" s="375" t="s">
        <v>619</v>
      </c>
      <c r="Q2048" s="372" t="s">
        <v>619</v>
      </c>
      <c r="R2048" s="696">
        <v>20000808</v>
      </c>
      <c r="S2048" s="372" t="s">
        <v>13207</v>
      </c>
      <c r="T2048" s="697">
        <v>0.20900000000000002</v>
      </c>
      <c r="U2048" s="372" t="s">
        <v>13208</v>
      </c>
      <c r="V2048" s="722">
        <v>3.62</v>
      </c>
      <c r="W2048" s="722">
        <v>0.4</v>
      </c>
      <c r="X2048" s="722">
        <v>0.28000000000000003</v>
      </c>
      <c r="Y2048" s="722">
        <v>4.8899999999999997</v>
      </c>
      <c r="Z2048" s="382" t="s">
        <v>924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13209</v>
      </c>
      <c r="B2049" s="372" t="s">
        <v>13210</v>
      </c>
      <c r="C2049" s="372" t="s">
        <v>13211</v>
      </c>
      <c r="D2049" s="374">
        <v>2201110123463</v>
      </c>
      <c r="E2049" s="372" t="s">
        <v>13212</v>
      </c>
      <c r="F2049" s="372" t="s">
        <v>9092</v>
      </c>
      <c r="G2049" s="375" t="s">
        <v>13213</v>
      </c>
      <c r="H2049" s="375" t="s">
        <v>858</v>
      </c>
      <c r="I2049" s="375" t="s">
        <v>859</v>
      </c>
      <c r="J2049" s="375">
        <v>20491.881440000001</v>
      </c>
      <c r="K2049" s="375">
        <v>-4811.8170200000004</v>
      </c>
      <c r="L2049" s="375">
        <v>-6277.5813099999996</v>
      </c>
      <c r="M2049" s="375">
        <v>15612.94931</v>
      </c>
      <c r="N2049" s="372">
        <v>1.0840000000000001</v>
      </c>
      <c r="O2049" s="704">
        <v>44.5293634397365</v>
      </c>
      <c r="P2049" s="375" t="s">
        <v>619</v>
      </c>
      <c r="Q2049" s="375" t="s">
        <v>619</v>
      </c>
      <c r="R2049" s="696">
        <v>20210526</v>
      </c>
      <c r="S2049" s="375" t="s">
        <v>13214</v>
      </c>
      <c r="T2049" s="697" t="s">
        <v>768</v>
      </c>
      <c r="U2049" s="372" t="s">
        <v>13215</v>
      </c>
      <c r="V2049" s="722" t="s">
        <v>770</v>
      </c>
      <c r="W2049" s="722">
        <v>2.25</v>
      </c>
      <c r="X2049" s="722">
        <v>1.7</v>
      </c>
      <c r="Y2049" s="722" t="s">
        <v>770</v>
      </c>
      <c r="Z2049" s="382" t="s">
        <v>924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13216</v>
      </c>
      <c r="B2050" s="372" t="s">
        <v>13217</v>
      </c>
      <c r="C2050" s="372" t="s">
        <v>13218</v>
      </c>
      <c r="D2050" s="374">
        <v>1101110123408</v>
      </c>
      <c r="E2050" s="372" t="s">
        <v>13219</v>
      </c>
      <c r="F2050" s="372" t="s">
        <v>5616</v>
      </c>
      <c r="G2050" s="375" t="s">
        <v>5616</v>
      </c>
      <c r="H2050" s="375" t="s">
        <v>858</v>
      </c>
      <c r="I2050" s="375" t="s">
        <v>859</v>
      </c>
      <c r="J2050" s="375">
        <v>168687.20089000001</v>
      </c>
      <c r="K2050" s="375">
        <v>6937.6694699999998</v>
      </c>
      <c r="L2050" s="375">
        <v>4354.9890500000001</v>
      </c>
      <c r="M2050" s="375">
        <v>47170.586470000002</v>
      </c>
      <c r="N2050" s="372">
        <v>0.67</v>
      </c>
      <c r="O2050" s="704">
        <v>124.47299653527433</v>
      </c>
      <c r="P2050" s="375" t="s">
        <v>619</v>
      </c>
      <c r="Q2050" s="372" t="s">
        <v>619</v>
      </c>
      <c r="R2050" s="696">
        <v>19940729</v>
      </c>
      <c r="S2050" s="372" t="s">
        <v>13220</v>
      </c>
      <c r="T2050" s="697">
        <v>0.20900000000000002</v>
      </c>
      <c r="U2050" s="372" t="s">
        <v>13221</v>
      </c>
      <c r="V2050" s="722">
        <v>7.62</v>
      </c>
      <c r="W2050" s="722">
        <v>1.07</v>
      </c>
      <c r="X2050" s="722">
        <v>0.3</v>
      </c>
      <c r="Y2050" s="722">
        <v>15.13</v>
      </c>
      <c r="Z2050" s="382" t="s">
        <v>924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13222</v>
      </c>
      <c r="B2051" s="372" t="s">
        <v>13223</v>
      </c>
      <c r="C2051" s="372" t="s">
        <v>13224</v>
      </c>
      <c r="D2051" s="374">
        <v>1101110276116</v>
      </c>
      <c r="E2051" s="372" t="s">
        <v>13225</v>
      </c>
      <c r="F2051" s="372" t="s">
        <v>2744</v>
      </c>
      <c r="G2051" s="375" t="s">
        <v>2745</v>
      </c>
      <c r="H2051" s="375" t="s">
        <v>858</v>
      </c>
      <c r="I2051" s="375" t="s">
        <v>859</v>
      </c>
      <c r="J2051" s="375">
        <v>399255.89523999998</v>
      </c>
      <c r="K2051" s="375">
        <v>7.1923000000000004</v>
      </c>
      <c r="L2051" s="375">
        <v>-2087.22406</v>
      </c>
      <c r="M2051" s="375">
        <v>149047.67601</v>
      </c>
      <c r="N2051" s="372">
        <v>0.72799999999999998</v>
      </c>
      <c r="O2051" s="704">
        <v>120.45225357321789</v>
      </c>
      <c r="P2051" s="563" t="s">
        <v>619</v>
      </c>
      <c r="Q2051" s="372" t="s">
        <v>619</v>
      </c>
      <c r="R2051" s="696">
        <v>20141205</v>
      </c>
      <c r="S2051" s="372" t="s">
        <v>13226</v>
      </c>
      <c r="T2051" s="697" t="s">
        <v>768</v>
      </c>
      <c r="U2051" s="372" t="s">
        <v>13227</v>
      </c>
      <c r="V2051" s="722">
        <v>38.9</v>
      </c>
      <c r="W2051" s="722">
        <v>0.32</v>
      </c>
      <c r="X2051" s="722">
        <v>0.12</v>
      </c>
      <c r="Y2051" s="722" t="s">
        <v>770</v>
      </c>
      <c r="Z2051" s="382" t="s">
        <v>924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13228</v>
      </c>
      <c r="B2052" s="372" t="s">
        <v>13229</v>
      </c>
      <c r="C2052" s="372" t="s">
        <v>13230</v>
      </c>
      <c r="D2052" s="374">
        <v>1101111892010</v>
      </c>
      <c r="E2052" s="372" t="s">
        <v>13231</v>
      </c>
      <c r="F2052" s="372" t="s">
        <v>1066</v>
      </c>
      <c r="G2052" s="375" t="s">
        <v>2328</v>
      </c>
      <c r="H2052" s="375" t="s">
        <v>3096</v>
      </c>
      <c r="I2052" s="375" t="s">
        <v>859</v>
      </c>
      <c r="J2052" s="375">
        <v>86712.164600000004</v>
      </c>
      <c r="K2052" s="375">
        <v>16587.954280000002</v>
      </c>
      <c r="L2052" s="375">
        <v>17505.998950000001</v>
      </c>
      <c r="M2052" s="375">
        <v>150761.8162</v>
      </c>
      <c r="N2052" s="372">
        <v>0.57899999999999996</v>
      </c>
      <c r="O2052" s="704">
        <v>36.030190132244208</v>
      </c>
      <c r="P2052" s="563" t="s">
        <v>619</v>
      </c>
      <c r="Q2052" s="372" t="s">
        <v>619</v>
      </c>
      <c r="R2052" s="696">
        <v>20050930</v>
      </c>
      <c r="S2052" s="372" t="s">
        <v>13232</v>
      </c>
      <c r="T2052" s="697">
        <v>0.20900000000000002</v>
      </c>
      <c r="U2052" s="372" t="s">
        <v>13233</v>
      </c>
      <c r="V2052" s="722">
        <v>3.88</v>
      </c>
      <c r="W2052" s="722">
        <v>0.4</v>
      </c>
      <c r="X2052" s="722">
        <v>0.6</v>
      </c>
      <c r="Y2052" s="722">
        <v>5.99</v>
      </c>
      <c r="Z2052" s="382" t="s">
        <v>924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13234</v>
      </c>
      <c r="B2053" s="372" t="s">
        <v>13235</v>
      </c>
      <c r="C2053" s="372" t="s">
        <v>13236</v>
      </c>
      <c r="D2053" s="374">
        <v>0</v>
      </c>
      <c r="E2053" s="372" t="s">
        <v>13237</v>
      </c>
      <c r="F2053" s="372" t="s">
        <v>2100</v>
      </c>
      <c r="G2053" s="375" t="s">
        <v>2100</v>
      </c>
      <c r="H2053" s="375">
        <v>0</v>
      </c>
      <c r="I2053" s="375" t="s">
        <v>859</v>
      </c>
      <c r="J2053" s="375">
        <v>47784.01</v>
      </c>
      <c r="K2053" s="375">
        <v>-1458.3030000000001</v>
      </c>
      <c r="L2053" s="375">
        <v>-3123.3809999999999</v>
      </c>
      <c r="M2053" s="375">
        <v>259483.144</v>
      </c>
      <c r="N2053" s="372">
        <v>0.64</v>
      </c>
      <c r="O2053" s="704">
        <v>80.487206468173781</v>
      </c>
      <c r="P2053" s="563" t="s">
        <v>619</v>
      </c>
      <c r="Q2053" s="372" t="s">
        <v>619</v>
      </c>
      <c r="R2053" s="696">
        <v>20170810</v>
      </c>
      <c r="S2053" s="372" t="s">
        <v>13238</v>
      </c>
      <c r="T2053" s="697" t="s">
        <v>768</v>
      </c>
      <c r="U2053" s="372" t="s">
        <v>13239</v>
      </c>
      <c r="V2053" s="722">
        <v>14.06</v>
      </c>
      <c r="W2053" s="722">
        <v>0.2</v>
      </c>
      <c r="X2053" s="722">
        <v>1.0900000000000001</v>
      </c>
      <c r="Y2053" s="722" t="s">
        <v>770</v>
      </c>
      <c r="Z2053" s="382" t="s">
        <v>924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13240</v>
      </c>
      <c r="B2054" s="372" t="s">
        <v>13241</v>
      </c>
      <c r="C2054" s="372" t="s">
        <v>13242</v>
      </c>
      <c r="D2054" s="374">
        <v>1115110000136</v>
      </c>
      <c r="E2054" s="372" t="s">
        <v>13243</v>
      </c>
      <c r="F2054" s="372" t="s">
        <v>1860</v>
      </c>
      <c r="G2054" s="375" t="s">
        <v>1861</v>
      </c>
      <c r="H2054" s="375" t="s">
        <v>789</v>
      </c>
      <c r="I2054" s="375" t="s">
        <v>751</v>
      </c>
      <c r="J2054" s="375">
        <v>564252.81105999998</v>
      </c>
      <c r="K2054" s="375">
        <v>35680.729469999998</v>
      </c>
      <c r="L2054" s="375">
        <v>-62321.935420000002</v>
      </c>
      <c r="M2054" s="375">
        <v>52758.996160000002</v>
      </c>
      <c r="N2054" s="372">
        <v>0.60699999999999998</v>
      </c>
      <c r="O2054" s="704">
        <v>266.4008225111574</v>
      </c>
      <c r="P2054" s="563" t="s">
        <v>619</v>
      </c>
      <c r="Q2054" s="372" t="s">
        <v>619</v>
      </c>
      <c r="R2054" s="696">
        <v>19770218</v>
      </c>
      <c r="S2054" s="372" t="s">
        <v>13244</v>
      </c>
      <c r="T2054" s="697" t="s">
        <v>768</v>
      </c>
      <c r="U2054" s="372" t="s">
        <v>13245</v>
      </c>
      <c r="V2054" s="722">
        <v>3.15</v>
      </c>
      <c r="W2054" s="722">
        <v>0.93</v>
      </c>
      <c r="X2054" s="722">
        <v>0.08</v>
      </c>
      <c r="Y2054" s="722" t="s">
        <v>770</v>
      </c>
      <c r="Z2054" s="382" t="s">
        <v>924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13246</v>
      </c>
      <c r="B2055" s="372" t="s">
        <v>13247</v>
      </c>
      <c r="C2055" s="372" t="s">
        <v>13248</v>
      </c>
      <c r="D2055" s="374">
        <v>1358110122283</v>
      </c>
      <c r="E2055" s="372" t="s">
        <v>13249</v>
      </c>
      <c r="F2055" s="372" t="s">
        <v>1272</v>
      </c>
      <c r="G2055" s="375" t="s">
        <v>1272</v>
      </c>
      <c r="H2055" s="375" t="s">
        <v>858</v>
      </c>
      <c r="I2055" s="375" t="s">
        <v>859</v>
      </c>
      <c r="J2055" s="375">
        <v>132547.52567</v>
      </c>
      <c r="K2055" s="375">
        <v>-3487.4388399999998</v>
      </c>
      <c r="L2055" s="375">
        <v>-24447.474579999998</v>
      </c>
      <c r="M2055" s="375">
        <v>19600.477269999999</v>
      </c>
      <c r="N2055" s="372">
        <v>0.46</v>
      </c>
      <c r="O2055" s="704">
        <v>57.75877856265538</v>
      </c>
      <c r="P2055" s="563" t="s">
        <v>619</v>
      </c>
      <c r="Q2055" s="372" t="s">
        <v>619</v>
      </c>
      <c r="R2055" s="696">
        <v>20080723</v>
      </c>
      <c r="S2055" s="372" t="s">
        <v>13250</v>
      </c>
      <c r="T2055" s="697" t="s">
        <v>768</v>
      </c>
      <c r="U2055" s="372" t="s">
        <v>13251</v>
      </c>
      <c r="V2055" s="722">
        <v>16.52</v>
      </c>
      <c r="W2055" s="722">
        <v>1.77</v>
      </c>
      <c r="X2055" s="722">
        <v>0.3</v>
      </c>
      <c r="Y2055" s="722" t="s">
        <v>770</v>
      </c>
      <c r="Z2055" s="382">
        <v>0.15104298155850615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1389</v>
      </c>
      <c r="AF2055" s="372">
        <v>1943</v>
      </c>
      <c r="AG2055" s="372">
        <v>2182</v>
      </c>
      <c r="AH2055" s="372">
        <v>0</v>
      </c>
    </row>
    <row r="2056" spans="1:34">
      <c r="A2056" s="372" t="s">
        <v>13252</v>
      </c>
      <c r="B2056" s="372" t="s">
        <v>13253</v>
      </c>
      <c r="C2056" s="372" t="s">
        <v>13254</v>
      </c>
      <c r="D2056" s="374">
        <v>1351110045025</v>
      </c>
      <c r="E2056" s="372" t="s">
        <v>13255</v>
      </c>
      <c r="F2056" s="372" t="s">
        <v>618</v>
      </c>
      <c r="G2056" s="375" t="s">
        <v>618</v>
      </c>
      <c r="H2056" s="375" t="s">
        <v>858</v>
      </c>
      <c r="I2056" s="375" t="s">
        <v>4410</v>
      </c>
      <c r="J2056" s="375">
        <v>0</v>
      </c>
      <c r="K2056" s="375">
        <v>0</v>
      </c>
      <c r="L2056" s="375">
        <v>0</v>
      </c>
      <c r="M2056" s="375">
        <v>0</v>
      </c>
      <c r="N2056" s="372">
        <v>1.0189999999999999</v>
      </c>
      <c r="O2056" s="704" t="s">
        <v>16298</v>
      </c>
      <c r="P2056" s="563" t="s">
        <v>619</v>
      </c>
      <c r="Q2056" s="372" t="s">
        <v>619</v>
      </c>
      <c r="R2056" s="696">
        <v>20010821</v>
      </c>
      <c r="S2056" s="372" t="e">
        <v>#N/A</v>
      </c>
      <c r="T2056" s="697" t="s">
        <v>768</v>
      </c>
      <c r="U2056" s="372" t="s">
        <v>13256</v>
      </c>
      <c r="V2056" s="722">
        <v>0</v>
      </c>
      <c r="W2056" s="722">
        <v>0</v>
      </c>
      <c r="X2056" s="722">
        <v>0</v>
      </c>
      <c r="Y2056" s="722">
        <v>0</v>
      </c>
      <c r="Z2056" s="382" t="s">
        <v>924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13257</v>
      </c>
      <c r="B2057" s="372" t="s">
        <v>13258</v>
      </c>
      <c r="C2057" s="372" t="s">
        <v>13259</v>
      </c>
      <c r="D2057" s="374">
        <v>1101112317653</v>
      </c>
      <c r="E2057" s="372" t="s">
        <v>13260</v>
      </c>
      <c r="F2057" s="372" t="s">
        <v>2121</v>
      </c>
      <c r="G2057" s="375" t="s">
        <v>4228</v>
      </c>
      <c r="H2057" s="375" t="s">
        <v>858</v>
      </c>
      <c r="I2057" s="375" t="s">
        <v>859</v>
      </c>
      <c r="J2057" s="375">
        <v>19625.96933</v>
      </c>
      <c r="K2057" s="375">
        <v>-199.73839000000001</v>
      </c>
      <c r="L2057" s="375">
        <v>155.66364999999999</v>
      </c>
      <c r="M2057" s="375">
        <v>18763.852050000001</v>
      </c>
      <c r="N2057" s="372">
        <v>0.77400000000000002</v>
      </c>
      <c r="O2057" s="704">
        <v>0.650975593225396</v>
      </c>
      <c r="P2057" s="563" t="s">
        <v>619</v>
      </c>
      <c r="Q2057" s="372" t="s">
        <v>619</v>
      </c>
      <c r="R2057" s="696">
        <v>20221018</v>
      </c>
      <c r="S2057" s="372" t="s">
        <v>13261</v>
      </c>
      <c r="T2057" s="697">
        <v>9.9000000000000005E-2</v>
      </c>
      <c r="U2057" s="372" t="s">
        <v>13262</v>
      </c>
      <c r="V2057" s="722">
        <v>0</v>
      </c>
      <c r="W2057" s="722">
        <v>0</v>
      </c>
      <c r="X2057" s="722">
        <v>0</v>
      </c>
      <c r="Y2057" s="722">
        <v>0</v>
      </c>
      <c r="Z2057" s="382" t="s">
        <v>924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13263</v>
      </c>
      <c r="B2058" s="372" t="s">
        <v>13264</v>
      </c>
      <c r="C2058" s="372" t="s">
        <v>13265</v>
      </c>
      <c r="D2058" s="374">
        <v>1243110003006</v>
      </c>
      <c r="E2058" s="372" t="s">
        <v>13266</v>
      </c>
      <c r="F2058" s="372" t="s">
        <v>877</v>
      </c>
      <c r="G2058" s="375" t="s">
        <v>877</v>
      </c>
      <c r="H2058" s="375" t="s">
        <v>858</v>
      </c>
      <c r="I2058" s="375" t="s">
        <v>859</v>
      </c>
      <c r="J2058" s="375">
        <v>76950.71875</v>
      </c>
      <c r="K2058" s="375">
        <v>-9085.8836100000008</v>
      </c>
      <c r="L2058" s="375">
        <v>-10988.03753</v>
      </c>
      <c r="M2058" s="375">
        <v>27092.57951</v>
      </c>
      <c r="N2058" s="372">
        <v>0.73799999999999999</v>
      </c>
      <c r="O2058" s="704">
        <v>104.55724931202998</v>
      </c>
      <c r="P2058" s="563" t="s">
        <v>619</v>
      </c>
      <c r="Q2058" s="372" t="s">
        <v>619</v>
      </c>
      <c r="R2058" s="696">
        <v>19970212</v>
      </c>
      <c r="S2058" s="372" t="s">
        <v>13267</v>
      </c>
      <c r="T2058" s="697" t="s">
        <v>768</v>
      </c>
      <c r="U2058" s="372" t="s">
        <v>13268</v>
      </c>
      <c r="V2058" s="722" t="s">
        <v>770</v>
      </c>
      <c r="W2058" s="722">
        <v>1.06</v>
      </c>
      <c r="X2058" s="722">
        <v>0.37</v>
      </c>
      <c r="Y2058" s="722" t="s">
        <v>770</v>
      </c>
      <c r="Z2058" s="382" t="s">
        <v>924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13269</v>
      </c>
      <c r="B2059" s="372" t="s">
        <v>13270</v>
      </c>
      <c r="C2059" s="372" t="s">
        <v>13271</v>
      </c>
      <c r="D2059" s="374">
        <v>1101110717441</v>
      </c>
      <c r="E2059" s="372" t="s">
        <v>13272</v>
      </c>
      <c r="F2059" s="372" t="s">
        <v>1653</v>
      </c>
      <c r="G2059" s="375" t="s">
        <v>1653</v>
      </c>
      <c r="H2059" s="375" t="s">
        <v>858</v>
      </c>
      <c r="I2059" s="375" t="s">
        <v>859</v>
      </c>
      <c r="J2059" s="375">
        <v>44873.044309999997</v>
      </c>
      <c r="K2059" s="375">
        <v>-1711.5644199999999</v>
      </c>
      <c r="L2059" s="375">
        <v>-2548.7542600000002</v>
      </c>
      <c r="M2059" s="375">
        <v>47767.791389999999</v>
      </c>
      <c r="N2059" s="372">
        <v>0.93899999999999995</v>
      </c>
      <c r="O2059" s="704">
        <v>8.6278661988050676</v>
      </c>
      <c r="P2059" s="563" t="s">
        <v>619</v>
      </c>
      <c r="Q2059" s="372" t="s">
        <v>619</v>
      </c>
      <c r="R2059" s="696">
        <v>19970422</v>
      </c>
      <c r="S2059" s="372" t="s">
        <v>13273</v>
      </c>
      <c r="T2059" s="697" t="s">
        <v>768</v>
      </c>
      <c r="U2059" s="372" t="s">
        <v>13274</v>
      </c>
      <c r="V2059" s="722">
        <v>0</v>
      </c>
      <c r="W2059" s="722">
        <v>0</v>
      </c>
      <c r="X2059" s="722">
        <v>0</v>
      </c>
      <c r="Y2059" s="722">
        <v>0</v>
      </c>
      <c r="Z2059" s="382" t="s">
        <v>924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13275</v>
      </c>
      <c r="B2060" s="372" t="s">
        <v>13276</v>
      </c>
      <c r="C2060" s="372" t="s">
        <v>13277</v>
      </c>
      <c r="D2060" s="374">
        <v>1943110005149</v>
      </c>
      <c r="E2060" s="372" t="s">
        <v>13278</v>
      </c>
      <c r="F2060" s="372" t="s">
        <v>1573</v>
      </c>
      <c r="G2060" s="375" t="s">
        <v>1574</v>
      </c>
      <c r="H2060" s="375" t="s">
        <v>858</v>
      </c>
      <c r="I2060" s="375" t="s">
        <v>859</v>
      </c>
      <c r="J2060" s="375">
        <v>114056.07637</v>
      </c>
      <c r="K2060" s="375">
        <v>7952.9987000000001</v>
      </c>
      <c r="L2060" s="375">
        <v>7000.6139199999998</v>
      </c>
      <c r="M2060" s="375">
        <v>72428.929600000003</v>
      </c>
      <c r="N2060" s="372">
        <v>0.73199999999999998</v>
      </c>
      <c r="O2060" s="704">
        <v>40.953695201116183</v>
      </c>
      <c r="P2060" s="563" t="s">
        <v>619</v>
      </c>
      <c r="Q2060" s="372" t="s">
        <v>619</v>
      </c>
      <c r="R2060" s="696">
        <v>20011113</v>
      </c>
      <c r="S2060" s="372" t="s">
        <v>13279</v>
      </c>
      <c r="T2060" s="697">
        <v>0.20900000000000002</v>
      </c>
      <c r="U2060" s="372" t="s">
        <v>13280</v>
      </c>
      <c r="V2060" s="722">
        <v>5.94</v>
      </c>
      <c r="W2060" s="722">
        <v>0.71</v>
      </c>
      <c r="X2060" s="722">
        <v>0.47</v>
      </c>
      <c r="Y2060" s="722">
        <v>8.19</v>
      </c>
      <c r="Z2060" s="382" t="s">
        <v>924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13281</v>
      </c>
      <c r="B2061" s="372" t="s">
        <v>13282</v>
      </c>
      <c r="C2061" s="372" t="s">
        <v>13283</v>
      </c>
      <c r="D2061" s="374">
        <v>1701110029802</v>
      </c>
      <c r="E2061" s="372" t="s">
        <v>13284</v>
      </c>
      <c r="F2061" s="372" t="s">
        <v>2989</v>
      </c>
      <c r="G2061" s="375" t="s">
        <v>2989</v>
      </c>
      <c r="H2061" s="375" t="s">
        <v>858</v>
      </c>
      <c r="I2061" s="375" t="s">
        <v>859</v>
      </c>
      <c r="J2061" s="375">
        <v>765155.19689999998</v>
      </c>
      <c r="K2061" s="375">
        <v>32725.876489999999</v>
      </c>
      <c r="L2061" s="375">
        <v>41049.195639999998</v>
      </c>
      <c r="M2061" s="375">
        <v>144927.78323</v>
      </c>
      <c r="N2061" s="372">
        <v>0.78700000000000003</v>
      </c>
      <c r="O2061" s="704">
        <v>424.76546178006095</v>
      </c>
      <c r="P2061" s="563" t="s">
        <v>619</v>
      </c>
      <c r="Q2061" s="372" t="s">
        <v>619</v>
      </c>
      <c r="R2061" s="696">
        <v>19921027</v>
      </c>
      <c r="S2061" s="372" t="s">
        <v>13285</v>
      </c>
      <c r="T2061" s="697">
        <v>0.23100000000000001</v>
      </c>
      <c r="U2061" s="372" t="s">
        <v>13286</v>
      </c>
      <c r="V2061" s="722">
        <v>2.3199999999999998</v>
      </c>
      <c r="W2061" s="722">
        <v>0.41</v>
      </c>
      <c r="X2061" s="722">
        <v>0.08</v>
      </c>
      <c r="Y2061" s="722">
        <v>1.59</v>
      </c>
      <c r="Z2061" s="382" t="s">
        <v>924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13287</v>
      </c>
      <c r="B2062" s="372" t="s">
        <v>13288</v>
      </c>
      <c r="C2062" s="372" t="s">
        <v>13289</v>
      </c>
      <c r="D2062" s="374">
        <v>1301110008862</v>
      </c>
      <c r="E2062" s="372" t="s">
        <v>13290</v>
      </c>
      <c r="F2062" s="372" t="s">
        <v>12089</v>
      </c>
      <c r="G2062" s="375" t="s">
        <v>12089</v>
      </c>
      <c r="H2062" s="375" t="s">
        <v>843</v>
      </c>
      <c r="I2062" s="375" t="s">
        <v>751</v>
      </c>
      <c r="J2062" s="375">
        <v>208908.82584</v>
      </c>
      <c r="K2062" s="375">
        <v>13984.07778</v>
      </c>
      <c r="L2062" s="375">
        <v>18114.938569999998</v>
      </c>
      <c r="M2062" s="375">
        <v>289458.69011999998</v>
      </c>
      <c r="N2062" s="372">
        <v>0.73299999999999998</v>
      </c>
      <c r="O2062" s="704">
        <v>50.956329855554486</v>
      </c>
      <c r="P2062" s="563" t="s">
        <v>619</v>
      </c>
      <c r="Q2062" s="372" t="s">
        <v>619</v>
      </c>
      <c r="R2062" s="696">
        <v>19970212</v>
      </c>
      <c r="S2062" s="372" t="s">
        <v>13291</v>
      </c>
      <c r="T2062" s="697">
        <v>0.20900000000000002</v>
      </c>
      <c r="U2062" s="372" t="s">
        <v>13292</v>
      </c>
      <c r="V2062" s="722">
        <v>8.11</v>
      </c>
      <c r="W2062" s="722">
        <v>0.32</v>
      </c>
      <c r="X2062" s="722">
        <v>0.26</v>
      </c>
      <c r="Y2062" s="722">
        <v>8.23</v>
      </c>
      <c r="Z2062" s="382" t="s">
        <v>924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13293</v>
      </c>
      <c r="B2063" s="372" t="s">
        <v>13294</v>
      </c>
      <c r="C2063" s="372" t="s">
        <v>13295</v>
      </c>
      <c r="D2063" s="374">
        <v>1101111136145</v>
      </c>
      <c r="E2063" s="372" t="s">
        <v>13296</v>
      </c>
      <c r="F2063" s="372" t="s">
        <v>13297</v>
      </c>
      <c r="G2063" s="375" t="s">
        <v>13298</v>
      </c>
      <c r="H2063" s="375" t="s">
        <v>3096</v>
      </c>
      <c r="I2063" s="375" t="s">
        <v>859</v>
      </c>
      <c r="J2063" s="375">
        <v>98727.228359999994</v>
      </c>
      <c r="K2063" s="375">
        <v>3375.66993</v>
      </c>
      <c r="L2063" s="375">
        <v>3386.8521500000002</v>
      </c>
      <c r="M2063" s="375">
        <v>86338.243960000007</v>
      </c>
      <c r="N2063" s="372">
        <v>0.78500000000000003</v>
      </c>
      <c r="O2063" s="704">
        <v>24.373845712642936</v>
      </c>
      <c r="P2063" s="563" t="s">
        <v>619</v>
      </c>
      <c r="Q2063" s="372" t="s">
        <v>619</v>
      </c>
      <c r="R2063" s="696">
        <v>20000502</v>
      </c>
      <c r="S2063" s="372" t="s">
        <v>13299</v>
      </c>
      <c r="T2063" s="697">
        <v>0.20900000000000002</v>
      </c>
      <c r="U2063" s="372" t="s">
        <v>13300</v>
      </c>
      <c r="V2063" s="722">
        <v>6.21</v>
      </c>
      <c r="W2063" s="722">
        <v>0.49</v>
      </c>
      <c r="X2063" s="722">
        <v>0.42</v>
      </c>
      <c r="Y2063" s="722">
        <v>25.03</v>
      </c>
      <c r="Z2063" s="382" t="s">
        <v>924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13301</v>
      </c>
      <c r="B2064" s="372" t="s">
        <v>13302</v>
      </c>
      <c r="C2064" s="372" t="s">
        <v>13303</v>
      </c>
      <c r="D2064" s="374">
        <v>1717110093010</v>
      </c>
      <c r="E2064" s="372" t="s">
        <v>13304</v>
      </c>
      <c r="F2064" s="372" t="s">
        <v>3669</v>
      </c>
      <c r="G2064" s="375" t="s">
        <v>3669</v>
      </c>
      <c r="H2064" s="375" t="s">
        <v>1334</v>
      </c>
      <c r="I2064" s="375" t="s">
        <v>859</v>
      </c>
      <c r="J2064" s="375">
        <v>286.35534999999999</v>
      </c>
      <c r="K2064" s="375">
        <v>-6459.8832899999998</v>
      </c>
      <c r="L2064" s="375">
        <v>-9415.6595199999992</v>
      </c>
      <c r="M2064" s="375">
        <v>11118.160540000001</v>
      </c>
      <c r="N2064" s="372">
        <v>0.65500000000000003</v>
      </c>
      <c r="O2064" s="704">
        <v>27.23162074688894</v>
      </c>
      <c r="P2064" s="563" t="s">
        <v>619</v>
      </c>
      <c r="Q2064" s="372" t="s">
        <v>619</v>
      </c>
      <c r="R2064" s="696">
        <v>20200916</v>
      </c>
      <c r="S2064" s="372" t="s">
        <v>13305</v>
      </c>
      <c r="T2064" s="697" t="s">
        <v>768</v>
      </c>
      <c r="U2064" s="372" t="s">
        <v>13306</v>
      </c>
      <c r="V2064" s="722">
        <v>0</v>
      </c>
      <c r="W2064" s="722">
        <v>0</v>
      </c>
      <c r="X2064" s="722">
        <v>0</v>
      </c>
      <c r="Y2064" s="722">
        <v>0</v>
      </c>
      <c r="Z2064" s="382" t="s">
        <v>924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13307</v>
      </c>
      <c r="B2065" s="372" t="s">
        <v>13308</v>
      </c>
      <c r="C2065" s="372" t="s">
        <v>13309</v>
      </c>
      <c r="D2065" s="374">
        <v>1101110808357</v>
      </c>
      <c r="E2065" s="372" t="s">
        <v>13310</v>
      </c>
      <c r="F2065" s="372" t="s">
        <v>10127</v>
      </c>
      <c r="G2065" s="375" t="s">
        <v>10128</v>
      </c>
      <c r="H2065" s="375" t="s">
        <v>858</v>
      </c>
      <c r="I2065" s="375" t="s">
        <v>859</v>
      </c>
      <c r="J2065" s="375">
        <v>28013.514640000001</v>
      </c>
      <c r="K2065" s="375">
        <v>-5174.4753000000001</v>
      </c>
      <c r="L2065" s="375">
        <v>-149.07478</v>
      </c>
      <c r="M2065" s="375">
        <v>158702.28701999999</v>
      </c>
      <c r="N2065" s="372">
        <v>0.61599999999999999</v>
      </c>
      <c r="O2065" s="704">
        <v>41.004597296216986</v>
      </c>
      <c r="P2065" s="563" t="s">
        <v>619</v>
      </c>
      <c r="Q2065" s="372" t="s">
        <v>619</v>
      </c>
      <c r="R2065" s="696">
        <v>20110126</v>
      </c>
      <c r="S2065" s="372" t="s">
        <v>13311</v>
      </c>
      <c r="T2065" s="697" t="s">
        <v>768</v>
      </c>
      <c r="U2065" s="372" t="s">
        <v>13312</v>
      </c>
      <c r="V2065" s="722" t="s">
        <v>770</v>
      </c>
      <c r="W2065" s="722">
        <v>0.39</v>
      </c>
      <c r="X2065" s="722">
        <v>2.19</v>
      </c>
      <c r="Y2065" s="722" t="s">
        <v>770</v>
      </c>
      <c r="Z2065" s="382" t="s">
        <v>924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13313</v>
      </c>
      <c r="B2066" s="372" t="s">
        <v>13314</v>
      </c>
      <c r="C2066" s="372" t="s">
        <v>13315</v>
      </c>
      <c r="D2066" s="374">
        <v>1601110088660</v>
      </c>
      <c r="E2066" s="372" t="s">
        <v>13316</v>
      </c>
      <c r="F2066" s="372" t="s">
        <v>766</v>
      </c>
      <c r="G2066" s="375" t="s">
        <v>766</v>
      </c>
      <c r="H2066" s="375" t="s">
        <v>858</v>
      </c>
      <c r="I2066" s="375" t="s">
        <v>859</v>
      </c>
      <c r="J2066" s="375">
        <v>24864.69542</v>
      </c>
      <c r="K2066" s="375">
        <v>-11415.8081</v>
      </c>
      <c r="L2066" s="375">
        <v>-29950.014139999999</v>
      </c>
      <c r="M2066" s="375">
        <v>12773.98905</v>
      </c>
      <c r="N2066" s="372">
        <v>1.5760000000000001</v>
      </c>
      <c r="O2066" s="704">
        <v>8.7734185261693707</v>
      </c>
      <c r="P2066" s="563" t="s">
        <v>16112</v>
      </c>
      <c r="Q2066" s="372" t="s">
        <v>16113</v>
      </c>
      <c r="R2066" s="696">
        <v>20071120</v>
      </c>
      <c r="S2066" s="372" t="s">
        <v>16289</v>
      </c>
      <c r="T2066" s="697" t="s">
        <v>768</v>
      </c>
      <c r="U2066" s="372" t="s">
        <v>13317</v>
      </c>
      <c r="V2066" s="722" t="s">
        <v>770</v>
      </c>
      <c r="W2066" s="722">
        <v>4.03</v>
      </c>
      <c r="X2066" s="722">
        <v>2.0699999999999998</v>
      </c>
      <c r="Y2066" s="722" t="s">
        <v>770</v>
      </c>
      <c r="Z2066" s="382" t="s">
        <v>924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13318</v>
      </c>
      <c r="B2067" s="372" t="s">
        <v>13319</v>
      </c>
      <c r="C2067" s="372" t="s">
        <v>13320</v>
      </c>
      <c r="D2067" s="374">
        <v>1101111354961</v>
      </c>
      <c r="E2067" s="372" t="s">
        <v>13321</v>
      </c>
      <c r="F2067" s="372" t="s">
        <v>5597</v>
      </c>
      <c r="G2067" s="375" t="s">
        <v>5597</v>
      </c>
      <c r="H2067" s="375" t="s">
        <v>1528</v>
      </c>
      <c r="I2067" s="375" t="s">
        <v>859</v>
      </c>
      <c r="J2067" s="375">
        <v>12714.44679</v>
      </c>
      <c r="K2067" s="375">
        <v>-1644.9426100000001</v>
      </c>
      <c r="L2067" s="375">
        <v>-11409.37636</v>
      </c>
      <c r="M2067" s="375">
        <v>70663.253549999994</v>
      </c>
      <c r="N2067" s="372">
        <v>0.77500000000000002</v>
      </c>
      <c r="O2067" s="704">
        <v>98.941108202860988</v>
      </c>
      <c r="P2067" s="563" t="s">
        <v>619</v>
      </c>
      <c r="Q2067" s="372" t="s">
        <v>619</v>
      </c>
      <c r="R2067" s="696">
        <v>19990813</v>
      </c>
      <c r="S2067" s="372" t="s">
        <v>13322</v>
      </c>
      <c r="T2067" s="697" t="s">
        <v>768</v>
      </c>
      <c r="U2067" s="372" t="s">
        <v>13323</v>
      </c>
      <c r="V2067" s="722" t="s">
        <v>770</v>
      </c>
      <c r="W2067" s="722">
        <v>0.52</v>
      </c>
      <c r="X2067" s="722">
        <v>2.93</v>
      </c>
      <c r="Y2067" s="722" t="s">
        <v>770</v>
      </c>
      <c r="Z2067" s="382" t="s">
        <v>924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13324</v>
      </c>
      <c r="B2068" s="372" t="s">
        <v>13325</v>
      </c>
      <c r="C2068" s="372" t="s">
        <v>13326</v>
      </c>
      <c r="D2068" s="374">
        <v>1101111538664</v>
      </c>
      <c r="E2068" s="372" t="s">
        <v>13327</v>
      </c>
      <c r="F2068" s="372" t="s">
        <v>1793</v>
      </c>
      <c r="G2068" s="375" t="s">
        <v>2794</v>
      </c>
      <c r="H2068" s="375" t="s">
        <v>858</v>
      </c>
      <c r="I2068" s="375" t="s">
        <v>859</v>
      </c>
      <c r="J2068" s="375">
        <v>68398.313949999996</v>
      </c>
      <c r="K2068" s="375">
        <v>7894.22876</v>
      </c>
      <c r="L2068" s="375">
        <v>8616.5287499999995</v>
      </c>
      <c r="M2068" s="375">
        <v>49511.980150000003</v>
      </c>
      <c r="N2068" s="372">
        <v>0.89900000000000002</v>
      </c>
      <c r="O2068" s="704">
        <v>14.188691476829755</v>
      </c>
      <c r="P2068" s="563" t="s">
        <v>619</v>
      </c>
      <c r="Q2068" s="372" t="s">
        <v>619</v>
      </c>
      <c r="R2068" s="696">
        <v>20030124</v>
      </c>
      <c r="S2068" s="372" t="s">
        <v>13328</v>
      </c>
      <c r="T2068" s="697">
        <v>0.20900000000000002</v>
      </c>
      <c r="U2068" s="372" t="s">
        <v>13329</v>
      </c>
      <c r="V2068" s="722">
        <v>4.26</v>
      </c>
      <c r="W2068" s="722">
        <v>0.69</v>
      </c>
      <c r="X2068" s="722">
        <v>0.52</v>
      </c>
      <c r="Y2068" s="722">
        <v>4.17</v>
      </c>
      <c r="Z2068" s="382" t="s">
        <v>924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13330</v>
      </c>
      <c r="B2069" s="372" t="s">
        <v>13331</v>
      </c>
      <c r="C2069" s="372" t="s">
        <v>13332</v>
      </c>
      <c r="D2069" s="374">
        <v>1358110139600</v>
      </c>
      <c r="E2069" s="372" t="s">
        <v>13333</v>
      </c>
      <c r="F2069" s="372" t="s">
        <v>1595</v>
      </c>
      <c r="G2069" s="375" t="s">
        <v>1596</v>
      </c>
      <c r="H2069" s="375" t="s">
        <v>858</v>
      </c>
      <c r="I2069" s="375" t="s">
        <v>859</v>
      </c>
      <c r="J2069" s="375">
        <v>8536.4745500000008</v>
      </c>
      <c r="K2069" s="375">
        <v>-2178.2690200000002</v>
      </c>
      <c r="L2069" s="375">
        <v>-749.29888000000005</v>
      </c>
      <c r="M2069" s="375">
        <v>15884.280699999999</v>
      </c>
      <c r="N2069" s="372">
        <v>0.65</v>
      </c>
      <c r="O2069" s="704">
        <v>12.62025207933527</v>
      </c>
      <c r="P2069" s="563" t="s">
        <v>619</v>
      </c>
      <c r="Q2069" s="372" t="s">
        <v>619</v>
      </c>
      <c r="R2069" s="696">
        <v>20190819</v>
      </c>
      <c r="S2069" s="372" t="s">
        <v>13334</v>
      </c>
      <c r="T2069" s="697" t="s">
        <v>768</v>
      </c>
      <c r="U2069" s="372" t="s">
        <v>13335</v>
      </c>
      <c r="V2069" s="722" t="s">
        <v>770</v>
      </c>
      <c r="W2069" s="722">
        <v>2.4300000000000002</v>
      </c>
      <c r="X2069" s="722">
        <v>4.53</v>
      </c>
      <c r="Y2069" s="722" t="s">
        <v>770</v>
      </c>
      <c r="Z2069" s="382" t="s">
        <v>924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13336</v>
      </c>
      <c r="B2070" s="372" t="s">
        <v>13337</v>
      </c>
      <c r="C2070" s="372" t="s">
        <v>13338</v>
      </c>
      <c r="D2070" s="374">
        <v>1101116735067</v>
      </c>
      <c r="E2070" s="372" t="s">
        <v>13339</v>
      </c>
      <c r="F2070" s="372" t="s">
        <v>618</v>
      </c>
      <c r="G2070" s="375" t="s">
        <v>618</v>
      </c>
      <c r="H2070" s="375" t="s">
        <v>858</v>
      </c>
      <c r="I2070" s="375" t="s">
        <v>859</v>
      </c>
      <c r="J2070" s="375">
        <v>29648.729299999999</v>
      </c>
      <c r="K2070" s="375">
        <v>5372.3579799999998</v>
      </c>
      <c r="L2070" s="375">
        <v>4278.7770799999998</v>
      </c>
      <c r="M2070" s="375">
        <v>42593.848409999999</v>
      </c>
      <c r="N2070" s="372">
        <v>0.79900000000000004</v>
      </c>
      <c r="O2070" s="704">
        <v>30.833974482181674</v>
      </c>
      <c r="P2070" s="563" t="s">
        <v>619</v>
      </c>
      <c r="Q2070" s="372" t="s">
        <v>619</v>
      </c>
      <c r="R2070" s="696">
        <v>20180720</v>
      </c>
      <c r="S2070" s="372" t="s">
        <v>13340</v>
      </c>
      <c r="T2070" s="697">
        <v>0.20900000000000002</v>
      </c>
      <c r="U2070" s="372" t="s">
        <v>13341</v>
      </c>
      <c r="V2070" s="722">
        <v>0</v>
      </c>
      <c r="W2070" s="722">
        <v>0</v>
      </c>
      <c r="X2070" s="722">
        <v>0</v>
      </c>
      <c r="Y2070" s="722">
        <v>0</v>
      </c>
      <c r="Z2070" s="382" t="s">
        <v>924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13342</v>
      </c>
      <c r="B2071" s="372" t="s">
        <v>13343</v>
      </c>
      <c r="C2071" s="372" t="s">
        <v>13344</v>
      </c>
      <c r="D2071" s="374">
        <v>2101110007510</v>
      </c>
      <c r="E2071" s="372" t="s">
        <v>13345</v>
      </c>
      <c r="F2071" s="372" t="s">
        <v>1390</v>
      </c>
      <c r="G2071" s="375" t="s">
        <v>6842</v>
      </c>
      <c r="H2071" s="375" t="s">
        <v>892</v>
      </c>
      <c r="I2071" s="375" t="s">
        <v>859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1.052</v>
      </c>
      <c r="O2071" s="704" t="s">
        <v>16298</v>
      </c>
      <c r="P2071" s="563" t="s">
        <v>619</v>
      </c>
      <c r="Q2071" s="372" t="s">
        <v>619</v>
      </c>
      <c r="R2071" s="696">
        <v>19960826</v>
      </c>
      <c r="S2071" s="372" t="s">
        <v>13346</v>
      </c>
      <c r="T2071" s="697" t="s">
        <v>768</v>
      </c>
      <c r="U2071" s="372" t="s">
        <v>13347</v>
      </c>
      <c r="V2071" s="722">
        <v>0</v>
      </c>
      <c r="W2071" s="722">
        <v>0</v>
      </c>
      <c r="X2071" s="722">
        <v>0</v>
      </c>
      <c r="Y2071" s="722">
        <v>0</v>
      </c>
      <c r="Z2071" s="382" t="s">
        <v>924</v>
      </c>
      <c r="AA2071" s="372">
        <v>54.488502500000003</v>
      </c>
      <c r="AB2071" s="372">
        <v>17.998812300000001</v>
      </c>
      <c r="AC2071" s="372">
        <v>-6.3918730000000004</v>
      </c>
      <c r="AD2071" s="372">
        <v>179.07135339999999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13348</v>
      </c>
      <c r="B2072" s="372" t="s">
        <v>13349</v>
      </c>
      <c r="C2072" s="372" t="s">
        <v>16046</v>
      </c>
      <c r="D2072" s="374">
        <v>1401110011243</v>
      </c>
      <c r="E2072" s="372" t="s">
        <v>16085</v>
      </c>
      <c r="F2072" s="372" t="s">
        <v>1793</v>
      </c>
      <c r="G2072" s="375" t="s">
        <v>1794</v>
      </c>
      <c r="H2072" s="375" t="s">
        <v>858</v>
      </c>
      <c r="I2072" s="375" t="s">
        <v>859</v>
      </c>
      <c r="J2072" s="375">
        <v>0</v>
      </c>
      <c r="K2072" s="375">
        <v>0</v>
      </c>
      <c r="L2072" s="375">
        <v>0</v>
      </c>
      <c r="M2072" s="375">
        <v>11889.450510000001</v>
      </c>
      <c r="N2072" s="372">
        <v>1.117</v>
      </c>
      <c r="O2072" s="704">
        <v>1.7209701169796947</v>
      </c>
      <c r="P2072" s="563" t="s">
        <v>619</v>
      </c>
      <c r="Q2072" s="372" t="s">
        <v>619</v>
      </c>
      <c r="R2072" s="696">
        <v>20161116</v>
      </c>
      <c r="S2072" s="372" t="s">
        <v>13350</v>
      </c>
      <c r="T2072" s="697" t="s">
        <v>768</v>
      </c>
      <c r="U2072" s="372" t="s">
        <v>13351</v>
      </c>
      <c r="V2072" s="722">
        <v>0</v>
      </c>
      <c r="W2072" s="722">
        <v>2.75</v>
      </c>
      <c r="X2072" s="722">
        <v>0</v>
      </c>
      <c r="Y2072" s="722">
        <v>0</v>
      </c>
      <c r="Z2072" s="382" t="s">
        <v>924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13352</v>
      </c>
      <c r="B2073" s="372" t="s">
        <v>13353</v>
      </c>
      <c r="C2073" s="372" t="s">
        <v>13354</v>
      </c>
      <c r="D2073" s="374">
        <v>1101111421257</v>
      </c>
      <c r="E2073" s="372" t="s">
        <v>13355</v>
      </c>
      <c r="F2073" s="372" t="s">
        <v>2665</v>
      </c>
      <c r="G2073" s="375" t="s">
        <v>12935</v>
      </c>
      <c r="H2073" s="375" t="s">
        <v>858</v>
      </c>
      <c r="I2073" s="375" t="s">
        <v>859</v>
      </c>
      <c r="J2073" s="375">
        <v>124135.22629999999</v>
      </c>
      <c r="K2073" s="375">
        <v>-6674.5936400000001</v>
      </c>
      <c r="L2073" s="375">
        <v>-2854.68894</v>
      </c>
      <c r="M2073" s="375">
        <v>134060.88398000001</v>
      </c>
      <c r="N2073" s="372">
        <v>0.75800000000000001</v>
      </c>
      <c r="O2073" s="704">
        <v>232.07849212953647</v>
      </c>
      <c r="P2073" s="563" t="s">
        <v>619</v>
      </c>
      <c r="Q2073" s="372" t="s">
        <v>619</v>
      </c>
      <c r="R2073" s="696">
        <v>20020524</v>
      </c>
      <c r="S2073" s="372" t="s">
        <v>13356</v>
      </c>
      <c r="T2073" s="697" t="s">
        <v>768</v>
      </c>
      <c r="U2073" s="372" t="s">
        <v>13357</v>
      </c>
      <c r="V2073" s="722" t="s">
        <v>770</v>
      </c>
      <c r="W2073" s="722">
        <v>0.74</v>
      </c>
      <c r="X2073" s="722">
        <v>0.28999999999999998</v>
      </c>
      <c r="Y2073" s="722" t="s">
        <v>770</v>
      </c>
      <c r="Z2073" s="382" t="s">
        <v>924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13358</v>
      </c>
      <c r="B2074" s="372" t="s">
        <v>13359</v>
      </c>
      <c r="C2074" s="372" t="s">
        <v>13360</v>
      </c>
      <c r="D2074" s="374">
        <v>1101110604200</v>
      </c>
      <c r="E2074" s="372" t="s">
        <v>13361</v>
      </c>
      <c r="F2074" s="372" t="s">
        <v>5766</v>
      </c>
      <c r="G2074" s="375" t="s">
        <v>5766</v>
      </c>
      <c r="H2074" s="375" t="s">
        <v>1334</v>
      </c>
      <c r="I2074" s="375" t="s">
        <v>859</v>
      </c>
      <c r="J2074" s="375">
        <v>582026.86485000001</v>
      </c>
      <c r="K2074" s="375">
        <v>13927.43751</v>
      </c>
      <c r="L2074" s="375">
        <v>-94213.672130000006</v>
      </c>
      <c r="M2074" s="375">
        <v>199153.00714999999</v>
      </c>
      <c r="N2074" s="372">
        <v>1.1890000000000001</v>
      </c>
      <c r="O2074" s="704">
        <v>732.58411655001828</v>
      </c>
      <c r="P2074" s="563" t="s">
        <v>619</v>
      </c>
      <c r="Q2074" s="372" t="s">
        <v>619</v>
      </c>
      <c r="R2074" s="696">
        <v>19970416</v>
      </c>
      <c r="S2074" s="372" t="s">
        <v>13362</v>
      </c>
      <c r="T2074" s="697" t="s">
        <v>768</v>
      </c>
      <c r="U2074" s="372" t="s">
        <v>13363</v>
      </c>
      <c r="V2074" s="722">
        <v>15.16</v>
      </c>
      <c r="W2074" s="722">
        <v>0.48</v>
      </c>
      <c r="X2074" s="722">
        <v>0.06</v>
      </c>
      <c r="Y2074" s="722" t="s">
        <v>770</v>
      </c>
      <c r="Z2074" s="382" t="s">
        <v>924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13364</v>
      </c>
      <c r="B2075" s="372" t="s">
        <v>13365</v>
      </c>
      <c r="C2075" s="372" t="s">
        <v>13366</v>
      </c>
      <c r="D2075" s="374">
        <v>1358110088245</v>
      </c>
      <c r="E2075" s="372" t="s">
        <v>13367</v>
      </c>
      <c r="F2075" s="372" t="s">
        <v>972</v>
      </c>
      <c r="G2075" s="375" t="s">
        <v>973</v>
      </c>
      <c r="H2075" s="375" t="s">
        <v>1334</v>
      </c>
      <c r="I2075" s="375" t="s">
        <v>859</v>
      </c>
      <c r="J2075" s="375">
        <v>16029.07404</v>
      </c>
      <c r="K2075" s="375">
        <v>2090.2707</v>
      </c>
      <c r="L2075" s="375">
        <v>1483.24782</v>
      </c>
      <c r="M2075" s="375">
        <v>33659.825850000001</v>
      </c>
      <c r="N2075" s="372">
        <v>0.86199999999999999</v>
      </c>
      <c r="O2075" s="704">
        <v>28.769313419738474</v>
      </c>
      <c r="P2075" s="563" t="s">
        <v>619</v>
      </c>
      <c r="Q2075" s="372" t="s">
        <v>619</v>
      </c>
      <c r="R2075" s="696">
        <v>20061213</v>
      </c>
      <c r="S2075" s="372" t="s">
        <v>13368</v>
      </c>
      <c r="T2075" s="697">
        <v>0.20900000000000002</v>
      </c>
      <c r="U2075" s="372" t="s">
        <v>13369</v>
      </c>
      <c r="V2075" s="722">
        <v>0</v>
      </c>
      <c r="W2075" s="722">
        <v>0</v>
      </c>
      <c r="X2075" s="722">
        <v>0</v>
      </c>
      <c r="Y2075" s="722">
        <v>0</v>
      </c>
      <c r="Z2075" s="382" t="s">
        <v>924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13370</v>
      </c>
      <c r="B2076" s="372" t="s">
        <v>13371</v>
      </c>
      <c r="C2076" s="372" t="s">
        <v>13372</v>
      </c>
      <c r="D2076" s="374">
        <v>1615110006796</v>
      </c>
      <c r="E2076" s="372" t="s">
        <v>13373</v>
      </c>
      <c r="F2076" s="372" t="s">
        <v>2989</v>
      </c>
      <c r="G2076" s="375" t="s">
        <v>2989</v>
      </c>
      <c r="H2076" s="375" t="s">
        <v>858</v>
      </c>
      <c r="I2076" s="375" t="s">
        <v>859</v>
      </c>
      <c r="J2076" s="375">
        <v>129344.08967</v>
      </c>
      <c r="K2076" s="375">
        <v>3344.4687300000001</v>
      </c>
      <c r="L2076" s="375">
        <v>-30499.278730000002</v>
      </c>
      <c r="M2076" s="375">
        <v>87185.903170000005</v>
      </c>
      <c r="N2076" s="372">
        <v>0.622</v>
      </c>
      <c r="O2076" s="704">
        <v>84.16407835410908</v>
      </c>
      <c r="P2076" s="563" t="s">
        <v>619</v>
      </c>
      <c r="Q2076" s="372" t="s">
        <v>619</v>
      </c>
      <c r="R2076" s="696">
        <v>19970212</v>
      </c>
      <c r="S2076" s="372" t="s">
        <v>13374</v>
      </c>
      <c r="T2076" s="697" t="s">
        <v>768</v>
      </c>
      <c r="U2076" s="372" t="s">
        <v>13375</v>
      </c>
      <c r="V2076" s="722">
        <v>5.97</v>
      </c>
      <c r="W2076" s="722">
        <v>0.42</v>
      </c>
      <c r="X2076" s="722">
        <v>0.3</v>
      </c>
      <c r="Y2076" s="722" t="s">
        <v>770</v>
      </c>
      <c r="Z2076" s="382" t="s">
        <v>924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13376</v>
      </c>
      <c r="B2077" s="372" t="s">
        <v>13377</v>
      </c>
      <c r="C2077" s="372" t="s">
        <v>13378</v>
      </c>
      <c r="D2077" s="374">
        <v>1845110000105</v>
      </c>
      <c r="E2077" s="372" t="s">
        <v>13379</v>
      </c>
      <c r="F2077" s="372" t="s">
        <v>7209</v>
      </c>
      <c r="G2077" s="375" t="s">
        <v>16119</v>
      </c>
      <c r="H2077" s="375" t="s">
        <v>3954</v>
      </c>
      <c r="I2077" s="375" t="s">
        <v>751</v>
      </c>
      <c r="J2077" s="375">
        <v>297355.11952000001</v>
      </c>
      <c r="K2077" s="375">
        <v>5993.7653700000001</v>
      </c>
      <c r="L2077" s="375">
        <v>697.60316999999998</v>
      </c>
      <c r="M2077" s="375">
        <v>90280.604259999993</v>
      </c>
      <c r="N2077" s="372">
        <v>0.76</v>
      </c>
      <c r="O2077" s="704">
        <v>322.68074166864113</v>
      </c>
      <c r="P2077" s="563" t="s">
        <v>619</v>
      </c>
      <c r="Q2077" s="372" t="s">
        <v>619</v>
      </c>
      <c r="R2077" s="696">
        <v>19871223</v>
      </c>
      <c r="S2077" s="372" t="s">
        <v>13380</v>
      </c>
      <c r="T2077" s="697">
        <v>0.20900000000000002</v>
      </c>
      <c r="U2077" s="372" t="s">
        <v>13381</v>
      </c>
      <c r="V2077" s="722">
        <v>0</v>
      </c>
      <c r="W2077" s="722">
        <v>0</v>
      </c>
      <c r="X2077" s="722">
        <v>0</v>
      </c>
      <c r="Y2077" s="722">
        <v>0</v>
      </c>
      <c r="Z2077" s="382" t="s">
        <v>924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13382</v>
      </c>
      <c r="B2078" s="372" t="s">
        <v>13383</v>
      </c>
      <c r="C2078" s="372" t="s">
        <v>13384</v>
      </c>
      <c r="D2078" s="374">
        <v>1101114275958</v>
      </c>
      <c r="E2078" s="372" t="s">
        <v>13385</v>
      </c>
      <c r="F2078" s="372" t="s">
        <v>995</v>
      </c>
      <c r="G2078" s="375" t="s">
        <v>7126</v>
      </c>
      <c r="H2078" s="375" t="s">
        <v>858</v>
      </c>
      <c r="I2078" s="375" t="s">
        <v>859</v>
      </c>
      <c r="J2078" s="375">
        <v>292446.00098999997</v>
      </c>
      <c r="K2078" s="375">
        <v>21697.673309999998</v>
      </c>
      <c r="L2078" s="375">
        <v>22329.12774</v>
      </c>
      <c r="M2078" s="375">
        <v>110791.39900999999</v>
      </c>
      <c r="N2078" s="372">
        <v>0.80800000000000005</v>
      </c>
      <c r="O2078" s="704">
        <v>123.13518671832635</v>
      </c>
      <c r="P2078" s="563" t="s">
        <v>619</v>
      </c>
      <c r="Q2078" s="372" t="s">
        <v>619</v>
      </c>
      <c r="R2078" s="696">
        <v>20200316</v>
      </c>
      <c r="S2078" s="372" t="s">
        <v>13386</v>
      </c>
      <c r="T2078" s="697">
        <v>0.23100000000000001</v>
      </c>
      <c r="U2078" s="372" t="s">
        <v>13387</v>
      </c>
      <c r="V2078" s="722">
        <v>2.23</v>
      </c>
      <c r="W2078" s="722">
        <v>0.54</v>
      </c>
      <c r="X2078" s="722">
        <v>0.2</v>
      </c>
      <c r="Y2078" s="722">
        <v>2.93</v>
      </c>
      <c r="Z2078" s="382" t="s">
        <v>924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13388</v>
      </c>
      <c r="B2079" s="372" t="s">
        <v>13389</v>
      </c>
      <c r="C2079" s="372" t="s">
        <v>13390</v>
      </c>
      <c r="D2079" s="374">
        <v>1101117262754</v>
      </c>
      <c r="E2079" s="372" t="s">
        <v>13391</v>
      </c>
      <c r="F2079" s="372" t="s">
        <v>2508</v>
      </c>
      <c r="G2079" s="375" t="s">
        <v>2508</v>
      </c>
      <c r="H2079" s="375" t="s">
        <v>858</v>
      </c>
      <c r="I2079" s="375" t="s">
        <v>859</v>
      </c>
      <c r="J2079" s="375">
        <v>57759.607380000001</v>
      </c>
      <c r="K2079" s="375">
        <v>3741.69382</v>
      </c>
      <c r="L2079" s="375">
        <v>3168.4198799999999</v>
      </c>
      <c r="M2079" s="375">
        <v>33346.931799999998</v>
      </c>
      <c r="N2079" s="372">
        <v>0.93500000000000005</v>
      </c>
      <c r="O2079" s="704">
        <v>16.970869198970899</v>
      </c>
      <c r="P2079" s="563" t="s">
        <v>619</v>
      </c>
      <c r="Q2079" s="372" t="s">
        <v>619</v>
      </c>
      <c r="R2079" s="696">
        <v>20191227</v>
      </c>
      <c r="S2079" s="372" t="s">
        <v>13392</v>
      </c>
      <c r="T2079" s="697">
        <v>0.20900000000000002</v>
      </c>
      <c r="U2079" s="372" t="s">
        <v>13393</v>
      </c>
      <c r="V2079" s="722">
        <v>0</v>
      </c>
      <c r="W2079" s="722">
        <v>0</v>
      </c>
      <c r="X2079" s="722">
        <v>0</v>
      </c>
      <c r="Y2079" s="722">
        <v>0</v>
      </c>
      <c r="Z2079" s="382" t="s">
        <v>924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13394</v>
      </c>
      <c r="B2080" s="372" t="s">
        <v>13395</v>
      </c>
      <c r="C2080" s="372" t="s">
        <v>13396</v>
      </c>
      <c r="D2080" s="374">
        <v>1101112870784</v>
      </c>
      <c r="E2080" s="372" t="s">
        <v>13397</v>
      </c>
      <c r="F2080" s="372" t="s">
        <v>1272</v>
      </c>
      <c r="G2080" s="375" t="s">
        <v>1272</v>
      </c>
      <c r="H2080" s="375" t="s">
        <v>858</v>
      </c>
      <c r="I2080" s="375" t="s">
        <v>859</v>
      </c>
      <c r="J2080" s="375">
        <v>38617.299800000001</v>
      </c>
      <c r="K2080" s="375">
        <v>-6942.8243599999996</v>
      </c>
      <c r="L2080" s="375">
        <v>-10715.50157</v>
      </c>
      <c r="M2080" s="375">
        <v>42746.29709</v>
      </c>
      <c r="N2080" s="372">
        <v>0.49299999999999999</v>
      </c>
      <c r="O2080" s="704">
        <v>74.262901358706984</v>
      </c>
      <c r="P2080" s="563" t="s">
        <v>619</v>
      </c>
      <c r="Q2080" s="372" t="s">
        <v>619</v>
      </c>
      <c r="R2080" s="696">
        <v>20141031</v>
      </c>
      <c r="S2080" s="372" t="s">
        <v>13398</v>
      </c>
      <c r="T2080" s="697" t="s">
        <v>768</v>
      </c>
      <c r="U2080" s="372" t="s">
        <v>13399</v>
      </c>
      <c r="V2080" s="722" t="s">
        <v>770</v>
      </c>
      <c r="W2080" s="722">
        <v>0.62</v>
      </c>
      <c r="X2080" s="722">
        <v>0.7</v>
      </c>
      <c r="Y2080" s="722" t="s">
        <v>770</v>
      </c>
      <c r="Z2080" s="382" t="s">
        <v>924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13400</v>
      </c>
      <c r="B2081" s="372" t="s">
        <v>13401</v>
      </c>
      <c r="C2081" s="372" t="s">
        <v>13402</v>
      </c>
      <c r="D2081" s="374">
        <v>1601110007660</v>
      </c>
      <c r="E2081" s="372" t="s">
        <v>13403</v>
      </c>
      <c r="F2081" s="372" t="s">
        <v>1367</v>
      </c>
      <c r="G2081" s="375" t="s">
        <v>1367</v>
      </c>
      <c r="H2081" s="375" t="s">
        <v>858</v>
      </c>
      <c r="I2081" s="375" t="s">
        <v>859</v>
      </c>
      <c r="J2081" s="375">
        <v>35358.50217</v>
      </c>
      <c r="K2081" s="375">
        <v>-8517.8209100000004</v>
      </c>
      <c r="L2081" s="375">
        <v>-8035.9901200000004</v>
      </c>
      <c r="M2081" s="375">
        <v>20352.01629</v>
      </c>
      <c r="N2081" s="372">
        <v>0.4</v>
      </c>
      <c r="O2081" s="704">
        <v>22.478883415950676</v>
      </c>
      <c r="P2081" s="563" t="s">
        <v>619</v>
      </c>
      <c r="Q2081" s="372" t="s">
        <v>619</v>
      </c>
      <c r="R2081" s="696">
        <v>19941031</v>
      </c>
      <c r="S2081" s="372" t="s">
        <v>13404</v>
      </c>
      <c r="T2081" s="697" t="s">
        <v>768</v>
      </c>
      <c r="U2081" s="372" t="s">
        <v>13405</v>
      </c>
      <c r="V2081" s="722">
        <v>0</v>
      </c>
      <c r="W2081" s="722">
        <v>0</v>
      </c>
      <c r="X2081" s="722">
        <v>0</v>
      </c>
      <c r="Y2081" s="722">
        <v>0</v>
      </c>
      <c r="Z2081" s="382" t="s">
        <v>924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13406</v>
      </c>
      <c r="B2082" s="372" t="s">
        <v>13407</v>
      </c>
      <c r="C2082" s="372" t="s">
        <v>13408</v>
      </c>
      <c r="D2082" s="374">
        <v>1101117912309</v>
      </c>
      <c r="E2082" s="372" t="s">
        <v>13409</v>
      </c>
      <c r="F2082" s="372" t="s">
        <v>1140</v>
      </c>
      <c r="G2082" s="375" t="s">
        <v>1141</v>
      </c>
      <c r="H2082" s="375" t="s">
        <v>892</v>
      </c>
      <c r="I2082" s="375" t="s">
        <v>4410</v>
      </c>
      <c r="J2082" s="375">
        <v>0</v>
      </c>
      <c r="K2082" s="375">
        <v>0</v>
      </c>
      <c r="L2082" s="375">
        <v>0</v>
      </c>
      <c r="M2082" s="375">
        <v>0</v>
      </c>
      <c r="N2082" s="372" t="s">
        <v>1023</v>
      </c>
      <c r="O2082" s="704" t="s">
        <v>16298</v>
      </c>
      <c r="P2082" s="563" t="s">
        <v>619</v>
      </c>
      <c r="Q2082" s="372" t="s">
        <v>619</v>
      </c>
      <c r="R2082" s="696">
        <v>20211005</v>
      </c>
      <c r="S2082" s="372" t="e">
        <v>#N/A</v>
      </c>
      <c r="T2082" s="697" t="s">
        <v>768</v>
      </c>
      <c r="U2082" s="372">
        <v>0</v>
      </c>
      <c r="V2082" s="722">
        <v>0</v>
      </c>
      <c r="W2082" s="722">
        <v>0</v>
      </c>
      <c r="X2082" s="722">
        <v>0</v>
      </c>
      <c r="Y2082" s="722">
        <v>0</v>
      </c>
      <c r="Z2082" s="382" t="s">
        <v>770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13411</v>
      </c>
      <c r="B2083" s="372" t="s">
        <v>13412</v>
      </c>
      <c r="C2083" s="372" t="s">
        <v>13413</v>
      </c>
      <c r="D2083" s="374">
        <v>1201110155011</v>
      </c>
      <c r="E2083" s="372" t="s">
        <v>13414</v>
      </c>
      <c r="F2083" s="372" t="s">
        <v>1273</v>
      </c>
      <c r="G2083" s="375" t="s">
        <v>1449</v>
      </c>
      <c r="H2083" s="375" t="s">
        <v>858</v>
      </c>
      <c r="I2083" s="375" t="s">
        <v>859</v>
      </c>
      <c r="J2083" s="375">
        <v>127029.45195</v>
      </c>
      <c r="K2083" s="375">
        <v>5652.0828300000003</v>
      </c>
      <c r="L2083" s="375">
        <v>3902.4778799999999</v>
      </c>
      <c r="M2083" s="375">
        <v>76373.874249999993</v>
      </c>
      <c r="N2083" s="372">
        <v>0.50900000000000001</v>
      </c>
      <c r="O2083" s="704">
        <v>143.69640917011785</v>
      </c>
      <c r="P2083" s="563" t="s">
        <v>619</v>
      </c>
      <c r="Q2083" s="372" t="s">
        <v>619</v>
      </c>
      <c r="R2083" s="696">
        <v>20140804</v>
      </c>
      <c r="S2083" s="372" t="s">
        <v>13415</v>
      </c>
      <c r="T2083" s="697">
        <v>0.20900000000000002</v>
      </c>
      <c r="U2083" s="372" t="s">
        <v>13416</v>
      </c>
      <c r="V2083" s="722">
        <v>6.06</v>
      </c>
      <c r="W2083" s="722">
        <v>0.53</v>
      </c>
      <c r="X2083" s="722">
        <v>0.35</v>
      </c>
      <c r="Y2083" s="722">
        <v>9.89</v>
      </c>
      <c r="Z2083" s="382" t="s">
        <v>924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13417</v>
      </c>
      <c r="B2084" s="372" t="s">
        <v>13418</v>
      </c>
      <c r="C2084" s="372" t="s">
        <v>13419</v>
      </c>
      <c r="D2084" s="374">
        <v>1543110010576</v>
      </c>
      <c r="E2084" s="372" t="s">
        <v>13420</v>
      </c>
      <c r="F2084" s="372" t="s">
        <v>4249</v>
      </c>
      <c r="G2084" s="375" t="s">
        <v>4250</v>
      </c>
      <c r="H2084" s="375" t="s">
        <v>858</v>
      </c>
      <c r="I2084" s="375" t="s">
        <v>859</v>
      </c>
      <c r="J2084" s="375">
        <v>59250.742129999999</v>
      </c>
      <c r="K2084" s="375">
        <v>9988.1947899999996</v>
      </c>
      <c r="L2084" s="375">
        <v>8321.3076899999996</v>
      </c>
      <c r="M2084" s="375">
        <v>84046.064400000003</v>
      </c>
      <c r="N2084" s="372">
        <v>0.86699999999999999</v>
      </c>
      <c r="O2084" s="704">
        <v>37.67969152821609</v>
      </c>
      <c r="P2084" s="563" t="s">
        <v>619</v>
      </c>
      <c r="Q2084" s="372" t="s">
        <v>619</v>
      </c>
      <c r="R2084" s="696">
        <v>20111108</v>
      </c>
      <c r="S2084" s="372" t="s">
        <v>13421</v>
      </c>
      <c r="T2084" s="697">
        <v>0.20900000000000002</v>
      </c>
      <c r="U2084" s="372" t="s">
        <v>13422</v>
      </c>
      <c r="V2084" s="722">
        <v>0</v>
      </c>
      <c r="W2084" s="722">
        <v>0</v>
      </c>
      <c r="X2084" s="722">
        <v>0</v>
      </c>
      <c r="Y2084" s="722">
        <v>0</v>
      </c>
      <c r="Z2084" s="382" t="s">
        <v>924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13423</v>
      </c>
      <c r="B2085" s="372" t="s">
        <v>13424</v>
      </c>
      <c r="C2085" s="372" t="s">
        <v>13425</v>
      </c>
      <c r="D2085" s="374">
        <v>1748110004244</v>
      </c>
      <c r="E2085" s="372" t="s">
        <v>13426</v>
      </c>
      <c r="F2085" s="372" t="s">
        <v>1860</v>
      </c>
      <c r="G2085" s="375" t="s">
        <v>1861</v>
      </c>
      <c r="H2085" s="375" t="s">
        <v>789</v>
      </c>
      <c r="I2085" s="375" t="s">
        <v>751</v>
      </c>
      <c r="J2085" s="375">
        <v>94455.908240000004</v>
      </c>
      <c r="K2085" s="375">
        <v>5214.8464599999998</v>
      </c>
      <c r="L2085" s="375">
        <v>3194.1244299999998</v>
      </c>
      <c r="M2085" s="375">
        <v>34375.553549999997</v>
      </c>
      <c r="N2085" s="372">
        <v>0.90800000000000003</v>
      </c>
      <c r="O2085" s="704">
        <v>56.307030190311423</v>
      </c>
      <c r="P2085" s="563" t="s">
        <v>619</v>
      </c>
      <c r="Q2085" s="372" t="s">
        <v>619</v>
      </c>
      <c r="R2085" s="696">
        <v>19990811</v>
      </c>
      <c r="S2085" s="372" t="s">
        <v>13427</v>
      </c>
      <c r="T2085" s="697">
        <v>0.20900000000000002</v>
      </c>
      <c r="U2085" s="372" t="s">
        <v>13428</v>
      </c>
      <c r="V2085" s="722">
        <v>5.27</v>
      </c>
      <c r="W2085" s="722">
        <v>1.23</v>
      </c>
      <c r="X2085" s="722">
        <v>0.45</v>
      </c>
      <c r="Y2085" s="722">
        <v>13.86</v>
      </c>
      <c r="Z2085" s="382" t="s">
        <v>924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13429</v>
      </c>
      <c r="B2086" s="372" t="s">
        <v>13430</v>
      </c>
      <c r="C2086" s="372" t="s">
        <v>13431</v>
      </c>
      <c r="D2086" s="374">
        <v>1101113594763</v>
      </c>
      <c r="E2086" s="372" t="s">
        <v>13432</v>
      </c>
      <c r="F2086" s="372" t="s">
        <v>2219</v>
      </c>
      <c r="G2086" s="375" t="s">
        <v>2219</v>
      </c>
      <c r="H2086" s="375" t="s">
        <v>858</v>
      </c>
      <c r="I2086" s="375" t="s">
        <v>859</v>
      </c>
      <c r="J2086" s="375">
        <v>23182.880389999998</v>
      </c>
      <c r="K2086" s="375">
        <v>-1862.9673700000001</v>
      </c>
      <c r="L2086" s="375">
        <v>2512.3337299999998</v>
      </c>
      <c r="M2086" s="375">
        <v>124823.94843999999</v>
      </c>
      <c r="N2086" s="372">
        <v>0.63100000000000001</v>
      </c>
      <c r="O2086" s="704">
        <v>21.652607140749758</v>
      </c>
      <c r="P2086" s="563" t="s">
        <v>619</v>
      </c>
      <c r="Q2086" s="372" t="s">
        <v>619</v>
      </c>
      <c r="R2086" s="696">
        <v>20190822</v>
      </c>
      <c r="S2086" s="372" t="s">
        <v>13433</v>
      </c>
      <c r="T2086" s="697">
        <v>0.20900000000000002</v>
      </c>
      <c r="U2086" s="372" t="s">
        <v>13434</v>
      </c>
      <c r="V2086" s="722">
        <v>571.08000000000004</v>
      </c>
      <c r="W2086" s="722">
        <v>1.08</v>
      </c>
      <c r="X2086" s="722">
        <v>3.03</v>
      </c>
      <c r="Y2086" s="722">
        <v>16.47</v>
      </c>
      <c r="Z2086" s="382" t="s">
        <v>924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13435</v>
      </c>
      <c r="B2087" s="372" t="s">
        <v>13436</v>
      </c>
      <c r="C2087" s="372" t="s">
        <v>13437</v>
      </c>
      <c r="D2087" s="374">
        <v>1101111495971</v>
      </c>
      <c r="E2087" s="372" t="s">
        <v>13438</v>
      </c>
      <c r="F2087" s="372" t="s">
        <v>2219</v>
      </c>
      <c r="G2087" s="375" t="s">
        <v>2219</v>
      </c>
      <c r="H2087" s="375" t="s">
        <v>858</v>
      </c>
      <c r="I2087" s="375" t="s">
        <v>859</v>
      </c>
      <c r="J2087" s="375">
        <v>86422.703309999997</v>
      </c>
      <c r="K2087" s="375">
        <v>-1216.4513199999999</v>
      </c>
      <c r="L2087" s="375">
        <v>-1554.8421699999999</v>
      </c>
      <c r="M2087" s="375">
        <v>37859.851020000002</v>
      </c>
      <c r="N2087" s="372">
        <v>0.78400000000000003</v>
      </c>
      <c r="O2087" s="704">
        <v>80.649624240724762</v>
      </c>
      <c r="P2087" s="563" t="s">
        <v>619</v>
      </c>
      <c r="Q2087" s="372" t="s">
        <v>619</v>
      </c>
      <c r="R2087" s="696">
        <v>20151223</v>
      </c>
      <c r="S2087" s="372" t="s">
        <v>13439</v>
      </c>
      <c r="T2087" s="697" t="s">
        <v>768</v>
      </c>
      <c r="U2087" s="372" t="s">
        <v>13440</v>
      </c>
      <c r="V2087" s="722">
        <v>25.2</v>
      </c>
      <c r="W2087" s="722">
        <v>1.28</v>
      </c>
      <c r="X2087" s="722">
        <v>0.52</v>
      </c>
      <c r="Y2087" s="722" t="s">
        <v>770</v>
      </c>
      <c r="Z2087" s="382" t="s">
        <v>924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13441</v>
      </c>
      <c r="B2088" s="372" t="s">
        <v>13442</v>
      </c>
      <c r="C2088" s="372" t="s">
        <v>13443</v>
      </c>
      <c r="D2088" s="374">
        <v>1341110013255</v>
      </c>
      <c r="E2088" s="372" t="s">
        <v>13444</v>
      </c>
      <c r="F2088" s="372" t="s">
        <v>1761</v>
      </c>
      <c r="G2088" s="375" t="s">
        <v>2235</v>
      </c>
      <c r="H2088" s="375" t="s">
        <v>858</v>
      </c>
      <c r="I2088" s="375" t="s">
        <v>859</v>
      </c>
      <c r="J2088" s="375">
        <v>62572.015950000001</v>
      </c>
      <c r="K2088" s="375">
        <v>7512.7144099999996</v>
      </c>
      <c r="L2088" s="375">
        <v>5606.2481799999996</v>
      </c>
      <c r="M2088" s="375">
        <v>99403.985430000001</v>
      </c>
      <c r="N2088" s="372">
        <v>0.58399999999999996</v>
      </c>
      <c r="O2088" s="704">
        <v>54.099977713577552</v>
      </c>
      <c r="P2088" s="563" t="s">
        <v>619</v>
      </c>
      <c r="Q2088" s="372" t="s">
        <v>619</v>
      </c>
      <c r="R2088" s="696">
        <v>20151119</v>
      </c>
      <c r="S2088" s="372" t="s">
        <v>13445</v>
      </c>
      <c r="T2088" s="697">
        <v>0.20900000000000002</v>
      </c>
      <c r="U2088" s="372" t="s">
        <v>13446</v>
      </c>
      <c r="V2088" s="722">
        <v>6.29</v>
      </c>
      <c r="W2088" s="722">
        <v>0.5</v>
      </c>
      <c r="X2088" s="722">
        <v>0.82</v>
      </c>
      <c r="Y2088" s="722">
        <v>17.02</v>
      </c>
      <c r="Z2088" s="382" t="s">
        <v>924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13447</v>
      </c>
      <c r="B2089" s="372" t="s">
        <v>13448</v>
      </c>
      <c r="C2089" s="372" t="s">
        <v>16047</v>
      </c>
      <c r="D2089" s="374">
        <v>1101111390816</v>
      </c>
      <c r="E2089" s="372" t="s">
        <v>16048</v>
      </c>
      <c r="F2089" s="372" t="s">
        <v>1833</v>
      </c>
      <c r="G2089" s="375" t="s">
        <v>1833</v>
      </c>
      <c r="H2089" s="375" t="s">
        <v>3096</v>
      </c>
      <c r="I2089" s="375" t="s">
        <v>859</v>
      </c>
      <c r="J2089" s="375">
        <v>0</v>
      </c>
      <c r="K2089" s="375">
        <v>0</v>
      </c>
      <c r="L2089" s="375">
        <v>0</v>
      </c>
      <c r="M2089" s="375">
        <v>73084.695569999996</v>
      </c>
      <c r="N2089" s="372">
        <v>1.129</v>
      </c>
      <c r="O2089" s="704">
        <v>18.391092694110036</v>
      </c>
      <c r="P2089" s="563" t="s">
        <v>619</v>
      </c>
      <c r="Q2089" s="372" t="s">
        <v>619</v>
      </c>
      <c r="R2089" s="696">
        <v>20030117</v>
      </c>
      <c r="S2089" s="372" t="s">
        <v>13449</v>
      </c>
      <c r="T2089" s="697" t="s">
        <v>768</v>
      </c>
      <c r="U2089" s="372" t="s">
        <v>13450</v>
      </c>
      <c r="V2089" s="722">
        <v>0</v>
      </c>
      <c r="W2089" s="722">
        <v>1.8</v>
      </c>
      <c r="X2089" s="722">
        <v>0</v>
      </c>
      <c r="Y2089" s="722">
        <v>0</v>
      </c>
      <c r="Z2089" s="382" t="s">
        <v>924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13451</v>
      </c>
      <c r="B2090" s="372" t="s">
        <v>13452</v>
      </c>
      <c r="C2090" s="372" t="s">
        <v>13453</v>
      </c>
      <c r="D2090" s="374">
        <v>1341110012687</v>
      </c>
      <c r="E2090" s="372" t="s">
        <v>13454</v>
      </c>
      <c r="F2090" s="372" t="s">
        <v>1273</v>
      </c>
      <c r="G2090" s="375" t="s">
        <v>1449</v>
      </c>
      <c r="H2090" s="375" t="s">
        <v>858</v>
      </c>
      <c r="I2090" s="375" t="s">
        <v>859</v>
      </c>
      <c r="J2090" s="375">
        <v>24105.036319999999</v>
      </c>
      <c r="K2090" s="375">
        <v>179.37011000000001</v>
      </c>
      <c r="L2090" s="375">
        <v>-1868.3000199999999</v>
      </c>
      <c r="M2090" s="375">
        <v>66512.749370000005</v>
      </c>
      <c r="N2090" s="372">
        <v>0.35699999999999998</v>
      </c>
      <c r="O2090" s="704">
        <v>1.5564869529424621</v>
      </c>
      <c r="P2090" s="563" t="s">
        <v>619</v>
      </c>
      <c r="Q2090" s="372" t="s">
        <v>619</v>
      </c>
      <c r="R2090" s="696">
        <v>19970718</v>
      </c>
      <c r="S2090" s="372" t="s">
        <v>13455</v>
      </c>
      <c r="T2090" s="697" t="s">
        <v>768</v>
      </c>
      <c r="U2090" s="372" t="s">
        <v>13456</v>
      </c>
      <c r="V2090" s="722">
        <v>40.840000000000003</v>
      </c>
      <c r="W2090" s="722">
        <v>0.65</v>
      </c>
      <c r="X2090" s="722">
        <v>1.88</v>
      </c>
      <c r="Y2090" s="722" t="s">
        <v>770</v>
      </c>
      <c r="Z2090" s="382" t="s">
        <v>924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13457</v>
      </c>
      <c r="B2091" s="372" t="s">
        <v>13458</v>
      </c>
      <c r="C2091" s="372" t="s">
        <v>13459</v>
      </c>
      <c r="D2091" s="374">
        <v>1101112284729</v>
      </c>
      <c r="E2091" s="372" t="s">
        <v>13460</v>
      </c>
      <c r="F2091" s="372" t="s">
        <v>10828</v>
      </c>
      <c r="G2091" s="375" t="s">
        <v>10829</v>
      </c>
      <c r="H2091" s="375" t="s">
        <v>858</v>
      </c>
      <c r="I2091" s="375" t="s">
        <v>859</v>
      </c>
      <c r="J2091" s="375">
        <v>88416.20895</v>
      </c>
      <c r="K2091" s="375">
        <v>4386.357</v>
      </c>
      <c r="L2091" s="375">
        <v>4762.0227999999997</v>
      </c>
      <c r="M2091" s="375">
        <v>58860.735990000001</v>
      </c>
      <c r="N2091" s="372">
        <v>0.66200000000000003</v>
      </c>
      <c r="O2091" s="704">
        <v>55.528656310161317</v>
      </c>
      <c r="P2091" s="563" t="s">
        <v>619</v>
      </c>
      <c r="Q2091" s="372" t="s">
        <v>619</v>
      </c>
      <c r="R2091" s="696">
        <v>20201202</v>
      </c>
      <c r="S2091" s="372" t="s">
        <v>13461</v>
      </c>
      <c r="T2091" s="697">
        <v>0.20900000000000002</v>
      </c>
      <c r="U2091" s="372" t="s">
        <v>13462</v>
      </c>
      <c r="V2091" s="722">
        <v>0</v>
      </c>
      <c r="W2091" s="722">
        <v>0</v>
      </c>
      <c r="X2091" s="722">
        <v>0</v>
      </c>
      <c r="Y2091" s="722">
        <v>0</v>
      </c>
      <c r="Z2091" s="382" t="s">
        <v>924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13463</v>
      </c>
      <c r="B2092" s="372" t="s">
        <v>13464</v>
      </c>
      <c r="C2092" s="372" t="s">
        <v>13465</v>
      </c>
      <c r="D2092" s="374">
        <v>1346110015095</v>
      </c>
      <c r="E2092" s="372" t="s">
        <v>13466</v>
      </c>
      <c r="F2092" s="372" t="s">
        <v>877</v>
      </c>
      <c r="G2092" s="375" t="s">
        <v>877</v>
      </c>
      <c r="H2092" s="375" t="s">
        <v>858</v>
      </c>
      <c r="I2092" s="375" t="s">
        <v>859</v>
      </c>
      <c r="J2092" s="375">
        <v>58013.3344</v>
      </c>
      <c r="K2092" s="375">
        <v>1967.1856499999999</v>
      </c>
      <c r="L2092" s="375">
        <v>3725.1463699999999</v>
      </c>
      <c r="M2092" s="375">
        <v>73657.870420000007</v>
      </c>
      <c r="N2092" s="372">
        <v>0.748</v>
      </c>
      <c r="O2092" s="704">
        <v>84.820783698917026</v>
      </c>
      <c r="P2092" s="563" t="s">
        <v>619</v>
      </c>
      <c r="Q2092" s="372" t="s">
        <v>619</v>
      </c>
      <c r="R2092" s="696">
        <v>20071001</v>
      </c>
      <c r="S2092" s="372" t="s">
        <v>13467</v>
      </c>
      <c r="T2092" s="697">
        <v>0.20900000000000002</v>
      </c>
      <c r="U2092" s="372" t="s">
        <v>13468</v>
      </c>
      <c r="V2092" s="722">
        <v>14.3</v>
      </c>
      <c r="W2092" s="722">
        <v>0.83</v>
      </c>
      <c r="X2092" s="722">
        <v>0.82</v>
      </c>
      <c r="Y2092" s="722">
        <v>11.69</v>
      </c>
      <c r="Z2092" s="382" t="s">
        <v>924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13469</v>
      </c>
      <c r="B2093" s="372" t="s">
        <v>13470</v>
      </c>
      <c r="C2093" s="372" t="s">
        <v>13471</v>
      </c>
      <c r="D2093" s="374">
        <v>1101110408305</v>
      </c>
      <c r="E2093" s="372" t="s">
        <v>13472</v>
      </c>
      <c r="F2093" s="372" t="s">
        <v>1860</v>
      </c>
      <c r="G2093" s="375" t="s">
        <v>1861</v>
      </c>
      <c r="H2093" s="375" t="s">
        <v>858</v>
      </c>
      <c r="I2093" s="375" t="s">
        <v>859</v>
      </c>
      <c r="J2093" s="375">
        <v>212321.03086</v>
      </c>
      <c r="K2093" s="375">
        <v>8920.3871799999997</v>
      </c>
      <c r="L2093" s="375">
        <v>6607.4160300000003</v>
      </c>
      <c r="M2093" s="375">
        <v>108658.27765</v>
      </c>
      <c r="N2093" s="372">
        <v>1.1279999999999999</v>
      </c>
      <c r="O2093" s="704">
        <v>217.34028192470115</v>
      </c>
      <c r="P2093" s="563" t="s">
        <v>619</v>
      </c>
      <c r="Q2093" s="372" t="s">
        <v>619</v>
      </c>
      <c r="R2093" s="696">
        <v>19941130</v>
      </c>
      <c r="S2093" s="372" t="s">
        <v>13473</v>
      </c>
      <c r="T2093" s="697">
        <v>0.20900000000000002</v>
      </c>
      <c r="U2093" s="372" t="s">
        <v>13474</v>
      </c>
      <c r="V2093" s="722">
        <v>6.6</v>
      </c>
      <c r="W2093" s="722">
        <v>0.41</v>
      </c>
      <c r="X2093" s="722">
        <v>0.21</v>
      </c>
      <c r="Y2093" s="722">
        <v>9.69</v>
      </c>
      <c r="Z2093" s="382" t="s">
        <v>924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13475</v>
      </c>
      <c r="B2094" s="372" t="s">
        <v>13476</v>
      </c>
      <c r="C2094" s="372" t="s">
        <v>13477</v>
      </c>
      <c r="D2094" s="374">
        <v>1345110080529</v>
      </c>
      <c r="E2094" s="372" t="s">
        <v>13478</v>
      </c>
      <c r="F2094" s="372" t="s">
        <v>3972</v>
      </c>
      <c r="G2094" s="375" t="s">
        <v>11338</v>
      </c>
      <c r="H2094" s="375" t="s">
        <v>858</v>
      </c>
      <c r="I2094" s="375" t="s">
        <v>859</v>
      </c>
      <c r="J2094" s="375">
        <v>107177.37758</v>
      </c>
      <c r="K2094" s="375">
        <v>4552.6135599999998</v>
      </c>
      <c r="L2094" s="375">
        <v>4803.7659100000001</v>
      </c>
      <c r="M2094" s="375">
        <v>69189.778309999994</v>
      </c>
      <c r="N2094" s="372">
        <v>0.47199999999999998</v>
      </c>
      <c r="O2094" s="704">
        <v>55.976105941656392</v>
      </c>
      <c r="P2094" s="563" t="s">
        <v>619</v>
      </c>
      <c r="Q2094" s="372" t="s">
        <v>619</v>
      </c>
      <c r="R2094" s="696">
        <v>20190820</v>
      </c>
      <c r="S2094" s="372" t="s">
        <v>13479</v>
      </c>
      <c r="T2094" s="697">
        <v>0.20900000000000002</v>
      </c>
      <c r="U2094" s="372" t="s">
        <v>13480</v>
      </c>
      <c r="V2094" s="722">
        <v>0</v>
      </c>
      <c r="W2094" s="722">
        <v>0</v>
      </c>
      <c r="X2094" s="722">
        <v>0</v>
      </c>
      <c r="Y2094" s="722">
        <v>0</v>
      </c>
      <c r="Z2094" s="382" t="s">
        <v>924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13481</v>
      </c>
      <c r="B2095" s="372" t="s">
        <v>13482</v>
      </c>
      <c r="C2095" s="372" t="s">
        <v>13483</v>
      </c>
      <c r="D2095" s="374">
        <v>1101111029671</v>
      </c>
      <c r="E2095" s="372" t="s">
        <v>13484</v>
      </c>
      <c r="F2095" s="372" t="s">
        <v>1793</v>
      </c>
      <c r="G2095" s="375" t="s">
        <v>2794</v>
      </c>
      <c r="H2095" s="375" t="s">
        <v>858</v>
      </c>
      <c r="I2095" s="375" t="s">
        <v>859</v>
      </c>
      <c r="J2095" s="375">
        <v>139075.65669999999</v>
      </c>
      <c r="K2095" s="375">
        <v>-11209.73776</v>
      </c>
      <c r="L2095" s="375">
        <v>-15178.14668</v>
      </c>
      <c r="M2095" s="375">
        <v>79368.578540000002</v>
      </c>
      <c r="N2095" s="372">
        <v>0.90300000000000002</v>
      </c>
      <c r="O2095" s="704">
        <v>110.97095409957194</v>
      </c>
      <c r="P2095" s="563" t="s">
        <v>619</v>
      </c>
      <c r="Q2095" s="372" t="s">
        <v>619</v>
      </c>
      <c r="R2095" s="696">
        <v>20000825</v>
      </c>
      <c r="S2095" s="372" t="s">
        <v>13485</v>
      </c>
      <c r="T2095" s="697" t="s">
        <v>768</v>
      </c>
      <c r="U2095" s="372" t="s">
        <v>16309</v>
      </c>
      <c r="V2095" s="722" t="s">
        <v>770</v>
      </c>
      <c r="W2095" s="722">
        <v>0.39</v>
      </c>
      <c r="X2095" s="722">
        <v>0.23</v>
      </c>
      <c r="Y2095" s="722" t="s">
        <v>770</v>
      </c>
      <c r="Z2095" s="382" t="s">
        <v>924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13486</v>
      </c>
      <c r="B2096" s="372" t="s">
        <v>13487</v>
      </c>
      <c r="C2096" s="372" t="s">
        <v>13488</v>
      </c>
      <c r="D2096" s="374">
        <v>1101110212889</v>
      </c>
      <c r="E2096" s="372" t="s">
        <v>13489</v>
      </c>
      <c r="F2096" s="372" t="s">
        <v>4123</v>
      </c>
      <c r="G2096" s="375" t="s">
        <v>13490</v>
      </c>
      <c r="H2096" s="375" t="s">
        <v>1040</v>
      </c>
      <c r="I2096" s="375" t="s">
        <v>751</v>
      </c>
      <c r="J2096" s="375">
        <v>378542.18161000003</v>
      </c>
      <c r="K2096" s="375">
        <v>-10326.67641</v>
      </c>
      <c r="L2096" s="375">
        <v>-12693.46464</v>
      </c>
      <c r="M2096" s="375">
        <v>111912.58104</v>
      </c>
      <c r="N2096" s="372">
        <v>0.81599999999999995</v>
      </c>
      <c r="O2096" s="704">
        <v>132.10799251659702</v>
      </c>
      <c r="P2096" s="563" t="s">
        <v>619</v>
      </c>
      <c r="Q2096" s="372" t="s">
        <v>619</v>
      </c>
      <c r="R2096" s="696">
        <v>19880706</v>
      </c>
      <c r="S2096" s="372" t="s">
        <v>13491</v>
      </c>
      <c r="T2096" s="697" t="s">
        <v>768</v>
      </c>
      <c r="U2096" s="372" t="s">
        <v>13492</v>
      </c>
      <c r="V2096" s="722" t="s">
        <v>770</v>
      </c>
      <c r="W2096" s="722">
        <v>0.39</v>
      </c>
      <c r="X2096" s="722">
        <v>0.12</v>
      </c>
      <c r="Y2096" s="722" t="s">
        <v>770</v>
      </c>
      <c r="Z2096" s="382" t="s">
        <v>924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13493</v>
      </c>
      <c r="B2097" s="372" t="s">
        <v>13494</v>
      </c>
      <c r="C2097" s="372" t="s">
        <v>13495</v>
      </c>
      <c r="D2097" s="374">
        <v>1341110005351</v>
      </c>
      <c r="E2097" s="372" t="s">
        <v>13496</v>
      </c>
      <c r="F2097" s="372" t="s">
        <v>618</v>
      </c>
      <c r="G2097" s="375" t="s">
        <v>618</v>
      </c>
      <c r="H2097" s="375" t="s">
        <v>858</v>
      </c>
      <c r="I2097" s="375" t="s">
        <v>859</v>
      </c>
      <c r="J2097" s="375">
        <v>148764.16654000001</v>
      </c>
      <c r="K2097" s="375">
        <v>4257.6806900000001</v>
      </c>
      <c r="L2097" s="375">
        <v>5376.0804799999996</v>
      </c>
      <c r="M2097" s="375">
        <v>99878.773360000007</v>
      </c>
      <c r="N2097" s="372">
        <v>0.88200000000000001</v>
      </c>
      <c r="O2097" s="704">
        <v>0</v>
      </c>
      <c r="P2097" s="563" t="s">
        <v>619</v>
      </c>
      <c r="Q2097" s="372" t="s">
        <v>619</v>
      </c>
      <c r="R2097" s="696">
        <v>19970714</v>
      </c>
      <c r="S2097" s="372" t="s">
        <v>13497</v>
      </c>
      <c r="T2097" s="697">
        <v>0.20900000000000002</v>
      </c>
      <c r="U2097" s="372" t="s">
        <v>13498</v>
      </c>
      <c r="V2097" s="722">
        <v>4.76</v>
      </c>
      <c r="W2097" s="722">
        <v>0.4</v>
      </c>
      <c r="X2097" s="722">
        <v>0.27</v>
      </c>
      <c r="Y2097" s="722">
        <v>7.71</v>
      </c>
      <c r="Z2097" s="382" t="s">
        <v>924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13499</v>
      </c>
      <c r="B2098" s="372" t="s">
        <v>13500</v>
      </c>
      <c r="C2098" s="372" t="s">
        <v>13501</v>
      </c>
      <c r="D2098" s="374">
        <v>1101110138382</v>
      </c>
      <c r="E2098" s="372" t="s">
        <v>13502</v>
      </c>
      <c r="F2098" s="372" t="s">
        <v>2861</v>
      </c>
      <c r="G2098" s="375" t="s">
        <v>2862</v>
      </c>
      <c r="H2098" s="375" t="s">
        <v>858</v>
      </c>
      <c r="I2098" s="375" t="s">
        <v>859</v>
      </c>
      <c r="J2098" s="375">
        <v>80873.829960000003</v>
      </c>
      <c r="K2098" s="375">
        <v>6058.5754200000001</v>
      </c>
      <c r="L2098" s="375">
        <v>8366.4115500000007</v>
      </c>
      <c r="M2098" s="375">
        <v>91613.934389999995</v>
      </c>
      <c r="N2098" s="372">
        <v>0.48199999999999998</v>
      </c>
      <c r="O2098" s="704">
        <v>0</v>
      </c>
      <c r="P2098" s="563" t="s">
        <v>619</v>
      </c>
      <c r="Q2098" s="372" t="s">
        <v>619</v>
      </c>
      <c r="R2098" s="696">
        <v>19921211</v>
      </c>
      <c r="S2098" s="372" t="s">
        <v>13503</v>
      </c>
      <c r="T2098" s="697">
        <v>0.20900000000000002</v>
      </c>
      <c r="U2098" s="372" t="s">
        <v>13504</v>
      </c>
      <c r="V2098" s="722">
        <v>7.35</v>
      </c>
      <c r="W2098" s="722">
        <v>0.61</v>
      </c>
      <c r="X2098" s="722">
        <v>0.72</v>
      </c>
      <c r="Y2098" s="722">
        <v>8.84</v>
      </c>
      <c r="Z2098" s="382" t="s">
        <v>924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13505</v>
      </c>
      <c r="B2099" s="372" t="s">
        <v>13506</v>
      </c>
      <c r="C2099" s="372" t="s">
        <v>13507</v>
      </c>
      <c r="D2099" s="374">
        <v>0</v>
      </c>
      <c r="E2099" s="372" t="s">
        <v>13508</v>
      </c>
      <c r="F2099" s="372" t="s">
        <v>890</v>
      </c>
      <c r="G2099" s="375" t="s">
        <v>891</v>
      </c>
      <c r="H2099" s="375">
        <v>0</v>
      </c>
      <c r="I2099" s="375" t="s">
        <v>859</v>
      </c>
      <c r="J2099" s="375">
        <v>70205.603000000003</v>
      </c>
      <c r="K2099" s="375">
        <v>6437.1350000000002</v>
      </c>
      <c r="L2099" s="375">
        <v>6969.1850000000004</v>
      </c>
      <c r="M2099" s="375">
        <v>297153.19500000001</v>
      </c>
      <c r="N2099" s="372">
        <v>0.753</v>
      </c>
      <c r="O2099" s="704">
        <v>0</v>
      </c>
      <c r="P2099" s="563" t="s">
        <v>619</v>
      </c>
      <c r="Q2099" s="372" t="s">
        <v>619</v>
      </c>
      <c r="R2099" s="696">
        <v>20100423</v>
      </c>
      <c r="S2099" s="372" t="s">
        <v>13509</v>
      </c>
      <c r="T2099" s="697">
        <v>0.20900000000000002</v>
      </c>
      <c r="U2099" s="372" t="s">
        <v>13510</v>
      </c>
      <c r="V2099" s="722">
        <v>3.17</v>
      </c>
      <c r="W2099" s="722">
        <v>0.1</v>
      </c>
      <c r="X2099" s="722">
        <v>0.43</v>
      </c>
      <c r="Y2099" s="722">
        <v>6.87</v>
      </c>
      <c r="Z2099" s="382" t="s">
        <v>924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13511</v>
      </c>
      <c r="B2100" s="372" t="s">
        <v>13512</v>
      </c>
      <c r="C2100" s="372" t="s">
        <v>13513</v>
      </c>
      <c r="D2100" s="374">
        <v>1101110896683</v>
      </c>
      <c r="E2100" s="372" t="s">
        <v>13514</v>
      </c>
      <c r="F2100" s="372" t="s">
        <v>2831</v>
      </c>
      <c r="G2100" s="375" t="s">
        <v>2831</v>
      </c>
      <c r="H2100" s="375" t="s">
        <v>858</v>
      </c>
      <c r="I2100" s="375" t="s">
        <v>859</v>
      </c>
      <c r="J2100" s="375">
        <v>73764.506569999998</v>
      </c>
      <c r="K2100" s="375">
        <v>-3880.82638</v>
      </c>
      <c r="L2100" s="375">
        <v>-662.9615</v>
      </c>
      <c r="M2100" s="375">
        <v>96893.172059999997</v>
      </c>
      <c r="N2100" s="372">
        <v>0.81599999999999995</v>
      </c>
      <c r="O2100" s="704">
        <v>1.8818962451489059</v>
      </c>
      <c r="P2100" s="563" t="s">
        <v>619</v>
      </c>
      <c r="Q2100" s="372" t="s">
        <v>619</v>
      </c>
      <c r="R2100" s="696">
        <v>20000502</v>
      </c>
      <c r="S2100" s="372" t="s">
        <v>13515</v>
      </c>
      <c r="T2100" s="697" t="s">
        <v>768</v>
      </c>
      <c r="U2100" s="372" t="s">
        <v>13516</v>
      </c>
      <c r="V2100" s="722" t="s">
        <v>770</v>
      </c>
      <c r="W2100" s="722">
        <v>0.39</v>
      </c>
      <c r="X2100" s="722">
        <v>0.56000000000000005</v>
      </c>
      <c r="Y2100" s="722" t="s">
        <v>770</v>
      </c>
      <c r="Z2100" s="382" t="s">
        <v>924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13517</v>
      </c>
      <c r="B2101" s="372" t="s">
        <v>13518</v>
      </c>
      <c r="C2101" s="372" t="s">
        <v>13519</v>
      </c>
      <c r="D2101" s="374">
        <v>1311110110921</v>
      </c>
      <c r="E2101" s="372" t="s">
        <v>13520</v>
      </c>
      <c r="F2101" s="372" t="s">
        <v>1182</v>
      </c>
      <c r="G2101" s="375" t="s">
        <v>3112</v>
      </c>
      <c r="H2101" s="375" t="s">
        <v>858</v>
      </c>
      <c r="I2101" s="375" t="s">
        <v>859</v>
      </c>
      <c r="J2101" s="375">
        <v>46388.620009999999</v>
      </c>
      <c r="K2101" s="375">
        <v>-6107.8950800000002</v>
      </c>
      <c r="L2101" s="375">
        <v>-7210.9065099999998</v>
      </c>
      <c r="M2101" s="375">
        <v>24721.022540000002</v>
      </c>
      <c r="N2101" s="372">
        <v>1.115</v>
      </c>
      <c r="O2101" s="704">
        <v>76.796242376660089</v>
      </c>
      <c r="P2101" s="563" t="s">
        <v>619</v>
      </c>
      <c r="Q2101" s="372" t="s">
        <v>619</v>
      </c>
      <c r="R2101" s="696">
        <v>20141029</v>
      </c>
      <c r="S2101" s="372" t="s">
        <v>13521</v>
      </c>
      <c r="T2101" s="697" t="s">
        <v>768</v>
      </c>
      <c r="U2101" s="372" t="s">
        <v>13522</v>
      </c>
      <c r="V2101" s="722" t="s">
        <v>770</v>
      </c>
      <c r="W2101" s="722">
        <v>1.3</v>
      </c>
      <c r="X2101" s="722">
        <v>0.74</v>
      </c>
      <c r="Y2101" s="722" t="s">
        <v>770</v>
      </c>
      <c r="Z2101" s="382" t="s">
        <v>924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13523</v>
      </c>
      <c r="B2102" s="372" t="s">
        <v>13524</v>
      </c>
      <c r="C2102" s="372" t="s">
        <v>13525</v>
      </c>
      <c r="D2102" s="374">
        <v>1101115546217</v>
      </c>
      <c r="E2102" s="372" t="s">
        <v>13526</v>
      </c>
      <c r="F2102" s="372" t="s">
        <v>1272</v>
      </c>
      <c r="G2102" s="375" t="s">
        <v>1272</v>
      </c>
      <c r="H2102" s="375" t="s">
        <v>858</v>
      </c>
      <c r="I2102" s="375" t="s">
        <v>859</v>
      </c>
      <c r="J2102" s="375">
        <v>148002.86147</v>
      </c>
      <c r="K2102" s="375">
        <v>-4557.9828900000002</v>
      </c>
      <c r="L2102" s="375">
        <v>-9879.7453100000002</v>
      </c>
      <c r="M2102" s="375">
        <v>52689.570449999999</v>
      </c>
      <c r="N2102" s="372">
        <v>0.69299999999999995</v>
      </c>
      <c r="O2102" s="704">
        <v>46.061738491492449</v>
      </c>
      <c r="P2102" s="563" t="s">
        <v>619</v>
      </c>
      <c r="Q2102" s="372" t="s">
        <v>619</v>
      </c>
      <c r="R2102" s="696">
        <v>20141224</v>
      </c>
      <c r="S2102" s="372" t="s">
        <v>13527</v>
      </c>
      <c r="T2102" s="697" t="s">
        <v>768</v>
      </c>
      <c r="U2102" s="372" t="s">
        <v>13528</v>
      </c>
      <c r="V2102" s="722">
        <v>3.76</v>
      </c>
      <c r="W2102" s="722">
        <v>0.56999999999999995</v>
      </c>
      <c r="X2102" s="722">
        <v>0.2</v>
      </c>
      <c r="Y2102" s="722" t="s">
        <v>770</v>
      </c>
      <c r="Z2102" s="382" t="s">
        <v>924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13529</v>
      </c>
      <c r="B2103" s="372" t="s">
        <v>13530</v>
      </c>
      <c r="C2103" s="372" t="s">
        <v>13531</v>
      </c>
      <c r="D2103" s="374">
        <v>1311110001964</v>
      </c>
      <c r="E2103" s="372" t="s">
        <v>13532</v>
      </c>
      <c r="F2103" s="372" t="s">
        <v>2831</v>
      </c>
      <c r="G2103" s="375" t="s">
        <v>2831</v>
      </c>
      <c r="H2103" s="375" t="s">
        <v>858</v>
      </c>
      <c r="I2103" s="375" t="s">
        <v>859</v>
      </c>
      <c r="J2103" s="375">
        <v>140230.21656999999</v>
      </c>
      <c r="K2103" s="375">
        <v>-16210.56985</v>
      </c>
      <c r="L2103" s="375">
        <v>-17862.895830000001</v>
      </c>
      <c r="M2103" s="375">
        <v>25267.738000000001</v>
      </c>
      <c r="N2103" s="372">
        <v>0.7</v>
      </c>
      <c r="O2103" s="704">
        <v>50.98258612537898</v>
      </c>
      <c r="P2103" s="563" t="s">
        <v>16112</v>
      </c>
      <c r="Q2103" s="372" t="s">
        <v>16113</v>
      </c>
      <c r="R2103" s="696">
        <v>20000114</v>
      </c>
      <c r="S2103" s="372" t="s">
        <v>13533</v>
      </c>
      <c r="T2103" s="697" t="s">
        <v>768</v>
      </c>
      <c r="U2103" s="372" t="s">
        <v>13534</v>
      </c>
      <c r="V2103" s="722" t="s">
        <v>770</v>
      </c>
      <c r="W2103" s="722">
        <v>1.88</v>
      </c>
      <c r="X2103" s="722">
        <v>0.33</v>
      </c>
      <c r="Y2103" s="722" t="s">
        <v>770</v>
      </c>
      <c r="Z2103" s="382" t="s">
        <v>924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13535</v>
      </c>
      <c r="B2104" s="372" t="s">
        <v>13536</v>
      </c>
      <c r="C2104" s="372" t="s">
        <v>13537</v>
      </c>
      <c r="D2104" s="374">
        <v>1901110003563</v>
      </c>
      <c r="E2104" s="372" t="s">
        <v>13538</v>
      </c>
      <c r="F2104" s="372" t="s">
        <v>1951</v>
      </c>
      <c r="G2104" s="375" t="s">
        <v>7831</v>
      </c>
      <c r="H2104" s="375" t="s">
        <v>1313</v>
      </c>
      <c r="I2104" s="375" t="s">
        <v>751</v>
      </c>
      <c r="J2104" s="375">
        <v>103590.63724</v>
      </c>
      <c r="K2104" s="375">
        <v>14881.10493</v>
      </c>
      <c r="L2104" s="375">
        <v>2440.1884399999999</v>
      </c>
      <c r="M2104" s="375">
        <v>93416.701690000002</v>
      </c>
      <c r="N2104" s="372">
        <v>0.62</v>
      </c>
      <c r="O2104" s="704">
        <v>592.5088548319784</v>
      </c>
      <c r="P2104" s="563" t="s">
        <v>619</v>
      </c>
      <c r="Q2104" s="372" t="s">
        <v>619</v>
      </c>
      <c r="R2104" s="696">
        <v>19961224</v>
      </c>
      <c r="S2104" s="372" t="s">
        <v>13539</v>
      </c>
      <c r="T2104" s="697">
        <v>0.20900000000000002</v>
      </c>
      <c r="U2104" s="372" t="s">
        <v>13540</v>
      </c>
      <c r="V2104" s="722">
        <v>8.49</v>
      </c>
      <c r="W2104" s="722">
        <v>0.56999999999999995</v>
      </c>
      <c r="X2104" s="722">
        <v>0.42</v>
      </c>
      <c r="Y2104" s="722">
        <v>19.77</v>
      </c>
      <c r="Z2104" s="382" t="s">
        <v>924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13541</v>
      </c>
      <c r="B2105" s="372" t="s">
        <v>13542</v>
      </c>
      <c r="C2105" s="372" t="s">
        <v>13543</v>
      </c>
      <c r="D2105" s="374">
        <v>1101117171731</v>
      </c>
      <c r="E2105" s="372" t="s">
        <v>13544</v>
      </c>
      <c r="F2105" s="372" t="s">
        <v>1367</v>
      </c>
      <c r="G2105" s="375" t="s">
        <v>1367</v>
      </c>
      <c r="H2105" s="375" t="s">
        <v>858</v>
      </c>
      <c r="I2105" s="375" t="s">
        <v>859</v>
      </c>
      <c r="J2105" s="375">
        <v>35376.921309999998</v>
      </c>
      <c r="K2105" s="375">
        <v>-484.10699</v>
      </c>
      <c r="L2105" s="375">
        <v>503.52390000000003</v>
      </c>
      <c r="M2105" s="375">
        <v>29211.64329</v>
      </c>
      <c r="N2105" s="372">
        <v>1.0489999999999999</v>
      </c>
      <c r="O2105" s="704">
        <v>26.797274546854354</v>
      </c>
      <c r="P2105" s="563" t="s">
        <v>619</v>
      </c>
      <c r="Q2105" s="372" t="s">
        <v>619</v>
      </c>
      <c r="R2105" s="696">
        <v>20191029</v>
      </c>
      <c r="S2105" s="372" t="s">
        <v>9015</v>
      </c>
      <c r="T2105" s="697">
        <v>0.20900000000000002</v>
      </c>
      <c r="U2105" s="372" t="s">
        <v>13545</v>
      </c>
      <c r="V2105" s="722">
        <v>46.59</v>
      </c>
      <c r="W2105" s="722">
        <v>1.17</v>
      </c>
      <c r="X2105" s="722">
        <v>1.02</v>
      </c>
      <c r="Y2105" s="722">
        <v>201.54</v>
      </c>
      <c r="Z2105" s="382" t="s">
        <v>924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13546</v>
      </c>
      <c r="B2106" s="372" t="s">
        <v>13547</v>
      </c>
      <c r="C2106" s="372" t="s">
        <v>13548</v>
      </c>
      <c r="D2106" s="374">
        <v>1613110017531</v>
      </c>
      <c r="E2106" s="372" t="s">
        <v>13549</v>
      </c>
      <c r="F2106" s="372" t="s">
        <v>5298</v>
      </c>
      <c r="G2106" s="375" t="s">
        <v>5298</v>
      </c>
      <c r="H2106" s="375" t="s">
        <v>858</v>
      </c>
      <c r="I2106" s="375" t="s">
        <v>859</v>
      </c>
      <c r="J2106" s="375">
        <v>33900.788520000002</v>
      </c>
      <c r="K2106" s="375">
        <v>804.04812000000004</v>
      </c>
      <c r="L2106" s="375">
        <v>493.08940999999999</v>
      </c>
      <c r="M2106" s="375">
        <v>47591.161390000001</v>
      </c>
      <c r="N2106" s="372">
        <v>1.016</v>
      </c>
      <c r="O2106" s="704">
        <v>60.313121024308003</v>
      </c>
      <c r="P2106" s="563" t="s">
        <v>619</v>
      </c>
      <c r="Q2106" s="372" t="s">
        <v>619</v>
      </c>
      <c r="R2106" s="696">
        <v>20221014</v>
      </c>
      <c r="S2106" s="372" t="s">
        <v>13550</v>
      </c>
      <c r="T2106" s="697">
        <v>0.20900000000000002</v>
      </c>
      <c r="U2106" s="372" t="s">
        <v>13551</v>
      </c>
      <c r="V2106" s="722">
        <v>15.61</v>
      </c>
      <c r="W2106" s="722">
        <v>0.95</v>
      </c>
      <c r="X2106" s="722">
        <v>1</v>
      </c>
      <c r="Y2106" s="722">
        <v>84.04</v>
      </c>
      <c r="Z2106" s="382" t="s">
        <v>924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13552</v>
      </c>
      <c r="B2107" s="372" t="s">
        <v>13553</v>
      </c>
      <c r="C2107" s="372" t="s">
        <v>13554</v>
      </c>
      <c r="D2107" s="374">
        <v>1942110018855</v>
      </c>
      <c r="E2107" s="372" t="s">
        <v>13555</v>
      </c>
      <c r="F2107" s="372" t="s">
        <v>2744</v>
      </c>
      <c r="G2107" s="375" t="s">
        <v>2745</v>
      </c>
      <c r="H2107" s="375" t="s">
        <v>858</v>
      </c>
      <c r="I2107" s="375" t="s">
        <v>859</v>
      </c>
      <c r="J2107" s="375">
        <v>135121.4283</v>
      </c>
      <c r="K2107" s="375">
        <v>4114.2346100000004</v>
      </c>
      <c r="L2107" s="375">
        <v>784.38801000000001</v>
      </c>
      <c r="M2107" s="375">
        <v>100716.8385</v>
      </c>
      <c r="N2107" s="372">
        <v>0.40500000000000003</v>
      </c>
      <c r="O2107" s="704">
        <v>170.94188104805923</v>
      </c>
      <c r="P2107" s="563" t="s">
        <v>619</v>
      </c>
      <c r="Q2107" s="372" t="s">
        <v>619</v>
      </c>
      <c r="R2107" s="696">
        <v>20000404</v>
      </c>
      <c r="S2107" s="372" t="s">
        <v>13556</v>
      </c>
      <c r="T2107" s="697">
        <v>0.20900000000000002</v>
      </c>
      <c r="U2107" s="372" t="s">
        <v>13557</v>
      </c>
      <c r="V2107" s="722">
        <v>9.0299999999999994</v>
      </c>
      <c r="W2107" s="722">
        <v>0.55000000000000004</v>
      </c>
      <c r="X2107" s="722">
        <v>0.39</v>
      </c>
      <c r="Y2107" s="722">
        <v>101.26</v>
      </c>
      <c r="Z2107" s="382" t="s">
        <v>924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13558</v>
      </c>
      <c r="B2108" s="372" t="s">
        <v>13559</v>
      </c>
      <c r="C2108" s="372" t="s">
        <v>13560</v>
      </c>
      <c r="D2108" s="374">
        <v>2112110000553</v>
      </c>
      <c r="E2108" s="372" t="s">
        <v>13561</v>
      </c>
      <c r="F2108" s="372" t="s">
        <v>2411</v>
      </c>
      <c r="G2108" s="375" t="s">
        <v>2411</v>
      </c>
      <c r="H2108" s="375" t="s">
        <v>858</v>
      </c>
      <c r="I2108" s="375" t="s">
        <v>859</v>
      </c>
      <c r="J2108" s="375">
        <v>84976.744080000004</v>
      </c>
      <c r="K2108" s="375">
        <v>714.60037999999997</v>
      </c>
      <c r="L2108" s="375">
        <v>372.76794999999998</v>
      </c>
      <c r="M2108" s="375">
        <v>28909.513350000001</v>
      </c>
      <c r="N2108" s="372">
        <v>0.754</v>
      </c>
      <c r="O2108" s="704">
        <v>152.97983553210784</v>
      </c>
      <c r="P2108" s="563" t="s">
        <v>619</v>
      </c>
      <c r="Q2108" s="372" t="s">
        <v>619</v>
      </c>
      <c r="R2108" s="696">
        <v>20001201</v>
      </c>
      <c r="S2108" s="372" t="s">
        <v>13562</v>
      </c>
      <c r="T2108" s="697">
        <v>0.20900000000000002</v>
      </c>
      <c r="U2108" s="372" t="s">
        <v>13563</v>
      </c>
      <c r="V2108" s="722">
        <v>12.24</v>
      </c>
      <c r="W2108" s="722">
        <v>1.0900000000000001</v>
      </c>
      <c r="X2108" s="722">
        <v>0.41</v>
      </c>
      <c r="Y2108" s="722">
        <v>32.21</v>
      </c>
      <c r="Z2108" s="382" t="s">
        <v>924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13564</v>
      </c>
      <c r="B2109" s="372" t="s">
        <v>13565</v>
      </c>
      <c r="C2109" s="372" t="s">
        <v>13566</v>
      </c>
      <c r="D2109" s="374">
        <v>1201110060450</v>
      </c>
      <c r="E2109" s="372" t="s">
        <v>13567</v>
      </c>
      <c r="F2109" s="372" t="s">
        <v>4868</v>
      </c>
      <c r="G2109" s="375" t="s">
        <v>4868</v>
      </c>
      <c r="H2109" s="375" t="s">
        <v>858</v>
      </c>
      <c r="I2109" s="375" t="s">
        <v>859</v>
      </c>
      <c r="J2109" s="375">
        <v>138026.93971999999</v>
      </c>
      <c r="K2109" s="375">
        <v>9666.7336899999991</v>
      </c>
      <c r="L2109" s="375">
        <v>3606.63031</v>
      </c>
      <c r="M2109" s="375">
        <v>66313.616540000003</v>
      </c>
      <c r="N2109" s="372">
        <v>0.82699999999999996</v>
      </c>
      <c r="O2109" s="704">
        <v>144.71936986136481</v>
      </c>
      <c r="P2109" s="563" t="s">
        <v>619</v>
      </c>
      <c r="Q2109" s="372" t="s">
        <v>619</v>
      </c>
      <c r="R2109" s="696">
        <v>20030122</v>
      </c>
      <c r="S2109" s="372" t="s">
        <v>13568</v>
      </c>
      <c r="T2109" s="697">
        <v>0.20900000000000002</v>
      </c>
      <c r="U2109" s="372" t="s">
        <v>13569</v>
      </c>
      <c r="V2109" s="722">
        <v>6.5</v>
      </c>
      <c r="W2109" s="722">
        <v>0.8</v>
      </c>
      <c r="X2109" s="722">
        <v>0.38</v>
      </c>
      <c r="Y2109" s="722">
        <v>19.829999999999998</v>
      </c>
      <c r="Z2109" s="382" t="s">
        <v>924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13570</v>
      </c>
      <c r="B2110" s="372" t="s">
        <v>13571</v>
      </c>
      <c r="C2110" s="372" t="s">
        <v>13572</v>
      </c>
      <c r="D2110" s="374">
        <v>1752110007968</v>
      </c>
      <c r="E2110" s="372" t="s">
        <v>13573</v>
      </c>
      <c r="F2110" s="372" t="s">
        <v>16097</v>
      </c>
      <c r="G2110" s="375" t="s">
        <v>16100</v>
      </c>
      <c r="H2110" s="375" t="s">
        <v>858</v>
      </c>
      <c r="I2110" s="375" t="s">
        <v>859</v>
      </c>
      <c r="J2110" s="375">
        <v>14965.348620000001</v>
      </c>
      <c r="K2110" s="375">
        <v>-6119.1367300000002</v>
      </c>
      <c r="L2110" s="375">
        <v>-5633.8150500000002</v>
      </c>
      <c r="M2110" s="375">
        <v>59143.525410000002</v>
      </c>
      <c r="N2110" s="372">
        <v>0.51</v>
      </c>
      <c r="O2110" s="704">
        <v>16.326673708300479</v>
      </c>
      <c r="P2110" s="563" t="s">
        <v>619</v>
      </c>
      <c r="Q2110" s="372" t="s">
        <v>619</v>
      </c>
      <c r="R2110" s="696">
        <v>20190701</v>
      </c>
      <c r="S2110" s="372" t="s">
        <v>13574</v>
      </c>
      <c r="T2110" s="697" t="s">
        <v>768</v>
      </c>
      <c r="U2110" s="372" t="s">
        <v>13575</v>
      </c>
      <c r="V2110" s="722">
        <v>0</v>
      </c>
      <c r="W2110" s="722">
        <v>0</v>
      </c>
      <c r="X2110" s="722">
        <v>0</v>
      </c>
      <c r="Y2110" s="722">
        <v>0</v>
      </c>
      <c r="Z2110" s="382" t="s">
        <v>924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13576</v>
      </c>
      <c r="B2111" s="372" t="s">
        <v>13577</v>
      </c>
      <c r="C2111" s="372" t="s">
        <v>13578</v>
      </c>
      <c r="D2111" s="374">
        <v>1341110063143</v>
      </c>
      <c r="E2111" s="372" t="s">
        <v>13579</v>
      </c>
      <c r="F2111" s="372" t="s">
        <v>2051</v>
      </c>
      <c r="G2111" s="375" t="s">
        <v>2052</v>
      </c>
      <c r="H2111" s="375" t="s">
        <v>858</v>
      </c>
      <c r="I2111" s="375" t="s">
        <v>859</v>
      </c>
      <c r="J2111" s="375">
        <v>11338.614960000001</v>
      </c>
      <c r="K2111" s="375">
        <v>-9428.5033700000004</v>
      </c>
      <c r="L2111" s="375">
        <v>-11076.84528</v>
      </c>
      <c r="M2111" s="375">
        <v>43573.155740000002</v>
      </c>
      <c r="N2111" s="372">
        <v>0.60599999999999998</v>
      </c>
      <c r="O2111" s="704">
        <v>42.176329874796686</v>
      </c>
      <c r="P2111" s="563" t="s">
        <v>619</v>
      </c>
      <c r="Q2111" s="372" t="s">
        <v>619</v>
      </c>
      <c r="R2111" s="696">
        <v>20151214</v>
      </c>
      <c r="S2111" s="372" t="s">
        <v>13580</v>
      </c>
      <c r="T2111" s="697" t="s">
        <v>768</v>
      </c>
      <c r="U2111" s="372" t="s">
        <v>13581</v>
      </c>
      <c r="V2111" s="722" t="s">
        <v>770</v>
      </c>
      <c r="W2111" s="722">
        <v>0.87</v>
      </c>
      <c r="X2111" s="722">
        <v>3.7</v>
      </c>
      <c r="Y2111" s="722" t="s">
        <v>770</v>
      </c>
      <c r="Z2111" s="382" t="s">
        <v>924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13582</v>
      </c>
      <c r="B2112" s="372" t="s">
        <v>13583</v>
      </c>
      <c r="C2112" s="372" t="s">
        <v>13584</v>
      </c>
      <c r="D2112" s="374">
        <v>1801110027078</v>
      </c>
      <c r="E2112" s="372" t="s">
        <v>13585</v>
      </c>
      <c r="F2112" s="372" t="s">
        <v>2004</v>
      </c>
      <c r="G2112" s="375" t="s">
        <v>2004</v>
      </c>
      <c r="H2112" s="375" t="s">
        <v>789</v>
      </c>
      <c r="I2112" s="375" t="s">
        <v>751</v>
      </c>
      <c r="J2112" s="375">
        <v>307660.40359</v>
      </c>
      <c r="K2112" s="375">
        <v>10026.513929999999</v>
      </c>
      <c r="L2112" s="375">
        <v>8363.3059300000004</v>
      </c>
      <c r="M2112" s="375">
        <v>70988.827149999997</v>
      </c>
      <c r="N2112" s="372">
        <v>0.54100000000000004</v>
      </c>
      <c r="O2112" s="704">
        <v>216.69117479287854</v>
      </c>
      <c r="P2112" s="563" t="s">
        <v>619</v>
      </c>
      <c r="Q2112" s="372" t="s">
        <v>619</v>
      </c>
      <c r="R2112" s="696">
        <v>19900125</v>
      </c>
      <c r="S2112" s="372" t="s">
        <v>13586</v>
      </c>
      <c r="T2112" s="697">
        <v>0.20900000000000002</v>
      </c>
      <c r="U2112" s="372" t="s">
        <v>13587</v>
      </c>
      <c r="V2112" s="722">
        <v>0</v>
      </c>
      <c r="W2112" s="722">
        <v>0</v>
      </c>
      <c r="X2112" s="722">
        <v>0</v>
      </c>
      <c r="Y2112" s="722">
        <v>0</v>
      </c>
      <c r="Z2112" s="382" t="s">
        <v>924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13588</v>
      </c>
      <c r="B2113" s="372" t="s">
        <v>13589</v>
      </c>
      <c r="C2113" s="372" t="s">
        <v>13590</v>
      </c>
      <c r="D2113" s="374">
        <v>1101111353153</v>
      </c>
      <c r="E2113" s="372" t="s">
        <v>13591</v>
      </c>
      <c r="F2113" s="372" t="s">
        <v>2831</v>
      </c>
      <c r="G2113" s="375" t="s">
        <v>2831</v>
      </c>
      <c r="H2113" s="375" t="s">
        <v>858</v>
      </c>
      <c r="I2113" s="375" t="s">
        <v>859</v>
      </c>
      <c r="J2113" s="375">
        <v>153351.37083999999</v>
      </c>
      <c r="K2113" s="375">
        <v>12022.62235</v>
      </c>
      <c r="L2113" s="375">
        <v>13789.811</v>
      </c>
      <c r="M2113" s="375">
        <v>92618.128450000004</v>
      </c>
      <c r="N2113" s="372">
        <v>0.90700000000000003</v>
      </c>
      <c r="O2113" s="704">
        <v>40.448666328958865</v>
      </c>
      <c r="P2113" s="563" t="s">
        <v>619</v>
      </c>
      <c r="Q2113" s="372" t="s">
        <v>619</v>
      </c>
      <c r="R2113" s="696">
        <v>20020201</v>
      </c>
      <c r="S2113" s="372" t="s">
        <v>13592</v>
      </c>
      <c r="T2113" s="697">
        <v>0.20900000000000002</v>
      </c>
      <c r="U2113" s="372" t="s">
        <v>13593</v>
      </c>
      <c r="V2113" s="722">
        <v>4.71</v>
      </c>
      <c r="W2113" s="722">
        <v>0.6</v>
      </c>
      <c r="X2113" s="722">
        <v>0.26</v>
      </c>
      <c r="Y2113" s="722">
        <v>3.69</v>
      </c>
      <c r="Z2113" s="382" t="s">
        <v>924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13594</v>
      </c>
      <c r="B2114" s="372" t="s">
        <v>13595</v>
      </c>
      <c r="C2114" s="372" t="s">
        <v>13596</v>
      </c>
      <c r="D2114" s="374">
        <v>1101110555479</v>
      </c>
      <c r="E2114" s="372" t="s">
        <v>13597</v>
      </c>
      <c r="F2114" s="372" t="s">
        <v>13598</v>
      </c>
      <c r="G2114" s="375" t="s">
        <v>13598</v>
      </c>
      <c r="H2114" s="375" t="s">
        <v>3096</v>
      </c>
      <c r="I2114" s="375" t="s">
        <v>859</v>
      </c>
      <c r="J2114" s="375">
        <v>64695.131959999999</v>
      </c>
      <c r="K2114" s="375">
        <v>-5267.8913499999999</v>
      </c>
      <c r="L2114" s="375">
        <v>-11259.37686</v>
      </c>
      <c r="M2114" s="375">
        <v>25162.268179999999</v>
      </c>
      <c r="N2114" s="372">
        <v>0.625</v>
      </c>
      <c r="O2114" s="704">
        <v>199.49041624341626</v>
      </c>
      <c r="P2114" s="563" t="s">
        <v>619</v>
      </c>
      <c r="Q2114" s="372" t="s">
        <v>619</v>
      </c>
      <c r="R2114" s="696">
        <v>20010622</v>
      </c>
      <c r="S2114" s="372" t="s">
        <v>13599</v>
      </c>
      <c r="T2114" s="697" t="s">
        <v>768</v>
      </c>
      <c r="U2114" s="372" t="s">
        <v>13600</v>
      </c>
      <c r="V2114" s="722" t="s">
        <v>770</v>
      </c>
      <c r="W2114" s="722">
        <v>0.66</v>
      </c>
      <c r="X2114" s="722">
        <v>0.33</v>
      </c>
      <c r="Y2114" s="722" t="s">
        <v>770</v>
      </c>
      <c r="Z2114" s="382" t="s">
        <v>924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13601</v>
      </c>
      <c r="B2115" s="372" t="s">
        <v>13602</v>
      </c>
      <c r="C2115" s="372" t="s">
        <v>13603</v>
      </c>
      <c r="D2115" s="374">
        <v>1301110049246</v>
      </c>
      <c r="E2115" s="372" t="s">
        <v>13604</v>
      </c>
      <c r="F2115" s="372" t="s">
        <v>1272</v>
      </c>
      <c r="G2115" s="375" t="s">
        <v>1272</v>
      </c>
      <c r="H2115" s="375" t="s">
        <v>858</v>
      </c>
      <c r="I2115" s="375" t="s">
        <v>859</v>
      </c>
      <c r="J2115" s="375">
        <v>73933.225850000003</v>
      </c>
      <c r="K2115" s="375">
        <v>3673.44803</v>
      </c>
      <c r="L2115" s="375">
        <v>4726.82503</v>
      </c>
      <c r="M2115" s="375">
        <v>73178.539189999996</v>
      </c>
      <c r="N2115" s="372">
        <v>0.78600000000000003</v>
      </c>
      <c r="O2115" s="704">
        <v>19.27671967870323</v>
      </c>
      <c r="P2115" s="563" t="s">
        <v>619</v>
      </c>
      <c r="Q2115" s="372" t="s">
        <v>619</v>
      </c>
      <c r="R2115" s="696">
        <v>20120321</v>
      </c>
      <c r="S2115" s="372" t="s">
        <v>13605</v>
      </c>
      <c r="T2115" s="697">
        <v>0.20900000000000002</v>
      </c>
      <c r="U2115" s="372" t="s">
        <v>13606</v>
      </c>
      <c r="V2115" s="722">
        <v>7.4</v>
      </c>
      <c r="W2115" s="722">
        <v>0.47</v>
      </c>
      <c r="X2115" s="722">
        <v>0.46</v>
      </c>
      <c r="Y2115" s="722">
        <v>8.7799999999999994</v>
      </c>
      <c r="Z2115" s="382" t="s">
        <v>924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13607</v>
      </c>
      <c r="B2116" s="372" t="s">
        <v>13608</v>
      </c>
      <c r="C2116" s="372" t="s">
        <v>13609</v>
      </c>
      <c r="D2116" s="374">
        <v>1101110061765</v>
      </c>
      <c r="E2116" s="372" t="s">
        <v>13610</v>
      </c>
      <c r="F2116" s="372" t="s">
        <v>1740</v>
      </c>
      <c r="G2116" s="375" t="s">
        <v>1740</v>
      </c>
      <c r="H2116" s="375" t="s">
        <v>3096</v>
      </c>
      <c r="I2116" s="375" t="s">
        <v>859</v>
      </c>
      <c r="J2116" s="375">
        <v>1285389.7169900001</v>
      </c>
      <c r="K2116" s="375">
        <v>23619.465349999999</v>
      </c>
      <c r="L2116" s="375">
        <v>17163.36479</v>
      </c>
      <c r="M2116" s="375">
        <v>338837.79845</v>
      </c>
      <c r="N2116" s="372">
        <v>0.79700000000000004</v>
      </c>
      <c r="O2116" s="704">
        <v>371.68271899043242</v>
      </c>
      <c r="P2116" s="563" t="s">
        <v>619</v>
      </c>
      <c r="Q2116" s="372" t="s">
        <v>619</v>
      </c>
      <c r="R2116" s="696">
        <v>19991214</v>
      </c>
      <c r="S2116" s="372" t="s">
        <v>13611</v>
      </c>
      <c r="T2116" s="697">
        <v>0.20900000000000002</v>
      </c>
      <c r="U2116" s="372" t="s">
        <v>15956</v>
      </c>
      <c r="V2116" s="722">
        <v>4.8499999999999996</v>
      </c>
      <c r="W2116" s="722">
        <v>0.25</v>
      </c>
      <c r="X2116" s="722">
        <v>0.03</v>
      </c>
      <c r="Y2116" s="722">
        <v>16.059999999999999</v>
      </c>
      <c r="Z2116" s="382" t="s">
        <v>924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13612</v>
      </c>
      <c r="B2117" s="372" t="s">
        <v>13613</v>
      </c>
      <c r="C2117" s="372" t="s">
        <v>13614</v>
      </c>
      <c r="D2117" s="374">
        <v>1101112753873</v>
      </c>
      <c r="E2117" s="372" t="s">
        <v>13615</v>
      </c>
      <c r="F2117" s="372" t="s">
        <v>2029</v>
      </c>
      <c r="G2117" s="375" t="s">
        <v>2030</v>
      </c>
      <c r="H2117" s="375" t="s">
        <v>1528</v>
      </c>
      <c r="I2117" s="375" t="s">
        <v>859</v>
      </c>
      <c r="J2117" s="375">
        <v>11837.72184</v>
      </c>
      <c r="K2117" s="375">
        <v>-4164.46011</v>
      </c>
      <c r="L2117" s="375">
        <v>-4281.5444299999999</v>
      </c>
      <c r="M2117" s="375">
        <v>17607.140520000001</v>
      </c>
      <c r="N2117" s="372">
        <v>0.78100000000000003</v>
      </c>
      <c r="O2117" s="704">
        <v>0.9335589219806224</v>
      </c>
      <c r="P2117" s="563" t="s">
        <v>619</v>
      </c>
      <c r="Q2117" s="372" t="s">
        <v>619</v>
      </c>
      <c r="R2117" s="696">
        <v>20141216</v>
      </c>
      <c r="S2117" s="372" t="s">
        <v>13616</v>
      </c>
      <c r="T2117" s="697" t="s">
        <v>768</v>
      </c>
      <c r="U2117" s="372" t="s">
        <v>13617</v>
      </c>
      <c r="V2117" s="722">
        <v>0</v>
      </c>
      <c r="W2117" s="722">
        <v>0</v>
      </c>
      <c r="X2117" s="722">
        <v>0</v>
      </c>
      <c r="Y2117" s="722">
        <v>0</v>
      </c>
      <c r="Z2117" s="382" t="s">
        <v>924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13618</v>
      </c>
      <c r="B2118" s="372" t="s">
        <v>13619</v>
      </c>
      <c r="C2118" s="372" t="s">
        <v>13620</v>
      </c>
      <c r="D2118" s="374">
        <v>1243110014912</v>
      </c>
      <c r="E2118" s="372" t="s">
        <v>13621</v>
      </c>
      <c r="F2118" s="372" t="s">
        <v>3215</v>
      </c>
      <c r="G2118" s="375" t="s">
        <v>3215</v>
      </c>
      <c r="H2118" s="375" t="s">
        <v>858</v>
      </c>
      <c r="I2118" s="375" t="s">
        <v>859</v>
      </c>
      <c r="J2118" s="375">
        <v>76474.448180000007</v>
      </c>
      <c r="K2118" s="375">
        <v>4677.2532700000002</v>
      </c>
      <c r="L2118" s="375">
        <v>3290.5916900000002</v>
      </c>
      <c r="M2118" s="375">
        <v>47987.717360000002</v>
      </c>
      <c r="N2118" s="372" t="s">
        <v>1023</v>
      </c>
      <c r="O2118" s="704">
        <v>104.76532545853044</v>
      </c>
      <c r="P2118" s="563" t="s">
        <v>619</v>
      </c>
      <c r="Q2118" s="372" t="s">
        <v>619</v>
      </c>
      <c r="R2118" s="696">
        <v>20230908</v>
      </c>
      <c r="S2118" s="372" t="s">
        <v>13622</v>
      </c>
      <c r="T2118" s="697">
        <v>0.20900000000000002</v>
      </c>
      <c r="U2118" s="372" t="s">
        <v>13623</v>
      </c>
      <c r="V2118" s="722">
        <v>6.41</v>
      </c>
      <c r="W2118" s="722">
        <v>0.68</v>
      </c>
      <c r="X2118" s="722">
        <v>0.41</v>
      </c>
      <c r="Y2118" s="722">
        <v>15.08</v>
      </c>
      <c r="Z2118" s="382">
        <v>8.0577702822959285E-2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990</v>
      </c>
      <c r="AH2118" s="372">
        <v>0</v>
      </c>
    </row>
    <row r="2119" spans="1:34">
      <c r="A2119" s="372" t="s">
        <v>13624</v>
      </c>
      <c r="B2119" s="372" t="s">
        <v>13625</v>
      </c>
      <c r="C2119" s="372" t="s">
        <v>13626</v>
      </c>
      <c r="D2119" s="374">
        <v>1101112376401</v>
      </c>
      <c r="E2119" s="372" t="s">
        <v>13627</v>
      </c>
      <c r="F2119" s="372" t="s">
        <v>5903</v>
      </c>
      <c r="G2119" s="375" t="s">
        <v>5903</v>
      </c>
      <c r="H2119" s="375" t="s">
        <v>858</v>
      </c>
      <c r="I2119" s="375" t="s">
        <v>859</v>
      </c>
      <c r="J2119" s="375">
        <v>83822.922739999995</v>
      </c>
      <c r="K2119" s="375">
        <v>-6691.1245399999998</v>
      </c>
      <c r="L2119" s="375">
        <v>-10924.991550000001</v>
      </c>
      <c r="M2119" s="375">
        <v>49349.751420000001</v>
      </c>
      <c r="N2119" s="372">
        <v>0.66600000000000004</v>
      </c>
      <c r="O2119" s="704">
        <v>156.8782227253397</v>
      </c>
      <c r="P2119" s="563" t="s">
        <v>619</v>
      </c>
      <c r="Q2119" s="372" t="s">
        <v>619</v>
      </c>
      <c r="R2119" s="696">
        <v>20151125</v>
      </c>
      <c r="S2119" s="372" t="s">
        <v>13628</v>
      </c>
      <c r="T2119" s="697" t="s">
        <v>768</v>
      </c>
      <c r="U2119" s="372" t="s">
        <v>13629</v>
      </c>
      <c r="V2119" s="722" t="s">
        <v>770</v>
      </c>
      <c r="W2119" s="722">
        <v>0.78</v>
      </c>
      <c r="X2119" s="722">
        <v>0.43</v>
      </c>
      <c r="Y2119" s="722" t="s">
        <v>770</v>
      </c>
      <c r="Z2119" s="382" t="s">
        <v>924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13630</v>
      </c>
      <c r="B2120" s="372" t="s">
        <v>13631</v>
      </c>
      <c r="C2120" s="372" t="s">
        <v>13632</v>
      </c>
      <c r="D2120" s="374">
        <v>2101110024308</v>
      </c>
      <c r="E2120" s="372" t="s">
        <v>13633</v>
      </c>
      <c r="F2120" s="372" t="s">
        <v>1944</v>
      </c>
      <c r="G2120" s="375" t="s">
        <v>2495</v>
      </c>
      <c r="H2120" s="375" t="s">
        <v>858</v>
      </c>
      <c r="I2120" s="375" t="s">
        <v>859</v>
      </c>
      <c r="J2120" s="375">
        <v>78227.2402</v>
      </c>
      <c r="K2120" s="375">
        <v>3553.56558</v>
      </c>
      <c r="L2120" s="375">
        <v>7195.9057400000002</v>
      </c>
      <c r="M2120" s="375">
        <v>119837.00155</v>
      </c>
      <c r="N2120" s="372">
        <v>0.84</v>
      </c>
      <c r="O2120" s="704">
        <v>12.983941240931577</v>
      </c>
      <c r="P2120" s="563" t="s">
        <v>619</v>
      </c>
      <c r="Q2120" s="372" t="s">
        <v>619</v>
      </c>
      <c r="R2120" s="696">
        <v>20100115</v>
      </c>
      <c r="S2120" s="372" t="s">
        <v>13634</v>
      </c>
      <c r="T2120" s="697">
        <v>0.20900000000000002</v>
      </c>
      <c r="U2120" s="372" t="s">
        <v>15957</v>
      </c>
      <c r="V2120" s="722">
        <v>8.8699999999999992</v>
      </c>
      <c r="W2120" s="722">
        <v>0.35</v>
      </c>
      <c r="X2120" s="722">
        <v>0.56999999999999995</v>
      </c>
      <c r="Y2120" s="722">
        <v>8.7100000000000009</v>
      </c>
      <c r="Z2120" s="382" t="s">
        <v>924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13635</v>
      </c>
      <c r="B2121" s="372" t="s">
        <v>13636</v>
      </c>
      <c r="C2121" s="372" t="s">
        <v>13637</v>
      </c>
      <c r="D2121" s="374">
        <v>1101110519003</v>
      </c>
      <c r="E2121" s="372" t="s">
        <v>13638</v>
      </c>
      <c r="F2121" s="372" t="s">
        <v>2423</v>
      </c>
      <c r="G2121" s="375" t="s">
        <v>6071</v>
      </c>
      <c r="H2121" s="375" t="s">
        <v>858</v>
      </c>
      <c r="I2121" s="375" t="s">
        <v>859</v>
      </c>
      <c r="J2121" s="375">
        <v>168919.76457999999</v>
      </c>
      <c r="K2121" s="375">
        <v>7450.1906399999998</v>
      </c>
      <c r="L2121" s="375">
        <v>6196.06088</v>
      </c>
      <c r="M2121" s="375">
        <v>90617.560490000003</v>
      </c>
      <c r="N2121" s="372">
        <v>1.0409999999999999</v>
      </c>
      <c r="O2121" s="704">
        <v>25.266069703166078</v>
      </c>
      <c r="P2121" s="563" t="s">
        <v>619</v>
      </c>
      <c r="Q2121" s="372" t="s">
        <v>619</v>
      </c>
      <c r="R2121" s="696">
        <v>20110624</v>
      </c>
      <c r="S2121" s="372" t="s">
        <v>13639</v>
      </c>
      <c r="T2121" s="697">
        <v>0.20900000000000002</v>
      </c>
      <c r="U2121" s="372" t="s">
        <v>13640</v>
      </c>
      <c r="V2121" s="722">
        <v>4.68</v>
      </c>
      <c r="W2121" s="722">
        <v>0.48</v>
      </c>
      <c r="X2121" s="722">
        <v>0.26</v>
      </c>
      <c r="Y2121" s="722">
        <v>5.84</v>
      </c>
      <c r="Z2121" s="382" t="s">
        <v>924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13641</v>
      </c>
      <c r="B2122" s="372" t="s">
        <v>13642</v>
      </c>
      <c r="C2122" s="372" t="s">
        <v>13643</v>
      </c>
      <c r="D2122" s="374">
        <v>1741110001294</v>
      </c>
      <c r="E2122" s="372" t="s">
        <v>13644</v>
      </c>
      <c r="F2122" s="372" t="s">
        <v>2341</v>
      </c>
      <c r="G2122" s="375" t="s">
        <v>2341</v>
      </c>
      <c r="H2122" s="375" t="s">
        <v>858</v>
      </c>
      <c r="I2122" s="375" t="s">
        <v>859</v>
      </c>
      <c r="J2122" s="375">
        <v>698357.05538000003</v>
      </c>
      <c r="K2122" s="375">
        <v>15904.472390000001</v>
      </c>
      <c r="L2122" s="375">
        <v>3963.7108899999998</v>
      </c>
      <c r="M2122" s="375">
        <v>129777.06051</v>
      </c>
      <c r="N2122" s="372">
        <v>0.45200000000000001</v>
      </c>
      <c r="O2122" s="704">
        <v>113.20201740921586</v>
      </c>
      <c r="P2122" s="563" t="s">
        <v>619</v>
      </c>
      <c r="Q2122" s="372" t="s">
        <v>619</v>
      </c>
      <c r="R2122" s="696">
        <v>19941222</v>
      </c>
      <c r="S2122" s="372" t="s">
        <v>13645</v>
      </c>
      <c r="T2122" s="697">
        <v>0.20900000000000002</v>
      </c>
      <c r="U2122" s="372" t="s">
        <v>13646</v>
      </c>
      <c r="V2122" s="722">
        <v>9.26</v>
      </c>
      <c r="W2122" s="722">
        <v>0.89</v>
      </c>
      <c r="X2122" s="722">
        <v>0.16</v>
      </c>
      <c r="Y2122" s="722">
        <v>34.69</v>
      </c>
      <c r="Z2122" s="382" t="s">
        <v>924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13647</v>
      </c>
      <c r="B2123" s="372" t="s">
        <v>13648</v>
      </c>
      <c r="C2123" s="372" t="s">
        <v>13649</v>
      </c>
      <c r="D2123" s="374">
        <v>1101110101470</v>
      </c>
      <c r="E2123" s="372" t="s">
        <v>13650</v>
      </c>
      <c r="F2123" s="372" t="s">
        <v>890</v>
      </c>
      <c r="G2123" s="375" t="s">
        <v>891</v>
      </c>
      <c r="H2123" s="375" t="s">
        <v>852</v>
      </c>
      <c r="I2123" s="375" t="s">
        <v>751</v>
      </c>
      <c r="J2123" s="375">
        <v>287017.97402000002</v>
      </c>
      <c r="K2123" s="375">
        <v>-11781.8104</v>
      </c>
      <c r="L2123" s="375">
        <v>-14228.799660000001</v>
      </c>
      <c r="M2123" s="375">
        <v>391155.64766000002</v>
      </c>
      <c r="N2123" s="372">
        <v>0.79100000000000004</v>
      </c>
      <c r="O2123" s="704">
        <v>172.77267508223787</v>
      </c>
      <c r="P2123" s="563" t="s">
        <v>619</v>
      </c>
      <c r="Q2123" s="372" t="s">
        <v>619</v>
      </c>
      <c r="R2123" s="696">
        <v>19791130</v>
      </c>
      <c r="S2123" s="372" t="s">
        <v>13651</v>
      </c>
      <c r="T2123" s="697" t="s">
        <v>768</v>
      </c>
      <c r="U2123" s="372" t="s">
        <v>13652</v>
      </c>
      <c r="V2123" s="722">
        <v>45.37</v>
      </c>
      <c r="W2123" s="722">
        <v>0.25</v>
      </c>
      <c r="X2123" s="722">
        <v>0.13</v>
      </c>
      <c r="Y2123" s="722">
        <v>58.53</v>
      </c>
      <c r="Z2123" s="382" t="s">
        <v>924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13653</v>
      </c>
      <c r="B2124" s="372" t="s">
        <v>13654</v>
      </c>
      <c r="C2124" s="372" t="s">
        <v>13655</v>
      </c>
      <c r="D2124" s="374">
        <v>1348110061937</v>
      </c>
      <c r="E2124" s="372" t="s">
        <v>13656</v>
      </c>
      <c r="F2124" s="372" t="s">
        <v>5616</v>
      </c>
      <c r="G2124" s="375" t="s">
        <v>5616</v>
      </c>
      <c r="H2124" s="375" t="s">
        <v>858</v>
      </c>
      <c r="I2124" s="375" t="s">
        <v>859</v>
      </c>
      <c r="J2124" s="375">
        <v>56365.692589999999</v>
      </c>
      <c r="K2124" s="375">
        <v>1985.9390100000001</v>
      </c>
      <c r="L2124" s="375">
        <v>2037.2770399999999</v>
      </c>
      <c r="M2124" s="375">
        <v>79320.697799999994</v>
      </c>
      <c r="N2124" s="372">
        <v>0.755</v>
      </c>
      <c r="O2124" s="704">
        <v>53.301035909627736</v>
      </c>
      <c r="P2124" s="563" t="s">
        <v>619</v>
      </c>
      <c r="Q2124" s="372" t="s">
        <v>619</v>
      </c>
      <c r="R2124" s="696">
        <v>20111128</v>
      </c>
      <c r="S2124" s="372" t="s">
        <v>13657</v>
      </c>
      <c r="T2124" s="697">
        <v>0.20900000000000002</v>
      </c>
      <c r="U2124" s="372" t="s">
        <v>13658</v>
      </c>
      <c r="V2124" s="722">
        <v>10.76</v>
      </c>
      <c r="W2124" s="722">
        <v>0.54</v>
      </c>
      <c r="X2124" s="722">
        <v>0.79</v>
      </c>
      <c r="Y2124" s="722">
        <v>17.63</v>
      </c>
      <c r="Z2124" s="382" t="s">
        <v>924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13659</v>
      </c>
      <c r="B2125" s="372" t="s">
        <v>13660</v>
      </c>
      <c r="C2125" s="372" t="s">
        <v>13661</v>
      </c>
      <c r="D2125" s="374">
        <v>1613110004067</v>
      </c>
      <c r="E2125" s="372" t="s">
        <v>13662</v>
      </c>
      <c r="F2125" s="372" t="s">
        <v>1860</v>
      </c>
      <c r="G2125" s="375" t="s">
        <v>1861</v>
      </c>
      <c r="H2125" s="375" t="s">
        <v>858</v>
      </c>
      <c r="I2125" s="375" t="s">
        <v>859</v>
      </c>
      <c r="J2125" s="375">
        <v>51313.264389999997</v>
      </c>
      <c r="K2125" s="375">
        <v>3074.5896699999998</v>
      </c>
      <c r="L2125" s="375">
        <v>-9781.7257200000004</v>
      </c>
      <c r="M2125" s="375">
        <v>48175.841079999998</v>
      </c>
      <c r="N2125" s="372">
        <v>0.55200000000000005</v>
      </c>
      <c r="O2125" s="704">
        <v>24.175526060039452</v>
      </c>
      <c r="P2125" s="563" t="s">
        <v>619</v>
      </c>
      <c r="Q2125" s="372" t="s">
        <v>619</v>
      </c>
      <c r="R2125" s="696">
        <v>20091201</v>
      </c>
      <c r="S2125" s="372" t="s">
        <v>13663</v>
      </c>
      <c r="T2125" s="697" t="s">
        <v>768</v>
      </c>
      <c r="U2125" s="372" t="s">
        <v>13664</v>
      </c>
      <c r="V2125" s="722">
        <v>0</v>
      </c>
      <c r="W2125" s="722">
        <v>0</v>
      </c>
      <c r="X2125" s="722">
        <v>0</v>
      </c>
      <c r="Y2125" s="722">
        <v>0</v>
      </c>
      <c r="Z2125" s="382" t="s">
        <v>924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13665</v>
      </c>
      <c r="B2126" s="372" t="s">
        <v>13666</v>
      </c>
      <c r="C2126" s="372" t="s">
        <v>16049</v>
      </c>
      <c r="D2126" s="374">
        <v>1101112707367</v>
      </c>
      <c r="E2126" s="372" t="s">
        <v>13667</v>
      </c>
      <c r="F2126" s="372" t="s">
        <v>1793</v>
      </c>
      <c r="G2126" s="375" t="s">
        <v>1794</v>
      </c>
      <c r="H2126" s="375" t="s">
        <v>858</v>
      </c>
      <c r="I2126" s="375" t="s">
        <v>859</v>
      </c>
      <c r="J2126" s="375">
        <v>13980.22372</v>
      </c>
      <c r="K2126" s="375">
        <v>-1567.2610199999999</v>
      </c>
      <c r="L2126" s="375">
        <v>-989.26702</v>
      </c>
      <c r="M2126" s="375">
        <v>28860.321499999998</v>
      </c>
      <c r="N2126" s="372">
        <v>0.53300000000000003</v>
      </c>
      <c r="O2126" s="704">
        <v>6.6831075407476265E-2</v>
      </c>
      <c r="P2126" s="563" t="s">
        <v>619</v>
      </c>
      <c r="Q2126" s="372" t="s">
        <v>619</v>
      </c>
      <c r="R2126" s="696">
        <v>20120719</v>
      </c>
      <c r="S2126" s="372" t="s">
        <v>13668</v>
      </c>
      <c r="T2126" s="697" t="s">
        <v>768</v>
      </c>
      <c r="U2126" s="372" t="s">
        <v>13669</v>
      </c>
      <c r="V2126" s="722">
        <v>0</v>
      </c>
      <c r="W2126" s="722">
        <v>0</v>
      </c>
      <c r="X2126" s="722">
        <v>0</v>
      </c>
      <c r="Y2126" s="722">
        <v>0</v>
      </c>
      <c r="Z2126" s="382" t="s">
        <v>924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13670</v>
      </c>
      <c r="B2127" s="372" t="s">
        <v>13671</v>
      </c>
      <c r="C2127" s="372" t="s">
        <v>13672</v>
      </c>
      <c r="D2127" s="374">
        <v>1701110001628</v>
      </c>
      <c r="E2127" s="372" t="s">
        <v>13673</v>
      </c>
      <c r="F2127" s="372" t="s">
        <v>9239</v>
      </c>
      <c r="G2127" s="375" t="s">
        <v>9239</v>
      </c>
      <c r="H2127" s="375" t="s">
        <v>858</v>
      </c>
      <c r="I2127" s="375" t="s">
        <v>859</v>
      </c>
      <c r="J2127" s="375">
        <v>280124.94961000001</v>
      </c>
      <c r="K2127" s="375">
        <v>15266.95463</v>
      </c>
      <c r="L2127" s="375">
        <v>15979.325409999999</v>
      </c>
      <c r="M2127" s="375">
        <v>117994.88566</v>
      </c>
      <c r="N2127" s="372">
        <v>0.79200000000000004</v>
      </c>
      <c r="O2127" s="704">
        <v>136.87059935263514</v>
      </c>
      <c r="P2127" s="563" t="s">
        <v>619</v>
      </c>
      <c r="Q2127" s="372" t="s">
        <v>619</v>
      </c>
      <c r="R2127" s="696">
        <v>19931130</v>
      </c>
      <c r="S2127" s="372" t="s">
        <v>13674</v>
      </c>
      <c r="T2127" s="697">
        <v>0.20900000000000002</v>
      </c>
      <c r="U2127" s="372" t="s">
        <v>13675</v>
      </c>
      <c r="V2127" s="722">
        <v>4.6399999999999997</v>
      </c>
      <c r="W2127" s="722">
        <v>0.5</v>
      </c>
      <c r="X2127" s="722">
        <v>0.18</v>
      </c>
      <c r="Y2127" s="722">
        <v>4.88</v>
      </c>
      <c r="Z2127" s="382" t="s">
        <v>924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13676</v>
      </c>
      <c r="B2128" s="372" t="s">
        <v>13677</v>
      </c>
      <c r="C2128" s="372" t="s">
        <v>13678</v>
      </c>
      <c r="D2128" s="374">
        <v>1101114362531</v>
      </c>
      <c r="E2128" s="372" t="s">
        <v>13679</v>
      </c>
      <c r="F2128" s="372" t="s">
        <v>2121</v>
      </c>
      <c r="G2128" s="375" t="s">
        <v>4228</v>
      </c>
      <c r="H2128" s="375" t="s">
        <v>858</v>
      </c>
      <c r="I2128" s="375" t="s">
        <v>859</v>
      </c>
      <c r="J2128" s="375">
        <v>21118.816129999999</v>
      </c>
      <c r="K2128" s="375">
        <v>-2149.5277099999998</v>
      </c>
      <c r="L2128" s="375">
        <v>-4389.79457</v>
      </c>
      <c r="M2128" s="375">
        <v>35112.630089999999</v>
      </c>
      <c r="N2128" s="372">
        <v>1.0449999999999999</v>
      </c>
      <c r="O2128" s="704">
        <v>69.114563422492992</v>
      </c>
      <c r="P2128" s="563" t="s">
        <v>619</v>
      </c>
      <c r="Q2128" s="372" t="s">
        <v>619</v>
      </c>
      <c r="R2128" s="696">
        <v>20181128</v>
      </c>
      <c r="S2128" s="372" t="s">
        <v>13680</v>
      </c>
      <c r="T2128" s="697" t="s">
        <v>768</v>
      </c>
      <c r="U2128" s="372" t="s">
        <v>13681</v>
      </c>
      <c r="V2128" s="722" t="s">
        <v>770</v>
      </c>
      <c r="W2128" s="722">
        <v>1.1200000000000001</v>
      </c>
      <c r="X2128" s="722">
        <v>1.67</v>
      </c>
      <c r="Y2128" s="722" t="s">
        <v>770</v>
      </c>
      <c r="Z2128" s="382" t="s">
        <v>924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13682</v>
      </c>
      <c r="B2129" s="372" t="s">
        <v>13683</v>
      </c>
      <c r="C2129" s="372" t="s">
        <v>13684</v>
      </c>
      <c r="D2129" s="374">
        <v>1101111784457</v>
      </c>
      <c r="E2129" s="372" t="s">
        <v>13685</v>
      </c>
      <c r="F2129" s="372" t="s">
        <v>5766</v>
      </c>
      <c r="G2129" s="375" t="s">
        <v>5766</v>
      </c>
      <c r="H2129" s="375" t="s">
        <v>1334</v>
      </c>
      <c r="I2129" s="375" t="s">
        <v>859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0.66900000000000004</v>
      </c>
      <c r="O2129" s="704" t="s">
        <v>16298</v>
      </c>
      <c r="P2129" s="563" t="s">
        <v>619</v>
      </c>
      <c r="Q2129" s="372" t="s">
        <v>619</v>
      </c>
      <c r="R2129" s="696">
        <v>20071218</v>
      </c>
      <c r="S2129" s="372" t="s">
        <v>13686</v>
      </c>
      <c r="T2129" s="697" t="s">
        <v>768</v>
      </c>
      <c r="U2129" s="372" t="s">
        <v>13687</v>
      </c>
      <c r="V2129" s="722">
        <v>0</v>
      </c>
      <c r="W2129" s="722">
        <v>0</v>
      </c>
      <c r="X2129" s="722">
        <v>0</v>
      </c>
      <c r="Y2129" s="722">
        <v>0</v>
      </c>
      <c r="Z2129" s="382" t="s">
        <v>924</v>
      </c>
      <c r="AA2129" s="372">
        <v>747.70792740000002</v>
      </c>
      <c r="AB2129" s="372">
        <v>802.05503050000004</v>
      </c>
      <c r="AC2129" s="372">
        <v>1006.1478593000001</v>
      </c>
      <c r="AD2129" s="372">
        <v>918.05920909999998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13688</v>
      </c>
      <c r="B2130" s="372" t="s">
        <v>13689</v>
      </c>
      <c r="C2130" s="372" t="s">
        <v>13690</v>
      </c>
      <c r="D2130" s="374">
        <v>1101114736520</v>
      </c>
      <c r="E2130" s="372" t="s">
        <v>13691</v>
      </c>
      <c r="F2130" s="372" t="s">
        <v>1793</v>
      </c>
      <c r="G2130" s="375" t="s">
        <v>2794</v>
      </c>
      <c r="H2130" s="375" t="s">
        <v>858</v>
      </c>
      <c r="I2130" s="375" t="s">
        <v>859</v>
      </c>
      <c r="J2130" s="375">
        <v>18232.322769999999</v>
      </c>
      <c r="K2130" s="375">
        <v>-2109.7927599999998</v>
      </c>
      <c r="L2130" s="375">
        <v>-1800.0601300000001</v>
      </c>
      <c r="M2130" s="375">
        <v>10938.505279999999</v>
      </c>
      <c r="N2130" s="372">
        <v>0.626</v>
      </c>
      <c r="O2130" s="704">
        <v>19.737753803724665</v>
      </c>
      <c r="P2130" s="563" t="s">
        <v>619</v>
      </c>
      <c r="Q2130" s="372" t="s">
        <v>619</v>
      </c>
      <c r="R2130" s="696">
        <v>20161129</v>
      </c>
      <c r="S2130" s="372" t="s">
        <v>13692</v>
      </c>
      <c r="T2130" s="697" t="s">
        <v>768</v>
      </c>
      <c r="U2130" s="372" t="s">
        <v>13693</v>
      </c>
      <c r="V2130" s="722">
        <v>0</v>
      </c>
      <c r="W2130" s="722">
        <v>0</v>
      </c>
      <c r="X2130" s="722">
        <v>0</v>
      </c>
      <c r="Y2130" s="722">
        <v>0</v>
      </c>
      <c r="Z2130" s="382" t="s">
        <v>924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13694</v>
      </c>
      <c r="B2131" s="372" t="s">
        <v>13695</v>
      </c>
      <c r="C2131" s="372" t="s">
        <v>13696</v>
      </c>
      <c r="D2131" s="374">
        <v>1341110125604</v>
      </c>
      <c r="E2131" s="372" t="s">
        <v>13697</v>
      </c>
      <c r="F2131" s="372" t="s">
        <v>1793</v>
      </c>
      <c r="G2131" s="375" t="s">
        <v>2794</v>
      </c>
      <c r="H2131" s="375" t="s">
        <v>858</v>
      </c>
      <c r="I2131" s="375" t="s">
        <v>859</v>
      </c>
      <c r="J2131" s="375">
        <v>11314.53528</v>
      </c>
      <c r="K2131" s="375">
        <v>1424.28676</v>
      </c>
      <c r="L2131" s="375">
        <v>-62.545589999999997</v>
      </c>
      <c r="M2131" s="375">
        <v>20659.35843</v>
      </c>
      <c r="N2131" s="372" t="s">
        <v>1023</v>
      </c>
      <c r="O2131" s="704">
        <v>1.3117124001073079</v>
      </c>
      <c r="P2131" s="563" t="s">
        <v>619</v>
      </c>
      <c r="Q2131" s="372" t="s">
        <v>619</v>
      </c>
      <c r="R2131" s="696">
        <v>20231103</v>
      </c>
      <c r="S2131" s="372" t="s">
        <v>13698</v>
      </c>
      <c r="T2131" s="697" t="s">
        <v>768</v>
      </c>
      <c r="U2131" s="372" t="s">
        <v>13699</v>
      </c>
      <c r="V2131" s="722">
        <v>0</v>
      </c>
      <c r="W2131" s="722">
        <v>0</v>
      </c>
      <c r="X2131" s="722">
        <v>0</v>
      </c>
      <c r="Y2131" s="722">
        <v>0</v>
      </c>
      <c r="Z2131" s="382" t="s">
        <v>924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13700</v>
      </c>
      <c r="B2132" s="372" t="s">
        <v>13701</v>
      </c>
      <c r="C2132" s="372" t="s">
        <v>13702</v>
      </c>
      <c r="D2132" s="374">
        <v>1101111892903</v>
      </c>
      <c r="E2132" s="372" t="s">
        <v>13703</v>
      </c>
      <c r="F2132" s="372" t="s">
        <v>2831</v>
      </c>
      <c r="G2132" s="375" t="s">
        <v>2832</v>
      </c>
      <c r="H2132" s="375" t="s">
        <v>858</v>
      </c>
      <c r="I2132" s="375" t="s">
        <v>859</v>
      </c>
      <c r="J2132" s="375">
        <v>46722.835129999999</v>
      </c>
      <c r="K2132" s="375">
        <v>2701.1765</v>
      </c>
      <c r="L2132" s="375">
        <v>2433.4218000000001</v>
      </c>
      <c r="M2132" s="375">
        <v>38169.43619</v>
      </c>
      <c r="N2132" s="372">
        <v>0.82699999999999996</v>
      </c>
      <c r="O2132" s="704">
        <v>24.796003081183578</v>
      </c>
      <c r="P2132" s="563" t="s">
        <v>619</v>
      </c>
      <c r="Q2132" s="372" t="s">
        <v>619</v>
      </c>
      <c r="R2132" s="696">
        <v>20140723</v>
      </c>
      <c r="S2132" s="372" t="s">
        <v>13704</v>
      </c>
      <c r="T2132" s="697">
        <v>0.20900000000000002</v>
      </c>
      <c r="U2132" s="372" t="s">
        <v>13705</v>
      </c>
      <c r="V2132" s="722">
        <v>10.17</v>
      </c>
      <c r="W2132" s="722">
        <v>0.83</v>
      </c>
      <c r="X2132" s="722">
        <v>0.8</v>
      </c>
      <c r="Y2132" s="722">
        <v>12.33</v>
      </c>
      <c r="Z2132" s="382" t="s">
        <v>924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13706</v>
      </c>
      <c r="B2133" s="372" t="s">
        <v>13707</v>
      </c>
      <c r="C2133" s="372" t="s">
        <v>13708</v>
      </c>
      <c r="D2133" s="374">
        <v>1101117128211</v>
      </c>
      <c r="E2133" s="372" t="s">
        <v>13709</v>
      </c>
      <c r="F2133" s="372" t="s">
        <v>5766</v>
      </c>
      <c r="G2133" s="375" t="s">
        <v>5766</v>
      </c>
      <c r="H2133" s="375" t="s">
        <v>1334</v>
      </c>
      <c r="I2133" s="375" t="s">
        <v>859</v>
      </c>
      <c r="J2133" s="375">
        <v>0</v>
      </c>
      <c r="K2133" s="375">
        <v>0</v>
      </c>
      <c r="L2133" s="375">
        <v>0</v>
      </c>
      <c r="M2133" s="375">
        <v>22655.56079</v>
      </c>
      <c r="N2133" s="372">
        <v>0.66</v>
      </c>
      <c r="O2133" s="704">
        <v>0.24383112812201277</v>
      </c>
      <c r="P2133" s="563" t="s">
        <v>619</v>
      </c>
      <c r="Q2133" s="372" t="s">
        <v>619</v>
      </c>
      <c r="R2133" s="696">
        <v>20190820</v>
      </c>
      <c r="S2133" s="372" t="s">
        <v>13710</v>
      </c>
      <c r="T2133" s="697" t="s">
        <v>768</v>
      </c>
      <c r="U2133" s="372" t="s">
        <v>13711</v>
      </c>
      <c r="V2133" s="722">
        <v>0</v>
      </c>
      <c r="W2133" s="722">
        <v>1.46</v>
      </c>
      <c r="X2133" s="722">
        <v>0</v>
      </c>
      <c r="Y2133" s="722">
        <v>0</v>
      </c>
      <c r="Z2133" s="382" t="s">
        <v>924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13712</v>
      </c>
      <c r="B2134" s="372" t="s">
        <v>13713</v>
      </c>
      <c r="C2134" s="372" t="s">
        <v>13714</v>
      </c>
      <c r="D2134" s="374">
        <v>1201110126038</v>
      </c>
      <c r="E2134" s="372" t="s">
        <v>13715</v>
      </c>
      <c r="F2134" s="372" t="s">
        <v>1900</v>
      </c>
      <c r="G2134" s="375" t="s">
        <v>9646</v>
      </c>
      <c r="H2134" s="375" t="s">
        <v>858</v>
      </c>
      <c r="I2134" s="375" t="s">
        <v>859</v>
      </c>
      <c r="J2134" s="375">
        <v>63289.380819999998</v>
      </c>
      <c r="K2134" s="375">
        <v>929.63198</v>
      </c>
      <c r="L2134" s="375">
        <v>243.01114999999999</v>
      </c>
      <c r="M2134" s="375">
        <v>53128.797259999999</v>
      </c>
      <c r="N2134" s="372">
        <v>0.56399999999999995</v>
      </c>
      <c r="O2134" s="704">
        <v>98.549950422936419</v>
      </c>
      <c r="P2134" s="563" t="s">
        <v>619</v>
      </c>
      <c r="Q2134" s="372" t="s">
        <v>619</v>
      </c>
      <c r="R2134" s="696">
        <v>20020108</v>
      </c>
      <c r="S2134" s="372" t="s">
        <v>13716</v>
      </c>
      <c r="T2134" s="697">
        <v>0.20900000000000002</v>
      </c>
      <c r="U2134" s="372" t="s">
        <v>13717</v>
      </c>
      <c r="V2134" s="722">
        <v>0</v>
      </c>
      <c r="W2134" s="722">
        <v>0</v>
      </c>
      <c r="X2134" s="722">
        <v>0</v>
      </c>
      <c r="Y2134" s="722">
        <v>0</v>
      </c>
      <c r="Z2134" s="382" t="s">
        <v>924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13718</v>
      </c>
      <c r="B2135" s="372" t="s">
        <v>13719</v>
      </c>
      <c r="C2135" s="372" t="s">
        <v>13720</v>
      </c>
      <c r="D2135" s="374">
        <v>1350110085255</v>
      </c>
      <c r="E2135" s="372" t="s">
        <v>13721</v>
      </c>
      <c r="F2135" s="372" t="s">
        <v>1246</v>
      </c>
      <c r="G2135" s="375" t="s">
        <v>1246</v>
      </c>
      <c r="H2135" s="375" t="s">
        <v>858</v>
      </c>
      <c r="I2135" s="375" t="s">
        <v>859</v>
      </c>
      <c r="J2135" s="375">
        <v>72097.065109999996</v>
      </c>
      <c r="K2135" s="375">
        <v>-6574.7423200000003</v>
      </c>
      <c r="L2135" s="375">
        <v>-20354.780419999999</v>
      </c>
      <c r="M2135" s="375">
        <v>91513.992719999995</v>
      </c>
      <c r="N2135" s="372">
        <v>0.75800000000000001</v>
      </c>
      <c r="O2135" s="704">
        <v>166.67376293864805</v>
      </c>
      <c r="P2135" s="563" t="s">
        <v>619</v>
      </c>
      <c r="Q2135" s="372" t="s">
        <v>619</v>
      </c>
      <c r="R2135" s="696">
        <v>20011102</v>
      </c>
      <c r="S2135" s="372" t="s">
        <v>13722</v>
      </c>
      <c r="T2135" s="697" t="s">
        <v>768</v>
      </c>
      <c r="U2135" s="372" t="s">
        <v>13723</v>
      </c>
      <c r="V2135" s="722" t="s">
        <v>770</v>
      </c>
      <c r="W2135" s="722">
        <v>0.31</v>
      </c>
      <c r="X2135" s="722">
        <v>0.39</v>
      </c>
      <c r="Y2135" s="722" t="s">
        <v>770</v>
      </c>
      <c r="Z2135" s="382" t="s">
        <v>924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13724</v>
      </c>
      <c r="B2136" s="372" t="s">
        <v>13725</v>
      </c>
      <c r="C2136" s="372" t="s">
        <v>13726</v>
      </c>
      <c r="D2136" s="374">
        <v>1101113356410</v>
      </c>
      <c r="E2136" s="372" t="s">
        <v>13727</v>
      </c>
      <c r="F2136" s="372" t="s">
        <v>10828</v>
      </c>
      <c r="G2136" s="375" t="s">
        <v>10829</v>
      </c>
      <c r="H2136" s="375" t="s">
        <v>858</v>
      </c>
      <c r="I2136" s="375" t="s">
        <v>859</v>
      </c>
      <c r="J2136" s="375">
        <v>42413.409220000001</v>
      </c>
      <c r="K2136" s="375">
        <v>9230.0621300000003</v>
      </c>
      <c r="L2136" s="375">
        <v>10139.468639999999</v>
      </c>
      <c r="M2136" s="375">
        <v>58865.312039999997</v>
      </c>
      <c r="N2136" s="372">
        <v>0.65</v>
      </c>
      <c r="O2136" s="704">
        <v>1.4342576485937628</v>
      </c>
      <c r="P2136" s="563" t="s">
        <v>619</v>
      </c>
      <c r="Q2136" s="372" t="s">
        <v>619</v>
      </c>
      <c r="R2136" s="696">
        <v>20200824</v>
      </c>
      <c r="S2136" s="372" t="s">
        <v>13728</v>
      </c>
      <c r="T2136" s="697">
        <v>0.20900000000000002</v>
      </c>
      <c r="U2136" s="372" t="s">
        <v>13729</v>
      </c>
      <c r="V2136" s="722">
        <v>4.84</v>
      </c>
      <c r="W2136" s="722">
        <v>0.82</v>
      </c>
      <c r="X2136" s="722">
        <v>1.17</v>
      </c>
      <c r="Y2136" s="722">
        <v>5.81</v>
      </c>
      <c r="Z2136" s="382" t="s">
        <v>924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13730</v>
      </c>
      <c r="B2137" s="372" t="s">
        <v>13731</v>
      </c>
      <c r="C2137" s="372" t="s">
        <v>13732</v>
      </c>
      <c r="D2137" s="374">
        <v>1101112637291</v>
      </c>
      <c r="E2137" s="372" t="s">
        <v>13733</v>
      </c>
      <c r="F2137" s="372" t="s">
        <v>1753</v>
      </c>
      <c r="G2137" s="375" t="s">
        <v>1753</v>
      </c>
      <c r="H2137" s="375" t="s">
        <v>858</v>
      </c>
      <c r="I2137" s="375" t="s">
        <v>859</v>
      </c>
      <c r="J2137" s="375">
        <v>52013.889799999997</v>
      </c>
      <c r="K2137" s="375">
        <v>5898.5954300000003</v>
      </c>
      <c r="L2137" s="375">
        <v>6590.6156300000002</v>
      </c>
      <c r="M2137" s="375">
        <v>65686.16833</v>
      </c>
      <c r="N2137" s="372">
        <v>0.75600000000000001</v>
      </c>
      <c r="O2137" s="704">
        <v>58.272857712732559</v>
      </c>
      <c r="P2137" s="563" t="s">
        <v>619</v>
      </c>
      <c r="Q2137" s="372" t="s">
        <v>619</v>
      </c>
      <c r="R2137" s="696">
        <v>20140808</v>
      </c>
      <c r="S2137" s="372" t="s">
        <v>13734</v>
      </c>
      <c r="T2137" s="697">
        <v>0.20900000000000002</v>
      </c>
      <c r="U2137" s="372" t="s">
        <v>13735</v>
      </c>
      <c r="V2137" s="722">
        <v>3.93</v>
      </c>
      <c r="W2137" s="722">
        <v>0.51</v>
      </c>
      <c r="X2137" s="722">
        <v>0.68</v>
      </c>
      <c r="Y2137" s="722">
        <v>6.49</v>
      </c>
      <c r="Z2137" s="382" t="s">
        <v>924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13736</v>
      </c>
      <c r="B2138" s="372" t="s">
        <v>13737</v>
      </c>
      <c r="C2138" s="372" t="s">
        <v>13738</v>
      </c>
      <c r="D2138" s="374">
        <v>1101113149287</v>
      </c>
      <c r="E2138" s="372" t="s">
        <v>13739</v>
      </c>
      <c r="F2138" s="372" t="s">
        <v>1367</v>
      </c>
      <c r="G2138" s="375" t="s">
        <v>1367</v>
      </c>
      <c r="H2138" s="375" t="s">
        <v>858</v>
      </c>
      <c r="I2138" s="375" t="s">
        <v>859</v>
      </c>
      <c r="J2138" s="375">
        <v>34304.052779999998</v>
      </c>
      <c r="K2138" s="375">
        <v>4009.4611199999999</v>
      </c>
      <c r="L2138" s="375">
        <v>4909.2924400000002</v>
      </c>
      <c r="M2138" s="375">
        <v>39934.190499999997</v>
      </c>
      <c r="N2138" s="372">
        <v>0.74199999999999999</v>
      </c>
      <c r="O2138" s="704">
        <v>0.4775727029495942</v>
      </c>
      <c r="P2138" s="563" t="s">
        <v>619</v>
      </c>
      <c r="Q2138" s="372" t="s">
        <v>619</v>
      </c>
      <c r="R2138" s="696">
        <v>20210311</v>
      </c>
      <c r="S2138" s="372" t="s">
        <v>13740</v>
      </c>
      <c r="T2138" s="697">
        <v>0.20900000000000002</v>
      </c>
      <c r="U2138" s="372" t="s">
        <v>13741</v>
      </c>
      <c r="V2138" s="722">
        <v>8.4700000000000006</v>
      </c>
      <c r="W2138" s="722">
        <v>1.08</v>
      </c>
      <c r="X2138" s="722">
        <v>1.08</v>
      </c>
      <c r="Y2138" s="722">
        <v>9.57</v>
      </c>
      <c r="Z2138" s="382" t="s">
        <v>924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13742</v>
      </c>
      <c r="B2139" s="372" t="s">
        <v>13743</v>
      </c>
      <c r="C2139" s="372" t="s">
        <v>13744</v>
      </c>
      <c r="D2139" s="374">
        <v>1101112141672</v>
      </c>
      <c r="E2139" s="372" t="s">
        <v>13745</v>
      </c>
      <c r="F2139" s="372" t="s">
        <v>2861</v>
      </c>
      <c r="G2139" s="375" t="s">
        <v>5980</v>
      </c>
      <c r="H2139" s="375" t="s">
        <v>823</v>
      </c>
      <c r="I2139" s="375" t="s">
        <v>751</v>
      </c>
      <c r="J2139" s="375">
        <v>25486.908609999999</v>
      </c>
      <c r="K2139" s="375">
        <v>-3484.9287800000002</v>
      </c>
      <c r="L2139" s="375">
        <v>-3923.75119</v>
      </c>
      <c r="M2139" s="375">
        <v>29739.0995</v>
      </c>
      <c r="N2139" s="372">
        <v>0.72899999999999998</v>
      </c>
      <c r="O2139" s="704">
        <v>19.657437508823115</v>
      </c>
      <c r="P2139" s="563" t="s">
        <v>619</v>
      </c>
      <c r="Q2139" s="372" t="s">
        <v>619</v>
      </c>
      <c r="R2139" s="696">
        <v>20010129</v>
      </c>
      <c r="S2139" s="372" t="s">
        <v>13746</v>
      </c>
      <c r="T2139" s="697" t="s">
        <v>768</v>
      </c>
      <c r="U2139" s="372" t="s">
        <v>13747</v>
      </c>
      <c r="V2139" s="722">
        <v>0</v>
      </c>
      <c r="W2139" s="722">
        <v>0</v>
      </c>
      <c r="X2139" s="722">
        <v>0</v>
      </c>
      <c r="Y2139" s="722">
        <v>0</v>
      </c>
      <c r="Z2139" s="382" t="s">
        <v>924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13748</v>
      </c>
      <c r="B2140" s="372" t="s">
        <v>13749</v>
      </c>
      <c r="C2140" s="372" t="s">
        <v>13750</v>
      </c>
      <c r="D2140" s="374">
        <v>1101115829944</v>
      </c>
      <c r="E2140" s="372" t="s">
        <v>13751</v>
      </c>
      <c r="F2140" s="372" t="s">
        <v>1793</v>
      </c>
      <c r="G2140" s="375" t="s">
        <v>1794</v>
      </c>
      <c r="H2140" s="375" t="s">
        <v>858</v>
      </c>
      <c r="I2140" s="375" t="s">
        <v>859</v>
      </c>
      <c r="J2140" s="375">
        <v>10871.20163</v>
      </c>
      <c r="K2140" s="375">
        <v>-1854.4836499999999</v>
      </c>
      <c r="L2140" s="375">
        <v>-112.27986</v>
      </c>
      <c r="M2140" s="375">
        <v>20806.781360000001</v>
      </c>
      <c r="N2140" s="372">
        <v>1.482</v>
      </c>
      <c r="O2140" s="704">
        <v>3.4286505605850497</v>
      </c>
      <c r="P2140" s="563" t="s">
        <v>619</v>
      </c>
      <c r="Q2140" s="372" t="s">
        <v>619</v>
      </c>
      <c r="R2140" s="696">
        <v>20221020</v>
      </c>
      <c r="S2140" s="372" t="s">
        <v>13752</v>
      </c>
      <c r="T2140" s="697" t="s">
        <v>768</v>
      </c>
      <c r="U2140" s="372" t="s">
        <v>13753</v>
      </c>
      <c r="V2140" s="722">
        <v>0</v>
      </c>
      <c r="W2140" s="722">
        <v>0</v>
      </c>
      <c r="X2140" s="722">
        <v>0</v>
      </c>
      <c r="Y2140" s="722">
        <v>0</v>
      </c>
      <c r="Z2140" s="382" t="s">
        <v>924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13754</v>
      </c>
      <c r="B2141" s="372" t="s">
        <v>13755</v>
      </c>
      <c r="C2141" s="372" t="s">
        <v>16310</v>
      </c>
      <c r="D2141" s="374">
        <v>1211110117424</v>
      </c>
      <c r="E2141" s="372" t="s">
        <v>16311</v>
      </c>
      <c r="F2141" s="372" t="s">
        <v>1833</v>
      </c>
      <c r="G2141" s="375" t="s">
        <v>1833</v>
      </c>
      <c r="H2141" s="375" t="s">
        <v>3096</v>
      </c>
      <c r="I2141" s="375" t="s">
        <v>859</v>
      </c>
      <c r="J2141" s="375">
        <v>6105.7690199999997</v>
      </c>
      <c r="K2141" s="375">
        <v>-11832.62218</v>
      </c>
      <c r="L2141" s="375">
        <v>-1655.2942599999999</v>
      </c>
      <c r="M2141" s="375">
        <v>-21310.874739999999</v>
      </c>
      <c r="N2141" s="372">
        <v>0.371</v>
      </c>
      <c r="O2141" s="704">
        <v>37.374142386566405</v>
      </c>
      <c r="P2141" s="563" t="s">
        <v>16112</v>
      </c>
      <c r="Q2141" s="372" t="s">
        <v>16113</v>
      </c>
      <c r="R2141" s="696">
        <v>20151013</v>
      </c>
      <c r="S2141" s="372" t="s">
        <v>13756</v>
      </c>
      <c r="T2141" s="697" t="s">
        <v>768</v>
      </c>
      <c r="U2141" s="372" t="s">
        <v>13757</v>
      </c>
      <c r="V2141" s="722" t="s">
        <v>770</v>
      </c>
      <c r="W2141" s="722" t="s">
        <v>770</v>
      </c>
      <c r="X2141" s="722">
        <v>9.2899999999999991</v>
      </c>
      <c r="Y2141" s="722">
        <v>195.21</v>
      </c>
      <c r="Z2141" s="382" t="s">
        <v>924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13758</v>
      </c>
      <c r="B2142" s="372" t="s">
        <v>13759</v>
      </c>
      <c r="C2142" s="372" t="s">
        <v>13760</v>
      </c>
      <c r="D2142" s="374">
        <v>1101110948997</v>
      </c>
      <c r="E2142" s="372" t="s">
        <v>13761</v>
      </c>
      <c r="F2142" s="372" t="s">
        <v>5129</v>
      </c>
      <c r="G2142" s="375" t="s">
        <v>8120</v>
      </c>
      <c r="H2142" s="375" t="s">
        <v>3096</v>
      </c>
      <c r="I2142" s="375" t="s">
        <v>859</v>
      </c>
      <c r="J2142" s="375">
        <v>70662.536749999999</v>
      </c>
      <c r="K2142" s="375">
        <v>3880.5513599999999</v>
      </c>
      <c r="L2142" s="375">
        <v>4119.27207</v>
      </c>
      <c r="M2142" s="375">
        <v>50535.165050000003</v>
      </c>
      <c r="N2142" s="372">
        <v>0.76400000000000001</v>
      </c>
      <c r="O2142" s="704">
        <v>6.1362407946901589</v>
      </c>
      <c r="P2142" s="563" t="s">
        <v>619</v>
      </c>
      <c r="Q2142" s="372" t="s">
        <v>619</v>
      </c>
      <c r="R2142" s="696">
        <v>20111011</v>
      </c>
      <c r="S2142" s="372" t="s">
        <v>13762</v>
      </c>
      <c r="T2142" s="697">
        <v>0.20900000000000002</v>
      </c>
      <c r="U2142" s="372" t="s">
        <v>13763</v>
      </c>
      <c r="V2142" s="722">
        <v>8.2899999999999991</v>
      </c>
      <c r="W2142" s="722">
        <v>0.86</v>
      </c>
      <c r="X2142" s="722">
        <v>0.52</v>
      </c>
      <c r="Y2142" s="722">
        <v>18.55</v>
      </c>
      <c r="Z2142" s="382" t="s">
        <v>924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13764</v>
      </c>
      <c r="B2143" s="372" t="s">
        <v>13765</v>
      </c>
      <c r="C2143" s="372" t="s">
        <v>13766</v>
      </c>
      <c r="D2143" s="374">
        <v>1701110006412</v>
      </c>
      <c r="E2143" s="372" t="s">
        <v>13767</v>
      </c>
      <c r="F2143" s="372" t="s">
        <v>877</v>
      </c>
      <c r="G2143" s="375" t="s">
        <v>877</v>
      </c>
      <c r="H2143" s="375" t="s">
        <v>789</v>
      </c>
      <c r="I2143" s="375" t="s">
        <v>751</v>
      </c>
      <c r="J2143" s="375">
        <v>824994.66772000003</v>
      </c>
      <c r="K2143" s="375">
        <v>20778.829890000001</v>
      </c>
      <c r="L2143" s="375">
        <v>-9390.9842800000006</v>
      </c>
      <c r="M2143" s="375">
        <v>126542.53807</v>
      </c>
      <c r="N2143" s="372">
        <v>0.78700000000000003</v>
      </c>
      <c r="O2143" s="704">
        <v>628.00804843424748</v>
      </c>
      <c r="P2143" s="563" t="s">
        <v>619</v>
      </c>
      <c r="Q2143" s="372" t="s">
        <v>619</v>
      </c>
      <c r="R2143" s="696">
        <v>19860331</v>
      </c>
      <c r="S2143" s="372" t="s">
        <v>851</v>
      </c>
      <c r="T2143" s="697" t="s">
        <v>768</v>
      </c>
      <c r="U2143" s="372" t="s">
        <v>11988</v>
      </c>
      <c r="V2143" s="722">
        <v>5.3</v>
      </c>
      <c r="W2143" s="722">
        <v>0.4</v>
      </c>
      <c r="X2143" s="722">
        <v>0.05</v>
      </c>
      <c r="Y2143" s="722" t="s">
        <v>770</v>
      </c>
      <c r="Z2143" s="382" t="s">
        <v>924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13768</v>
      </c>
      <c r="B2144" s="372" t="s">
        <v>13769</v>
      </c>
      <c r="C2144" s="372" t="s">
        <v>16312</v>
      </c>
      <c r="D2144" s="374">
        <v>1101110084767</v>
      </c>
      <c r="E2144" s="372" t="s">
        <v>16313</v>
      </c>
      <c r="F2144" s="372" t="s">
        <v>6983</v>
      </c>
      <c r="G2144" s="375" t="s">
        <v>13770</v>
      </c>
      <c r="H2144" s="375" t="s">
        <v>843</v>
      </c>
      <c r="I2144" s="375" t="s">
        <v>751</v>
      </c>
      <c r="J2144" s="375">
        <v>241354.38823000001</v>
      </c>
      <c r="K2144" s="375">
        <v>-6659.6429399999997</v>
      </c>
      <c r="L2144" s="375">
        <v>-7245.8584099999998</v>
      </c>
      <c r="M2144" s="375">
        <v>106387.98695000001</v>
      </c>
      <c r="N2144" s="372">
        <v>0.96</v>
      </c>
      <c r="O2144" s="704">
        <v>122.67541318983237</v>
      </c>
      <c r="P2144" s="563" t="s">
        <v>619</v>
      </c>
      <c r="Q2144" s="372" t="s">
        <v>619</v>
      </c>
      <c r="R2144" s="696">
        <v>19961224</v>
      </c>
      <c r="S2144" s="372" t="s">
        <v>13771</v>
      </c>
      <c r="T2144" s="697" t="s">
        <v>768</v>
      </c>
      <c r="U2144" s="372" t="s">
        <v>13772</v>
      </c>
      <c r="V2144" s="722" t="s">
        <v>770</v>
      </c>
      <c r="W2144" s="722">
        <v>0.34</v>
      </c>
      <c r="X2144" s="722">
        <v>0.15</v>
      </c>
      <c r="Y2144" s="722" t="s">
        <v>770</v>
      </c>
      <c r="Z2144" s="382" t="s">
        <v>924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13773</v>
      </c>
      <c r="B2145" s="372" t="s">
        <v>13774</v>
      </c>
      <c r="C2145" s="372" t="s">
        <v>13775</v>
      </c>
      <c r="D2145" s="374">
        <v>1350110031042</v>
      </c>
      <c r="E2145" s="372" t="s">
        <v>13776</v>
      </c>
      <c r="F2145" s="372" t="s">
        <v>3718</v>
      </c>
      <c r="G2145" s="375" t="s">
        <v>3719</v>
      </c>
      <c r="H2145" s="375" t="s">
        <v>858</v>
      </c>
      <c r="I2145" s="375" t="s">
        <v>859</v>
      </c>
      <c r="J2145" s="375">
        <v>252427.39567999999</v>
      </c>
      <c r="K2145" s="375">
        <v>11625.691070000001</v>
      </c>
      <c r="L2145" s="375">
        <v>10465.950080000001</v>
      </c>
      <c r="M2145" s="375">
        <v>91896.643979999993</v>
      </c>
      <c r="N2145" s="372">
        <v>0.79700000000000004</v>
      </c>
      <c r="O2145" s="704">
        <v>58.282658070365024</v>
      </c>
      <c r="P2145" s="563" t="s">
        <v>619</v>
      </c>
      <c r="Q2145" s="372" t="s">
        <v>619</v>
      </c>
      <c r="R2145" s="696">
        <v>20030122</v>
      </c>
      <c r="S2145" s="372" t="s">
        <v>13777</v>
      </c>
      <c r="T2145" s="697">
        <v>0.20900000000000002</v>
      </c>
      <c r="U2145" s="372" t="s">
        <v>13778</v>
      </c>
      <c r="V2145" s="722">
        <v>2.68</v>
      </c>
      <c r="W2145" s="722">
        <v>0.44</v>
      </c>
      <c r="X2145" s="722">
        <v>0.16</v>
      </c>
      <c r="Y2145" s="722">
        <v>4.5999999999999996</v>
      </c>
      <c r="Z2145" s="382" t="s">
        <v>924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13779</v>
      </c>
      <c r="B2146" s="372" t="s">
        <v>13780</v>
      </c>
      <c r="C2146" s="372" t="s">
        <v>13781</v>
      </c>
      <c r="D2146" s="374">
        <v>1101110103707</v>
      </c>
      <c r="E2146" s="372" t="s">
        <v>13782</v>
      </c>
      <c r="F2146" s="372" t="s">
        <v>12307</v>
      </c>
      <c r="G2146" s="375" t="s">
        <v>13783</v>
      </c>
      <c r="H2146" s="375" t="s">
        <v>858</v>
      </c>
      <c r="I2146" s="375" t="s">
        <v>859</v>
      </c>
      <c r="J2146" s="375">
        <v>76344.003110000005</v>
      </c>
      <c r="K2146" s="375">
        <v>618.81102999999996</v>
      </c>
      <c r="L2146" s="375">
        <v>1448.8010300000001</v>
      </c>
      <c r="M2146" s="375">
        <v>49019.652580000002</v>
      </c>
      <c r="N2146" s="372">
        <v>0.753</v>
      </c>
      <c r="O2146" s="704">
        <v>15.405798187395551</v>
      </c>
      <c r="P2146" s="563" t="s">
        <v>619</v>
      </c>
      <c r="Q2146" s="372" t="s">
        <v>619</v>
      </c>
      <c r="R2146" s="696">
        <v>19940930</v>
      </c>
      <c r="S2146" s="372" t="s">
        <v>13784</v>
      </c>
      <c r="T2146" s="697">
        <v>0.20900000000000002</v>
      </c>
      <c r="U2146" s="372" t="s">
        <v>13785</v>
      </c>
      <c r="V2146" s="722">
        <v>0</v>
      </c>
      <c r="W2146" s="722">
        <v>0</v>
      </c>
      <c r="X2146" s="722">
        <v>0</v>
      </c>
      <c r="Y2146" s="722">
        <v>0</v>
      </c>
      <c r="Z2146" s="382" t="s">
        <v>924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13786</v>
      </c>
      <c r="B2147" s="372" t="s">
        <v>13787</v>
      </c>
      <c r="C2147" s="372" t="s">
        <v>13788</v>
      </c>
      <c r="D2147" s="374">
        <v>1101110358956</v>
      </c>
      <c r="E2147" s="372" t="s">
        <v>13789</v>
      </c>
      <c r="F2147" s="372" t="s">
        <v>9925</v>
      </c>
      <c r="G2147" s="375" t="s">
        <v>9925</v>
      </c>
      <c r="H2147" s="375" t="s">
        <v>3096</v>
      </c>
      <c r="I2147" s="375" t="s">
        <v>859</v>
      </c>
      <c r="J2147" s="375">
        <v>21350.693950000001</v>
      </c>
      <c r="K2147" s="375">
        <v>-83.989980000000003</v>
      </c>
      <c r="L2147" s="375">
        <v>-5348.0373900000004</v>
      </c>
      <c r="M2147" s="375">
        <v>34570.400459999997</v>
      </c>
      <c r="N2147" s="372">
        <v>0.36599999999999999</v>
      </c>
      <c r="O2147" s="704">
        <v>172.29265097294319</v>
      </c>
      <c r="P2147" s="563" t="s">
        <v>619</v>
      </c>
      <c r="Q2147" s="372" t="s">
        <v>619</v>
      </c>
      <c r="R2147" s="696">
        <v>19970806</v>
      </c>
      <c r="S2147" s="372" t="s">
        <v>13790</v>
      </c>
      <c r="T2147" s="697" t="s">
        <v>768</v>
      </c>
      <c r="U2147" s="372" t="s">
        <v>13791</v>
      </c>
      <c r="V2147" s="722">
        <v>64.61</v>
      </c>
      <c r="W2147" s="722">
        <v>1.24</v>
      </c>
      <c r="X2147" s="722">
        <v>1.62</v>
      </c>
      <c r="Y2147" s="722" t="s">
        <v>770</v>
      </c>
      <c r="Z2147" s="382" t="s">
        <v>924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13792</v>
      </c>
      <c r="B2148" s="372" t="s">
        <v>13793</v>
      </c>
      <c r="C2148" s="372" t="s">
        <v>13794</v>
      </c>
      <c r="D2148" s="374">
        <v>1301110060490</v>
      </c>
      <c r="E2148" s="372" t="s">
        <v>13795</v>
      </c>
      <c r="F2148" s="372" t="s">
        <v>1174</v>
      </c>
      <c r="G2148" s="375" t="s">
        <v>1175</v>
      </c>
      <c r="H2148" s="375" t="s">
        <v>858</v>
      </c>
      <c r="I2148" s="375" t="s">
        <v>859</v>
      </c>
      <c r="J2148" s="375">
        <v>33801.299590000002</v>
      </c>
      <c r="K2148" s="375">
        <v>-213.98894000000001</v>
      </c>
      <c r="L2148" s="375">
        <v>-994.58133999999995</v>
      </c>
      <c r="M2148" s="375">
        <v>37180.615599999997</v>
      </c>
      <c r="N2148" s="372">
        <v>1.0589999999999999</v>
      </c>
      <c r="O2148" s="704">
        <v>45.045934312286576</v>
      </c>
      <c r="P2148" s="563" t="s">
        <v>619</v>
      </c>
      <c r="Q2148" s="372" t="s">
        <v>619</v>
      </c>
      <c r="R2148" s="696">
        <v>20081216</v>
      </c>
      <c r="S2148" s="372" t="s">
        <v>13796</v>
      </c>
      <c r="T2148" s="697" t="s">
        <v>768</v>
      </c>
      <c r="U2148" s="372" t="s">
        <v>13797</v>
      </c>
      <c r="V2148" s="722">
        <v>0</v>
      </c>
      <c r="W2148" s="722">
        <v>0</v>
      </c>
      <c r="X2148" s="722">
        <v>0</v>
      </c>
      <c r="Y2148" s="722">
        <v>0</v>
      </c>
      <c r="Z2148" s="382" t="s">
        <v>924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13798</v>
      </c>
      <c r="B2149" s="372" t="s">
        <v>13799</v>
      </c>
      <c r="C2149" s="372" t="s">
        <v>13800</v>
      </c>
      <c r="D2149" s="374">
        <v>1348110004664</v>
      </c>
      <c r="E2149" s="372" t="s">
        <v>13801</v>
      </c>
      <c r="F2149" s="372" t="s">
        <v>5511</v>
      </c>
      <c r="G2149" s="375" t="s">
        <v>5511</v>
      </c>
      <c r="H2149" s="375" t="s">
        <v>858</v>
      </c>
      <c r="I2149" s="375" t="s">
        <v>859</v>
      </c>
      <c r="J2149" s="375">
        <v>208903.27369</v>
      </c>
      <c r="K2149" s="375">
        <v>-12355.774509999999</v>
      </c>
      <c r="L2149" s="375">
        <v>-23009.658360000001</v>
      </c>
      <c r="M2149" s="375">
        <v>58345.115879999998</v>
      </c>
      <c r="N2149" s="372">
        <v>0.97599999999999998</v>
      </c>
      <c r="O2149" s="704">
        <v>314.05848370284275</v>
      </c>
      <c r="P2149" s="563" t="s">
        <v>619</v>
      </c>
      <c r="Q2149" s="372" t="s">
        <v>619</v>
      </c>
      <c r="R2149" s="696">
        <v>20040204</v>
      </c>
      <c r="S2149" s="372" t="s">
        <v>13802</v>
      </c>
      <c r="T2149" s="697" t="s">
        <v>768</v>
      </c>
      <c r="U2149" s="372" t="s">
        <v>13803</v>
      </c>
      <c r="V2149" s="722" t="s">
        <v>770</v>
      </c>
      <c r="W2149" s="722">
        <v>0.46</v>
      </c>
      <c r="X2149" s="722">
        <v>0.13</v>
      </c>
      <c r="Y2149" s="722" t="s">
        <v>770</v>
      </c>
      <c r="Z2149" s="382" t="s">
        <v>924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13804</v>
      </c>
      <c r="B2150" s="372" t="s">
        <v>13805</v>
      </c>
      <c r="C2150" s="372" t="s">
        <v>13806</v>
      </c>
      <c r="D2150" s="374">
        <v>1101110012825</v>
      </c>
      <c r="E2150" s="372" t="s">
        <v>13807</v>
      </c>
      <c r="F2150" s="372" t="s">
        <v>2256</v>
      </c>
      <c r="G2150" s="375" t="s">
        <v>2256</v>
      </c>
      <c r="H2150" s="375" t="s">
        <v>4844</v>
      </c>
      <c r="I2150" s="375" t="s">
        <v>859</v>
      </c>
      <c r="J2150" s="375">
        <v>91587.663499999995</v>
      </c>
      <c r="K2150" s="375">
        <v>3471.6968400000001</v>
      </c>
      <c r="L2150" s="375">
        <v>4676.1183899999996</v>
      </c>
      <c r="M2150" s="375">
        <v>66492.815210000001</v>
      </c>
      <c r="N2150" s="372">
        <v>0.52800000000000002</v>
      </c>
      <c r="O2150" s="704">
        <v>0.25168608906153245</v>
      </c>
      <c r="P2150" s="563" t="s">
        <v>619</v>
      </c>
      <c r="Q2150" s="372" t="s">
        <v>619</v>
      </c>
      <c r="R2150" s="696">
        <v>19921123</v>
      </c>
      <c r="S2150" s="372" t="s">
        <v>5040</v>
      </c>
      <c r="T2150" s="697">
        <v>0.20900000000000002</v>
      </c>
      <c r="U2150" s="372" t="s">
        <v>13808</v>
      </c>
      <c r="V2150" s="722">
        <v>0</v>
      </c>
      <c r="W2150" s="722">
        <v>0</v>
      </c>
      <c r="X2150" s="722">
        <v>0</v>
      </c>
      <c r="Y2150" s="722">
        <v>0</v>
      </c>
      <c r="Z2150" s="382" t="s">
        <v>924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13809</v>
      </c>
      <c r="B2151" s="372" t="s">
        <v>13810</v>
      </c>
      <c r="C2151" s="372" t="s">
        <v>13811</v>
      </c>
      <c r="D2151" s="374">
        <v>1845110003856</v>
      </c>
      <c r="E2151" s="372" t="s">
        <v>13812</v>
      </c>
      <c r="F2151" s="372" t="s">
        <v>2744</v>
      </c>
      <c r="G2151" s="375" t="s">
        <v>6509</v>
      </c>
      <c r="H2151" s="375" t="s">
        <v>858</v>
      </c>
      <c r="I2151" s="375" t="s">
        <v>859</v>
      </c>
      <c r="J2151" s="375">
        <v>0</v>
      </c>
      <c r="K2151" s="375">
        <v>0</v>
      </c>
      <c r="L2151" s="375">
        <v>0</v>
      </c>
      <c r="M2151" s="375">
        <v>51580.172989999999</v>
      </c>
      <c r="N2151" s="372">
        <v>0.59</v>
      </c>
      <c r="O2151" s="704">
        <v>364.64085993404456</v>
      </c>
      <c r="P2151" s="563" t="s">
        <v>619</v>
      </c>
      <c r="Q2151" s="372" t="s">
        <v>619</v>
      </c>
      <c r="R2151" s="696">
        <v>19960820</v>
      </c>
      <c r="S2151" s="372" t="s">
        <v>13813</v>
      </c>
      <c r="T2151" s="697" t="s">
        <v>768</v>
      </c>
      <c r="U2151" s="372" t="s">
        <v>13814</v>
      </c>
      <c r="V2151" s="722">
        <v>0</v>
      </c>
      <c r="W2151" s="722">
        <v>0.64</v>
      </c>
      <c r="X2151" s="722">
        <v>0</v>
      </c>
      <c r="Y2151" s="722">
        <v>0</v>
      </c>
      <c r="Z2151" s="382" t="s">
        <v>924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13815</v>
      </c>
      <c r="B2152" s="372" t="s">
        <v>13816</v>
      </c>
      <c r="C2152" s="372" t="s">
        <v>13817</v>
      </c>
      <c r="D2152" s="374">
        <v>1101111667273</v>
      </c>
      <c r="E2152" s="372" t="s">
        <v>13818</v>
      </c>
      <c r="F2152" s="372" t="s">
        <v>1174</v>
      </c>
      <c r="G2152" s="375" t="s">
        <v>1175</v>
      </c>
      <c r="H2152" s="375" t="s">
        <v>858</v>
      </c>
      <c r="I2152" s="375" t="s">
        <v>859</v>
      </c>
      <c r="J2152" s="375">
        <v>64749.854440000003</v>
      </c>
      <c r="K2152" s="375">
        <v>-2505.9699099999998</v>
      </c>
      <c r="L2152" s="375">
        <v>1028.2261100000001</v>
      </c>
      <c r="M2152" s="375">
        <v>38614.948389999998</v>
      </c>
      <c r="N2152" s="372">
        <v>0.90600000000000003</v>
      </c>
      <c r="O2152" s="704">
        <v>73.675643898867307</v>
      </c>
      <c r="P2152" s="563" t="s">
        <v>619</v>
      </c>
      <c r="Q2152" s="372" t="s">
        <v>619</v>
      </c>
      <c r="R2152" s="696">
        <v>20010724</v>
      </c>
      <c r="S2152" s="372" t="s">
        <v>13819</v>
      </c>
      <c r="T2152" s="697">
        <v>0.20900000000000002</v>
      </c>
      <c r="U2152" s="372" t="s">
        <v>13820</v>
      </c>
      <c r="V2152" s="722">
        <v>305.85000000000002</v>
      </c>
      <c r="W2152" s="722">
        <v>1.58</v>
      </c>
      <c r="X2152" s="722">
        <v>0.94</v>
      </c>
      <c r="Y2152" s="722">
        <v>134.69</v>
      </c>
      <c r="Z2152" s="382" t="s">
        <v>924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13821</v>
      </c>
      <c r="B2153" s="372" t="s">
        <v>13822</v>
      </c>
      <c r="C2153" s="372" t="s">
        <v>13823</v>
      </c>
      <c r="D2153" s="374">
        <v>1101118463442</v>
      </c>
      <c r="E2153" s="372" t="s">
        <v>13824</v>
      </c>
      <c r="F2153" s="372" t="s">
        <v>1140</v>
      </c>
      <c r="G2153" s="375" t="s">
        <v>1141</v>
      </c>
      <c r="H2153" s="375" t="s">
        <v>892</v>
      </c>
      <c r="I2153" s="375" t="s">
        <v>859</v>
      </c>
      <c r="J2153" s="375">
        <v>0</v>
      </c>
      <c r="K2153" s="375">
        <v>-54.266419999999997</v>
      </c>
      <c r="L2153" s="375">
        <v>1282.1631600000001</v>
      </c>
      <c r="M2153" s="375">
        <v>45169.908600000002</v>
      </c>
      <c r="N2153" s="372" t="s">
        <v>1023</v>
      </c>
      <c r="O2153" s="704">
        <v>8.3011543551911906</v>
      </c>
      <c r="P2153" s="563" t="s">
        <v>619</v>
      </c>
      <c r="Q2153" s="372" t="s">
        <v>619</v>
      </c>
      <c r="R2153" s="696">
        <v>20230302</v>
      </c>
      <c r="S2153" s="372" t="s">
        <v>9015</v>
      </c>
      <c r="T2153" s="697">
        <v>0.20900000000000002</v>
      </c>
      <c r="U2153" s="372">
        <v>0</v>
      </c>
      <c r="V2153" s="722">
        <v>0</v>
      </c>
      <c r="W2153" s="722">
        <v>0</v>
      </c>
      <c r="X2153" s="722">
        <v>0</v>
      </c>
      <c r="Y2153" s="722">
        <v>0</v>
      </c>
      <c r="Z2153" s="382" t="s">
        <v>770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13825</v>
      </c>
      <c r="B2154" s="372" t="s">
        <v>13826</v>
      </c>
      <c r="C2154" s="372" t="s">
        <v>13827</v>
      </c>
      <c r="D2154" s="374">
        <v>1311110103158</v>
      </c>
      <c r="E2154" s="372" t="s">
        <v>13828</v>
      </c>
      <c r="F2154" s="372" t="s">
        <v>1653</v>
      </c>
      <c r="G2154" s="375" t="s">
        <v>2364</v>
      </c>
      <c r="H2154" s="375" t="s">
        <v>858</v>
      </c>
      <c r="I2154" s="375" t="s">
        <v>859</v>
      </c>
      <c r="J2154" s="375">
        <v>7269.0691699999998</v>
      </c>
      <c r="K2154" s="375">
        <v>-5761.96306</v>
      </c>
      <c r="L2154" s="375">
        <v>-8963.4252500000002</v>
      </c>
      <c r="M2154" s="375">
        <v>23097.467059999999</v>
      </c>
      <c r="N2154" s="372">
        <v>0.85599999999999998</v>
      </c>
      <c r="O2154" s="704">
        <v>50.411168318040531</v>
      </c>
      <c r="P2154" s="563" t="s">
        <v>619</v>
      </c>
      <c r="Q2154" s="372" t="s">
        <v>619</v>
      </c>
      <c r="R2154" s="696">
        <v>20190918</v>
      </c>
      <c r="S2154" s="372" t="s">
        <v>13829</v>
      </c>
      <c r="T2154" s="697" t="s">
        <v>768</v>
      </c>
      <c r="U2154" s="372" t="s">
        <v>13830</v>
      </c>
      <c r="V2154" s="722" t="s">
        <v>770</v>
      </c>
      <c r="W2154" s="722">
        <v>1.65</v>
      </c>
      <c r="X2154" s="722">
        <v>5.24</v>
      </c>
      <c r="Y2154" s="722" t="s">
        <v>770</v>
      </c>
      <c r="Z2154" s="382" t="s">
        <v>924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13831</v>
      </c>
      <c r="B2155" s="372" t="s">
        <v>13832</v>
      </c>
      <c r="C2155" s="372" t="s">
        <v>13833</v>
      </c>
      <c r="D2155" s="374">
        <v>1358110105388</v>
      </c>
      <c r="E2155" s="372" t="s">
        <v>13834</v>
      </c>
      <c r="F2155" s="372" t="s">
        <v>1182</v>
      </c>
      <c r="G2155" s="375" t="s">
        <v>3112</v>
      </c>
      <c r="H2155" s="375" t="s">
        <v>858</v>
      </c>
      <c r="I2155" s="375" t="s">
        <v>859</v>
      </c>
      <c r="J2155" s="375">
        <v>26287.02261</v>
      </c>
      <c r="K2155" s="375">
        <v>-11390.646769999999</v>
      </c>
      <c r="L2155" s="375">
        <v>-22472.858540000001</v>
      </c>
      <c r="M2155" s="375">
        <v>23240.803220000002</v>
      </c>
      <c r="N2155" s="372">
        <v>1.081</v>
      </c>
      <c r="O2155" s="704">
        <v>93.792784301776905</v>
      </c>
      <c r="P2155" s="563" t="s">
        <v>619</v>
      </c>
      <c r="Q2155" s="372" t="s">
        <v>619</v>
      </c>
      <c r="R2155" s="696">
        <v>20130701</v>
      </c>
      <c r="S2155" s="372" t="s">
        <v>13835</v>
      </c>
      <c r="T2155" s="697" t="s">
        <v>768</v>
      </c>
      <c r="U2155" s="372" t="s">
        <v>13836</v>
      </c>
      <c r="V2155" s="722" t="s">
        <v>770</v>
      </c>
      <c r="W2155" s="722">
        <v>1.0900000000000001</v>
      </c>
      <c r="X2155" s="722">
        <v>0.83</v>
      </c>
      <c r="Y2155" s="722" t="s">
        <v>770</v>
      </c>
      <c r="Z2155" s="382" t="s">
        <v>924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13837</v>
      </c>
      <c r="B2156" s="372" t="s">
        <v>13838</v>
      </c>
      <c r="C2156" s="372" t="s">
        <v>13839</v>
      </c>
      <c r="D2156" s="374">
        <v>1101110021678</v>
      </c>
      <c r="E2156" s="372" t="s">
        <v>13840</v>
      </c>
      <c r="F2156" s="372" t="s">
        <v>8669</v>
      </c>
      <c r="G2156" s="375" t="s">
        <v>13841</v>
      </c>
      <c r="H2156" s="375" t="s">
        <v>1040</v>
      </c>
      <c r="I2156" s="375" t="s">
        <v>751</v>
      </c>
      <c r="J2156" s="375">
        <v>140708.55020999999</v>
      </c>
      <c r="K2156" s="375">
        <v>-3210.6089900000002</v>
      </c>
      <c r="L2156" s="375">
        <v>-8662.6515799999997</v>
      </c>
      <c r="M2156" s="375">
        <v>64784.714169999999</v>
      </c>
      <c r="N2156" s="372">
        <v>0.47099999999999997</v>
      </c>
      <c r="O2156" s="704">
        <v>187.0050366893324</v>
      </c>
      <c r="P2156" s="563" t="s">
        <v>619</v>
      </c>
      <c r="Q2156" s="372" t="s">
        <v>619</v>
      </c>
      <c r="R2156" s="696">
        <v>19751120</v>
      </c>
      <c r="S2156" s="372" t="s">
        <v>13842</v>
      </c>
      <c r="T2156" s="697" t="s">
        <v>768</v>
      </c>
      <c r="U2156" s="372" t="s">
        <v>13843</v>
      </c>
      <c r="V2156" s="722">
        <v>87.59</v>
      </c>
      <c r="W2156" s="722">
        <v>0.69</v>
      </c>
      <c r="X2156" s="722">
        <v>0.32</v>
      </c>
      <c r="Y2156" s="722" t="s">
        <v>770</v>
      </c>
      <c r="Z2156" s="382" t="s">
        <v>924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13844</v>
      </c>
      <c r="B2157" s="372" t="s">
        <v>13845</v>
      </c>
      <c r="C2157" s="372" t="s">
        <v>13846</v>
      </c>
      <c r="D2157" s="374">
        <v>1101110015861</v>
      </c>
      <c r="E2157" s="372" t="s">
        <v>13847</v>
      </c>
      <c r="F2157" s="372" t="s">
        <v>2256</v>
      </c>
      <c r="G2157" s="375" t="s">
        <v>2256</v>
      </c>
      <c r="H2157" s="375" t="s">
        <v>1383</v>
      </c>
      <c r="I2157" s="375" t="s">
        <v>751</v>
      </c>
      <c r="J2157" s="375">
        <v>121721.98061</v>
      </c>
      <c r="K2157" s="375">
        <v>-30630.690610000001</v>
      </c>
      <c r="L2157" s="375">
        <v>-33740.380879999997</v>
      </c>
      <c r="M2157" s="375">
        <v>38134.274169999997</v>
      </c>
      <c r="N2157" s="372">
        <v>0.93400000000000005</v>
      </c>
      <c r="O2157" s="704">
        <v>347.69979916845489</v>
      </c>
      <c r="P2157" s="563" t="s">
        <v>619</v>
      </c>
      <c r="Q2157" s="372" t="s">
        <v>619</v>
      </c>
      <c r="R2157" s="696">
        <v>19880525</v>
      </c>
      <c r="S2157" s="372" t="s">
        <v>13848</v>
      </c>
      <c r="T2157" s="697" t="s">
        <v>768</v>
      </c>
      <c r="U2157" s="372" t="s">
        <v>13849</v>
      </c>
      <c r="V2157" s="722" t="s">
        <v>770</v>
      </c>
      <c r="W2157" s="722">
        <v>0.77</v>
      </c>
      <c r="X2157" s="722">
        <v>0.24</v>
      </c>
      <c r="Y2157" s="722" t="s">
        <v>770</v>
      </c>
      <c r="Z2157" s="382" t="s">
        <v>924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13850</v>
      </c>
      <c r="B2158" s="372" t="s">
        <v>13851</v>
      </c>
      <c r="C2158" s="372" t="s">
        <v>13852</v>
      </c>
      <c r="D2158" s="374">
        <v>1311110047447</v>
      </c>
      <c r="E2158" s="372" t="s">
        <v>13853</v>
      </c>
      <c r="F2158" s="372" t="s">
        <v>1793</v>
      </c>
      <c r="G2158" s="375" t="s">
        <v>2794</v>
      </c>
      <c r="H2158" s="375" t="s">
        <v>858</v>
      </c>
      <c r="I2158" s="375" t="s">
        <v>859</v>
      </c>
      <c r="J2158" s="375">
        <v>14003.1428</v>
      </c>
      <c r="K2158" s="375">
        <v>3791.0900499999998</v>
      </c>
      <c r="L2158" s="375">
        <v>5874.6655499999997</v>
      </c>
      <c r="M2158" s="375">
        <v>44845.556660000002</v>
      </c>
      <c r="N2158" s="372">
        <v>0.58799999999999997</v>
      </c>
      <c r="O2158" s="704">
        <v>0.98394066206715669</v>
      </c>
      <c r="P2158" s="563" t="s">
        <v>619</v>
      </c>
      <c r="Q2158" s="372" t="s">
        <v>619</v>
      </c>
      <c r="R2158" s="696">
        <v>20111221</v>
      </c>
      <c r="S2158" s="372" t="s">
        <v>13854</v>
      </c>
      <c r="T2158" s="697">
        <v>0.20900000000000002</v>
      </c>
      <c r="U2158" s="372" t="s">
        <v>13855</v>
      </c>
      <c r="V2158" s="722">
        <v>0</v>
      </c>
      <c r="W2158" s="722">
        <v>0</v>
      </c>
      <c r="X2158" s="722">
        <v>0</v>
      </c>
      <c r="Y2158" s="722">
        <v>0</v>
      </c>
      <c r="Z2158" s="382" t="s">
        <v>924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13856</v>
      </c>
      <c r="B2159" s="372" t="s">
        <v>13857</v>
      </c>
      <c r="C2159" s="372" t="s">
        <v>13858</v>
      </c>
      <c r="D2159" s="374">
        <v>1101111640609</v>
      </c>
      <c r="E2159" s="372" t="s">
        <v>13859</v>
      </c>
      <c r="F2159" s="372" t="s">
        <v>1133</v>
      </c>
      <c r="G2159" s="375" t="s">
        <v>3125</v>
      </c>
      <c r="H2159" s="375" t="s">
        <v>858</v>
      </c>
      <c r="I2159" s="375" t="s">
        <v>859</v>
      </c>
      <c r="J2159" s="375">
        <v>29928.830760000001</v>
      </c>
      <c r="K2159" s="375">
        <v>-12081.074780000001</v>
      </c>
      <c r="L2159" s="375">
        <v>-25644.78829</v>
      </c>
      <c r="M2159" s="375">
        <v>51040.187409999999</v>
      </c>
      <c r="N2159" s="372">
        <v>1.4059999999999999</v>
      </c>
      <c r="O2159" s="704">
        <v>98.698189938688685</v>
      </c>
      <c r="P2159" s="563" t="s">
        <v>619</v>
      </c>
      <c r="Q2159" s="372" t="s">
        <v>619</v>
      </c>
      <c r="R2159" s="696">
        <v>20011012</v>
      </c>
      <c r="S2159" s="372" t="s">
        <v>13860</v>
      </c>
      <c r="T2159" s="697" t="s">
        <v>768</v>
      </c>
      <c r="U2159" s="372" t="s">
        <v>13861</v>
      </c>
      <c r="V2159" s="722" t="s">
        <v>770</v>
      </c>
      <c r="W2159" s="722">
        <v>0.47</v>
      </c>
      <c r="X2159" s="722">
        <v>0.76</v>
      </c>
      <c r="Y2159" s="722" t="s">
        <v>770</v>
      </c>
      <c r="Z2159" s="382" t="s">
        <v>924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13862</v>
      </c>
      <c r="B2160" s="372" t="s">
        <v>13863</v>
      </c>
      <c r="C2160" s="372" t="s">
        <v>13864</v>
      </c>
      <c r="D2160" s="374">
        <v>1101114934273</v>
      </c>
      <c r="E2160" s="372" t="s">
        <v>13865</v>
      </c>
      <c r="F2160" s="372" t="s">
        <v>1793</v>
      </c>
      <c r="G2160" s="375" t="s">
        <v>2794</v>
      </c>
      <c r="H2160" s="375" t="s">
        <v>858</v>
      </c>
      <c r="I2160" s="375" t="s">
        <v>859</v>
      </c>
      <c r="J2160" s="375">
        <v>74082.605620000002</v>
      </c>
      <c r="K2160" s="375">
        <v>-4106.4990600000001</v>
      </c>
      <c r="L2160" s="375">
        <v>-1889.86814</v>
      </c>
      <c r="M2160" s="375">
        <v>17287.31798</v>
      </c>
      <c r="N2160" s="372">
        <v>0.81699999999999995</v>
      </c>
      <c r="O2160" s="704">
        <v>35.570804220645655</v>
      </c>
      <c r="P2160" s="563" t="s">
        <v>619</v>
      </c>
      <c r="Q2160" s="372" t="s">
        <v>619</v>
      </c>
      <c r="R2160" s="696">
        <v>20211111</v>
      </c>
      <c r="S2160" s="372" t="s">
        <v>13866</v>
      </c>
      <c r="T2160" s="697" t="s">
        <v>768</v>
      </c>
      <c r="U2160" s="372" t="s">
        <v>13867</v>
      </c>
      <c r="V2160" s="722" t="s">
        <v>770</v>
      </c>
      <c r="W2160" s="722">
        <v>2.11</v>
      </c>
      <c r="X2160" s="722">
        <v>0.53</v>
      </c>
      <c r="Y2160" s="722" t="s">
        <v>770</v>
      </c>
      <c r="Z2160" s="382" t="s">
        <v>924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13868</v>
      </c>
      <c r="B2161" s="372" t="s">
        <v>13869</v>
      </c>
      <c r="C2161" s="372" t="s">
        <v>13870</v>
      </c>
      <c r="D2161" s="374">
        <v>1348110037954</v>
      </c>
      <c r="E2161" s="372" t="s">
        <v>13871</v>
      </c>
      <c r="F2161" s="372" t="s">
        <v>2181</v>
      </c>
      <c r="G2161" s="375" t="s">
        <v>4880</v>
      </c>
      <c r="H2161" s="375" t="s">
        <v>858</v>
      </c>
      <c r="I2161" s="375" t="s">
        <v>859</v>
      </c>
      <c r="J2161" s="375">
        <v>44995.818290000003</v>
      </c>
      <c r="K2161" s="375">
        <v>-10719.96839</v>
      </c>
      <c r="L2161" s="375">
        <v>-17858.298009999999</v>
      </c>
      <c r="M2161" s="375">
        <v>77296.657380000004</v>
      </c>
      <c r="N2161" s="372">
        <v>0.441</v>
      </c>
      <c r="O2161" s="704">
        <v>57.9292921981136</v>
      </c>
      <c r="P2161" s="563" t="s">
        <v>619</v>
      </c>
      <c r="Q2161" s="372" t="s">
        <v>619</v>
      </c>
      <c r="R2161" s="696">
        <v>20110614</v>
      </c>
      <c r="S2161" s="372" t="s">
        <v>13872</v>
      </c>
      <c r="T2161" s="697" t="s">
        <v>768</v>
      </c>
      <c r="U2161" s="372" t="s">
        <v>13873</v>
      </c>
      <c r="V2161" s="722" t="s">
        <v>770</v>
      </c>
      <c r="W2161" s="722">
        <v>0.46</v>
      </c>
      <c r="X2161" s="722">
        <v>0.82</v>
      </c>
      <c r="Y2161" s="722" t="s">
        <v>770</v>
      </c>
      <c r="Z2161" s="382" t="s">
        <v>924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13874</v>
      </c>
      <c r="B2162" s="372" t="s">
        <v>13875</v>
      </c>
      <c r="C2162" s="372" t="s">
        <v>13876</v>
      </c>
      <c r="D2162" s="374">
        <v>1648110073035</v>
      </c>
      <c r="E2162" s="372" t="s">
        <v>13877</v>
      </c>
      <c r="F2162" s="372" t="s">
        <v>2702</v>
      </c>
      <c r="G2162" s="375" t="s">
        <v>12574</v>
      </c>
      <c r="H2162" s="375" t="s">
        <v>858</v>
      </c>
      <c r="I2162" s="375" t="s">
        <v>859</v>
      </c>
      <c r="J2162" s="375">
        <v>65719.944319999995</v>
      </c>
      <c r="K2162" s="375">
        <v>-1274.6964</v>
      </c>
      <c r="L2162" s="375">
        <v>101.85738000000001</v>
      </c>
      <c r="M2162" s="375">
        <v>126982.98284</v>
      </c>
      <c r="N2162" s="372">
        <v>1.089</v>
      </c>
      <c r="O2162" s="704">
        <v>0.40489742371185594</v>
      </c>
      <c r="P2162" s="563" t="s">
        <v>619</v>
      </c>
      <c r="Q2162" s="372" t="s">
        <v>619</v>
      </c>
      <c r="R2162" s="696">
        <v>20160406</v>
      </c>
      <c r="S2162" s="372" t="s">
        <v>13878</v>
      </c>
      <c r="T2162" s="697">
        <v>9.9000000000000005E-2</v>
      </c>
      <c r="U2162" s="372" t="s">
        <v>13879</v>
      </c>
      <c r="V2162" s="722">
        <v>0</v>
      </c>
      <c r="W2162" s="722">
        <v>0</v>
      </c>
      <c r="X2162" s="722">
        <v>0</v>
      </c>
      <c r="Y2162" s="722">
        <v>0</v>
      </c>
      <c r="Z2162" s="382" t="s">
        <v>924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13880</v>
      </c>
      <c r="B2163" s="372" t="s">
        <v>13881</v>
      </c>
      <c r="C2163" s="372" t="s">
        <v>13882</v>
      </c>
      <c r="D2163" s="374">
        <v>1344110022747</v>
      </c>
      <c r="E2163" s="372" t="s">
        <v>13883</v>
      </c>
      <c r="F2163" s="372" t="s">
        <v>2715</v>
      </c>
      <c r="G2163" s="375" t="s">
        <v>3021</v>
      </c>
      <c r="H2163" s="375" t="s">
        <v>1334</v>
      </c>
      <c r="I2163" s="375" t="s">
        <v>4410</v>
      </c>
      <c r="J2163" s="375">
        <v>15695.57957</v>
      </c>
      <c r="K2163" s="375">
        <v>-10760.59981</v>
      </c>
      <c r="L2163" s="375">
        <v>-67224.381659999999</v>
      </c>
      <c r="M2163" s="375">
        <v>4934.3090199999997</v>
      </c>
      <c r="N2163" s="372">
        <v>1.0920000000000001</v>
      </c>
      <c r="O2163" s="704" t="e">
        <v>#DIV/0!</v>
      </c>
      <c r="P2163" s="563" t="s">
        <v>619</v>
      </c>
      <c r="Q2163" s="372" t="s">
        <v>619</v>
      </c>
      <c r="R2163" s="696">
        <v>20111111</v>
      </c>
      <c r="S2163" s="372" t="e">
        <v>#N/A</v>
      </c>
      <c r="T2163" s="697" t="s">
        <v>768</v>
      </c>
      <c r="U2163" s="372" t="s">
        <v>13884</v>
      </c>
      <c r="V2163" s="722" t="s">
        <v>770</v>
      </c>
      <c r="W2163" s="722">
        <v>0.24</v>
      </c>
      <c r="X2163" s="722">
        <v>0.11</v>
      </c>
      <c r="Y2163" s="722" t="s">
        <v>770</v>
      </c>
      <c r="Z2163" s="382" t="s">
        <v>924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13885</v>
      </c>
      <c r="B2164" s="372" t="s">
        <v>13886</v>
      </c>
      <c r="C2164" s="372" t="s">
        <v>13887</v>
      </c>
      <c r="D2164" s="374">
        <v>1101111967243</v>
      </c>
      <c r="E2164" s="372" t="s">
        <v>13888</v>
      </c>
      <c r="F2164" s="372" t="s">
        <v>2861</v>
      </c>
      <c r="G2164" s="375" t="s">
        <v>5980</v>
      </c>
      <c r="H2164" s="375" t="s">
        <v>858</v>
      </c>
      <c r="I2164" s="375" t="s">
        <v>859</v>
      </c>
      <c r="J2164" s="375">
        <v>103522.96751</v>
      </c>
      <c r="K2164" s="375">
        <v>10248.56625</v>
      </c>
      <c r="L2164" s="375">
        <v>11697.62175</v>
      </c>
      <c r="M2164" s="375">
        <v>73584.170639999997</v>
      </c>
      <c r="N2164" s="372">
        <v>0.62</v>
      </c>
      <c r="O2164" s="704">
        <v>8.5513171271377217</v>
      </c>
      <c r="P2164" s="563" t="s">
        <v>619</v>
      </c>
      <c r="Q2164" s="372" t="s">
        <v>619</v>
      </c>
      <c r="R2164" s="696">
        <v>20181120</v>
      </c>
      <c r="S2164" s="372" t="s">
        <v>13889</v>
      </c>
      <c r="T2164" s="697">
        <v>0.20900000000000002</v>
      </c>
      <c r="U2164" s="372" t="s">
        <v>13890</v>
      </c>
      <c r="V2164" s="722">
        <v>4.22</v>
      </c>
      <c r="W2164" s="722">
        <v>0.71</v>
      </c>
      <c r="X2164" s="722">
        <v>0.5</v>
      </c>
      <c r="Y2164" s="722">
        <v>5.73</v>
      </c>
      <c r="Z2164" s="382" t="s">
        <v>924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1051</v>
      </c>
      <c r="AF2164" s="372">
        <v>0</v>
      </c>
      <c r="AG2164" s="372">
        <v>0</v>
      </c>
      <c r="AH2164" s="372">
        <v>0</v>
      </c>
    </row>
    <row r="2165" spans="1:34">
      <c r="A2165" s="372" t="s">
        <v>13891</v>
      </c>
      <c r="B2165" s="372" t="s">
        <v>13892</v>
      </c>
      <c r="C2165" s="372" t="s">
        <v>13893</v>
      </c>
      <c r="D2165" s="374">
        <v>1101110005664</v>
      </c>
      <c r="E2165" s="372" t="s">
        <v>13894</v>
      </c>
      <c r="F2165" s="372" t="s">
        <v>6143</v>
      </c>
      <c r="G2165" s="375" t="s">
        <v>6144</v>
      </c>
      <c r="H2165" s="375" t="s">
        <v>1536</v>
      </c>
      <c r="I2165" s="375" t="s">
        <v>751</v>
      </c>
      <c r="J2165" s="375">
        <v>58867.382189999997</v>
      </c>
      <c r="K2165" s="375">
        <v>-11278.41021</v>
      </c>
      <c r="L2165" s="375">
        <v>13368.33756</v>
      </c>
      <c r="M2165" s="375">
        <v>198278.93643</v>
      </c>
      <c r="N2165" s="372">
        <v>0.76</v>
      </c>
      <c r="O2165" s="704">
        <v>101.13184558154084</v>
      </c>
      <c r="P2165" s="563" t="s">
        <v>619</v>
      </c>
      <c r="Q2165" s="372" t="s">
        <v>619</v>
      </c>
      <c r="R2165" s="696">
        <v>19681021</v>
      </c>
      <c r="S2165" s="372" t="s">
        <v>13895</v>
      </c>
      <c r="T2165" s="697">
        <v>0.20900000000000002</v>
      </c>
      <c r="U2165" s="372" t="s">
        <v>13896</v>
      </c>
      <c r="V2165" s="722" t="s">
        <v>770</v>
      </c>
      <c r="W2165" s="722">
        <v>0.15</v>
      </c>
      <c r="X2165" s="722">
        <v>0.55000000000000004</v>
      </c>
      <c r="Y2165" s="722">
        <v>2.2200000000000002</v>
      </c>
      <c r="Z2165" s="382" t="s">
        <v>924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13897</v>
      </c>
      <c r="B2166" s="372" t="s">
        <v>13898</v>
      </c>
      <c r="C2166" s="372" t="s">
        <v>13899</v>
      </c>
      <c r="D2166" s="374">
        <v>1101111928295</v>
      </c>
      <c r="E2166" s="372" t="s">
        <v>13900</v>
      </c>
      <c r="F2166" s="372" t="s">
        <v>1793</v>
      </c>
      <c r="G2166" s="375" t="s">
        <v>2794</v>
      </c>
      <c r="H2166" s="375" t="s">
        <v>858</v>
      </c>
      <c r="I2166" s="375" t="s">
        <v>859</v>
      </c>
      <c r="J2166" s="375">
        <v>36377.703110000002</v>
      </c>
      <c r="K2166" s="375">
        <v>-319.40919000000002</v>
      </c>
      <c r="L2166" s="375">
        <v>-2103.3698800000002</v>
      </c>
      <c r="M2166" s="375">
        <v>56053.700839999998</v>
      </c>
      <c r="N2166" s="372">
        <v>1.016</v>
      </c>
      <c r="O2166" s="704">
        <v>6.2555765075578691</v>
      </c>
      <c r="P2166" s="563" t="s">
        <v>619</v>
      </c>
      <c r="Q2166" s="372" t="s">
        <v>619</v>
      </c>
      <c r="R2166" s="696">
        <v>20140530</v>
      </c>
      <c r="S2166" s="372" t="s">
        <v>13901</v>
      </c>
      <c r="T2166" s="697" t="s">
        <v>768</v>
      </c>
      <c r="U2166" s="372" t="s">
        <v>13902</v>
      </c>
      <c r="V2166" s="722">
        <v>43.82</v>
      </c>
      <c r="W2166" s="722">
        <v>0.64</v>
      </c>
      <c r="X2166" s="722">
        <v>0.89</v>
      </c>
      <c r="Y2166" s="722" t="s">
        <v>770</v>
      </c>
      <c r="Z2166" s="382" t="s">
        <v>924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13903</v>
      </c>
      <c r="B2167" s="372" t="s">
        <v>13904</v>
      </c>
      <c r="C2167" s="372" t="s">
        <v>16086</v>
      </c>
      <c r="D2167" s="374">
        <v>1955110072268</v>
      </c>
      <c r="E2167" s="372" t="s">
        <v>16087</v>
      </c>
      <c r="F2167" s="372" t="s">
        <v>1959</v>
      </c>
      <c r="G2167" s="375" t="s">
        <v>1959</v>
      </c>
      <c r="H2167" s="375" t="s">
        <v>858</v>
      </c>
      <c r="I2167" s="375" t="s">
        <v>859</v>
      </c>
      <c r="J2167" s="375">
        <v>78615.984779999999</v>
      </c>
      <c r="K2167" s="375">
        <v>13205.69497</v>
      </c>
      <c r="L2167" s="375">
        <v>5033.1124300000001</v>
      </c>
      <c r="M2167" s="375">
        <v>36936.974710000002</v>
      </c>
      <c r="N2167" s="372">
        <v>0.49</v>
      </c>
      <c r="O2167" s="704">
        <v>4.8523888999149385</v>
      </c>
      <c r="P2167" s="563" t="s">
        <v>619</v>
      </c>
      <c r="Q2167" s="372" t="s">
        <v>619</v>
      </c>
      <c r="R2167" s="696">
        <v>20091106</v>
      </c>
      <c r="S2167" s="372" t="s">
        <v>13905</v>
      </c>
      <c r="T2167" s="697">
        <v>0.20900000000000002</v>
      </c>
      <c r="U2167" s="372" t="s">
        <v>13906</v>
      </c>
      <c r="V2167" s="722">
        <v>3.91</v>
      </c>
      <c r="W2167" s="722">
        <v>1.7</v>
      </c>
      <c r="X2167" s="722">
        <v>0.73</v>
      </c>
      <c r="Y2167" s="722" t="s">
        <v>770</v>
      </c>
      <c r="Z2167" s="382" t="s">
        <v>924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13907</v>
      </c>
      <c r="B2168" s="372" t="s">
        <v>13908</v>
      </c>
      <c r="C2168" s="372" t="s">
        <v>13909</v>
      </c>
      <c r="D2168" s="374">
        <v>1101110542484</v>
      </c>
      <c r="E2168" s="372" t="s">
        <v>13910</v>
      </c>
      <c r="F2168" s="372" t="s">
        <v>972</v>
      </c>
      <c r="G2168" s="375" t="s">
        <v>973</v>
      </c>
      <c r="H2168" s="375" t="s">
        <v>1334</v>
      </c>
      <c r="I2168" s="375" t="s">
        <v>859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0.49399999999999999</v>
      </c>
      <c r="O2168" s="704" t="s">
        <v>16298</v>
      </c>
      <c r="P2168" s="563" t="s">
        <v>619</v>
      </c>
      <c r="Q2168" s="372" t="s">
        <v>619</v>
      </c>
      <c r="R2168" s="696">
        <v>19950929</v>
      </c>
      <c r="S2168" s="372" t="s">
        <v>13911</v>
      </c>
      <c r="T2168" s="697" t="s">
        <v>768</v>
      </c>
      <c r="U2168" s="372" t="s">
        <v>13912</v>
      </c>
      <c r="V2168" s="722">
        <v>0</v>
      </c>
      <c r="W2168" s="722">
        <v>0</v>
      </c>
      <c r="X2168" s="722">
        <v>0</v>
      </c>
      <c r="Y2168" s="722">
        <v>0</v>
      </c>
      <c r="Z2168" s="382" t="s">
        <v>924</v>
      </c>
      <c r="AA2168" s="372">
        <v>1937.5002138</v>
      </c>
      <c r="AB2168" s="372">
        <v>1805.7093313</v>
      </c>
      <c r="AC2168" s="372">
        <v>2284.8762163000001</v>
      </c>
      <c r="AD2168" s="372">
        <v>2567.9069061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13913</v>
      </c>
      <c r="B2169" s="372" t="s">
        <v>13914</v>
      </c>
      <c r="C2169" s="372" t="s">
        <v>13915</v>
      </c>
      <c r="D2169" s="374">
        <v>1101110095152</v>
      </c>
      <c r="E2169" s="372" t="s">
        <v>13916</v>
      </c>
      <c r="F2169" s="372" t="s">
        <v>13917</v>
      </c>
      <c r="G2169" s="375" t="s">
        <v>13918</v>
      </c>
      <c r="H2169" s="375" t="s">
        <v>1536</v>
      </c>
      <c r="I2169" s="375" t="s">
        <v>751</v>
      </c>
      <c r="J2169" s="375">
        <v>85047.407319999998</v>
      </c>
      <c r="K2169" s="375">
        <v>4318.3010899999999</v>
      </c>
      <c r="L2169" s="375">
        <v>10871.04573</v>
      </c>
      <c r="M2169" s="375">
        <v>153860.51806999999</v>
      </c>
      <c r="N2169" s="372">
        <v>0.54900000000000004</v>
      </c>
      <c r="O2169" s="704">
        <v>26.494873272729581</v>
      </c>
      <c r="P2169" s="563" t="s">
        <v>619</v>
      </c>
      <c r="Q2169" s="372" t="s">
        <v>619</v>
      </c>
      <c r="R2169" s="696">
        <v>19900420</v>
      </c>
      <c r="S2169" s="372" t="s">
        <v>13919</v>
      </c>
      <c r="T2169" s="697">
        <v>0.20900000000000002</v>
      </c>
      <c r="U2169" s="372" t="s">
        <v>13920</v>
      </c>
      <c r="V2169" s="722">
        <v>10.79</v>
      </c>
      <c r="W2169" s="722">
        <v>0.3</v>
      </c>
      <c r="X2169" s="722">
        <v>0.44</v>
      </c>
      <c r="Y2169" s="722">
        <v>6.37</v>
      </c>
      <c r="Z2169" s="382" t="s">
        <v>924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13921</v>
      </c>
      <c r="B2170" s="372" t="s">
        <v>13922</v>
      </c>
      <c r="C2170" s="372" t="s">
        <v>13923</v>
      </c>
      <c r="D2170" s="374">
        <v>2062110029823</v>
      </c>
      <c r="E2170" s="372" t="s">
        <v>13924</v>
      </c>
      <c r="F2170" s="372" t="s">
        <v>16098</v>
      </c>
      <c r="G2170" s="375" t="s">
        <v>16098</v>
      </c>
      <c r="H2170" s="375" t="s">
        <v>858</v>
      </c>
      <c r="I2170" s="375" t="s">
        <v>859</v>
      </c>
      <c r="J2170" s="375">
        <v>21586.8802</v>
      </c>
      <c r="K2170" s="375">
        <v>-1028.6539600000001</v>
      </c>
      <c r="L2170" s="375">
        <v>-12663.86088</v>
      </c>
      <c r="M2170" s="375">
        <v>35605.478069999997</v>
      </c>
      <c r="N2170" s="372">
        <v>0.70299999999999996</v>
      </c>
      <c r="O2170" s="704">
        <v>12.660278673495268</v>
      </c>
      <c r="P2170" s="563" t="s">
        <v>619</v>
      </c>
      <c r="Q2170" s="372" t="s">
        <v>619</v>
      </c>
      <c r="R2170" s="696">
        <v>20091222</v>
      </c>
      <c r="S2170" s="372" t="s">
        <v>13925</v>
      </c>
      <c r="T2170" s="697" t="s">
        <v>768</v>
      </c>
      <c r="U2170" s="372" t="s">
        <v>13926</v>
      </c>
      <c r="V2170" s="722">
        <v>0</v>
      </c>
      <c r="W2170" s="722">
        <v>0</v>
      </c>
      <c r="X2170" s="722">
        <v>0</v>
      </c>
      <c r="Y2170" s="722">
        <v>0</v>
      </c>
      <c r="Z2170" s="382" t="s">
        <v>924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13927</v>
      </c>
      <c r="B2171" s="372" t="s">
        <v>13928</v>
      </c>
      <c r="C2171" s="372" t="s">
        <v>13929</v>
      </c>
      <c r="D2171" s="374">
        <v>1701110074493</v>
      </c>
      <c r="E2171" s="372" t="s">
        <v>13930</v>
      </c>
      <c r="F2171" s="372" t="s">
        <v>5129</v>
      </c>
      <c r="G2171" s="375" t="s">
        <v>5129</v>
      </c>
      <c r="H2171" s="375" t="s">
        <v>3096</v>
      </c>
      <c r="I2171" s="375" t="s">
        <v>859</v>
      </c>
      <c r="J2171" s="375">
        <v>33853.248630000002</v>
      </c>
      <c r="K2171" s="375">
        <v>-11705.695760000001</v>
      </c>
      <c r="L2171" s="375">
        <v>-19466.360629999999</v>
      </c>
      <c r="M2171" s="375">
        <v>35135.197509999998</v>
      </c>
      <c r="N2171" s="372">
        <v>0.72299999999999998</v>
      </c>
      <c r="O2171" s="704">
        <v>25.950034535562537</v>
      </c>
      <c r="P2171" s="563" t="s">
        <v>16112</v>
      </c>
      <c r="Q2171" s="372" t="s">
        <v>16113</v>
      </c>
      <c r="R2171" s="696">
        <v>19991218</v>
      </c>
      <c r="S2171" s="372" t="s">
        <v>13931</v>
      </c>
      <c r="T2171" s="697" t="s">
        <v>768</v>
      </c>
      <c r="U2171" s="372" t="s">
        <v>13932</v>
      </c>
      <c r="V2171" s="722" t="s">
        <v>770</v>
      </c>
      <c r="W2171" s="722">
        <v>1.62</v>
      </c>
      <c r="X2171" s="722">
        <v>1.36</v>
      </c>
      <c r="Y2171" s="722" t="s">
        <v>770</v>
      </c>
      <c r="Z2171" s="382" t="s">
        <v>924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13933</v>
      </c>
      <c r="B2172" s="372" t="s">
        <v>13934</v>
      </c>
      <c r="C2172" s="372" t="s">
        <v>13935</v>
      </c>
      <c r="D2172" s="374">
        <v>1101110759493</v>
      </c>
      <c r="E2172" s="372" t="s">
        <v>13936</v>
      </c>
      <c r="F2172" s="372" t="s">
        <v>4843</v>
      </c>
      <c r="G2172" s="375" t="s">
        <v>16114</v>
      </c>
      <c r="H2172" s="375" t="s">
        <v>1383</v>
      </c>
      <c r="I2172" s="375" t="s">
        <v>751</v>
      </c>
      <c r="J2172" s="375">
        <v>1058508.024</v>
      </c>
      <c r="K2172" s="375">
        <v>-210101.10600999999</v>
      </c>
      <c r="L2172" s="375">
        <v>-229256.46979999999</v>
      </c>
      <c r="M2172" s="375">
        <v>664806.13765000005</v>
      </c>
      <c r="N2172" s="372">
        <v>0.61099999999999999</v>
      </c>
      <c r="O2172" s="704">
        <v>516.14121353454618</v>
      </c>
      <c r="P2172" s="563" t="s">
        <v>619</v>
      </c>
      <c r="Q2172" s="372" t="s">
        <v>619</v>
      </c>
      <c r="R2172" s="696">
        <v>19990623</v>
      </c>
      <c r="S2172" s="372" t="s">
        <v>13937</v>
      </c>
      <c r="T2172" s="697" t="s">
        <v>768</v>
      </c>
      <c r="U2172" s="372" t="s">
        <v>13938</v>
      </c>
      <c r="V2172" s="722" t="s">
        <v>770</v>
      </c>
      <c r="W2172" s="722">
        <v>0.21</v>
      </c>
      <c r="X2172" s="722">
        <v>0.11</v>
      </c>
      <c r="Y2172" s="722" t="s">
        <v>770</v>
      </c>
      <c r="Z2172" s="382" t="s">
        <v>924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13939</v>
      </c>
      <c r="B2173" s="372" t="s">
        <v>13940</v>
      </c>
      <c r="C2173" s="372" t="s">
        <v>13941</v>
      </c>
      <c r="D2173" s="374">
        <v>1101113251165</v>
      </c>
      <c r="E2173" s="372" t="s">
        <v>13942</v>
      </c>
      <c r="F2173" s="372" t="s">
        <v>2515</v>
      </c>
      <c r="G2173" s="375" t="s">
        <v>2515</v>
      </c>
      <c r="H2173" s="375" t="s">
        <v>1334</v>
      </c>
      <c r="I2173" s="375" t="s">
        <v>859</v>
      </c>
      <c r="J2173" s="375">
        <v>79156.247759999998</v>
      </c>
      <c r="K2173" s="375">
        <v>-26662.406190000002</v>
      </c>
      <c r="L2173" s="375">
        <v>-34593.084889999998</v>
      </c>
      <c r="M2173" s="375">
        <v>146103.69036000001</v>
      </c>
      <c r="N2173" s="372">
        <v>0.63600000000000001</v>
      </c>
      <c r="O2173" s="704">
        <v>539.1469618674206</v>
      </c>
      <c r="P2173" s="563" t="s">
        <v>619</v>
      </c>
      <c r="Q2173" s="372" t="s">
        <v>619</v>
      </c>
      <c r="R2173" s="696">
        <v>20150731</v>
      </c>
      <c r="S2173" s="372" t="s">
        <v>13943</v>
      </c>
      <c r="T2173" s="697" t="s">
        <v>768</v>
      </c>
      <c r="U2173" s="372" t="s">
        <v>13944</v>
      </c>
      <c r="V2173" s="722" t="s">
        <v>770</v>
      </c>
      <c r="W2173" s="722">
        <v>0.33</v>
      </c>
      <c r="X2173" s="722">
        <v>0.6</v>
      </c>
      <c r="Y2173" s="722" t="s">
        <v>770</v>
      </c>
      <c r="Z2173" s="382" t="s">
        <v>924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13945</v>
      </c>
      <c r="B2174" s="372" t="s">
        <v>13946</v>
      </c>
      <c r="C2174" s="372" t="s">
        <v>16130</v>
      </c>
      <c r="D2174" s="374">
        <v>1101110958590</v>
      </c>
      <c r="E2174" s="372" t="s">
        <v>16131</v>
      </c>
      <c r="F2174" s="372" t="s">
        <v>1367</v>
      </c>
      <c r="G2174" s="375" t="s">
        <v>1367</v>
      </c>
      <c r="H2174" s="375" t="s">
        <v>858</v>
      </c>
      <c r="I2174" s="375" t="s">
        <v>859</v>
      </c>
      <c r="J2174" s="375">
        <v>10224.923290000001</v>
      </c>
      <c r="K2174" s="375">
        <v>-4258.4617500000004</v>
      </c>
      <c r="L2174" s="375">
        <v>-13930.96789</v>
      </c>
      <c r="M2174" s="375">
        <v>22609.826590000001</v>
      </c>
      <c r="N2174" s="372">
        <v>0.73699999999999999</v>
      </c>
      <c r="O2174" s="704">
        <v>75.899412726413132</v>
      </c>
      <c r="P2174" s="563" t="s">
        <v>619</v>
      </c>
      <c r="Q2174" s="372" t="s">
        <v>619</v>
      </c>
      <c r="R2174" s="696">
        <v>20020102</v>
      </c>
      <c r="S2174" s="372" t="s">
        <v>13947</v>
      </c>
      <c r="T2174" s="697" t="s">
        <v>768</v>
      </c>
      <c r="U2174" s="372" t="s">
        <v>16132</v>
      </c>
      <c r="V2174" s="722" t="s">
        <v>770</v>
      </c>
      <c r="W2174" s="722">
        <v>1.05</v>
      </c>
      <c r="X2174" s="722">
        <v>2.5299999999999998</v>
      </c>
      <c r="Y2174" s="722" t="s">
        <v>770</v>
      </c>
      <c r="Z2174" s="382" t="s">
        <v>924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13948</v>
      </c>
      <c r="B2175" s="372" t="s">
        <v>13949</v>
      </c>
      <c r="C2175" s="372" t="s">
        <v>13950</v>
      </c>
      <c r="D2175" s="374">
        <v>1358110286766</v>
      </c>
      <c r="E2175" s="372" t="s">
        <v>13951</v>
      </c>
      <c r="F2175" s="372" t="s">
        <v>13952</v>
      </c>
      <c r="G2175" s="375" t="s">
        <v>13952</v>
      </c>
      <c r="H2175" s="375" t="s">
        <v>858</v>
      </c>
      <c r="I2175" s="375" t="s">
        <v>859</v>
      </c>
      <c r="J2175" s="375">
        <v>23947.508259999999</v>
      </c>
      <c r="K2175" s="375">
        <v>-8261.5193799999997</v>
      </c>
      <c r="L2175" s="375">
        <v>-5092.29738</v>
      </c>
      <c r="M2175" s="375">
        <v>18046.574489999999</v>
      </c>
      <c r="N2175" s="372">
        <v>0.49099999999999999</v>
      </c>
      <c r="O2175" s="704">
        <v>42.020234435340711</v>
      </c>
      <c r="P2175" s="563" t="s">
        <v>619</v>
      </c>
      <c r="Q2175" s="372" t="s">
        <v>619</v>
      </c>
      <c r="R2175" s="696">
        <v>20221229</v>
      </c>
      <c r="S2175" s="372" t="s">
        <v>13953</v>
      </c>
      <c r="T2175" s="697" t="s">
        <v>768</v>
      </c>
      <c r="U2175" s="372" t="s">
        <v>13954</v>
      </c>
      <c r="V2175" s="722" t="s">
        <v>770</v>
      </c>
      <c r="W2175" s="722">
        <v>1.43</v>
      </c>
      <c r="X2175" s="722">
        <v>1.26</v>
      </c>
      <c r="Y2175" s="722" t="s">
        <v>770</v>
      </c>
      <c r="Z2175" s="382" t="s">
        <v>924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13955</v>
      </c>
      <c r="B2176" s="372" t="s">
        <v>13956</v>
      </c>
      <c r="C2176" s="372" t="s">
        <v>13957</v>
      </c>
      <c r="D2176" s="374">
        <v>1101113623463</v>
      </c>
      <c r="E2176" s="372" t="s">
        <v>13958</v>
      </c>
      <c r="F2176" s="372" t="s">
        <v>1793</v>
      </c>
      <c r="G2176" s="375" t="s">
        <v>2794</v>
      </c>
      <c r="H2176" s="375" t="s">
        <v>858</v>
      </c>
      <c r="I2176" s="375" t="s">
        <v>859</v>
      </c>
      <c r="J2176" s="375">
        <v>32173.282660000001</v>
      </c>
      <c r="K2176" s="375">
        <v>-5146.3158999999996</v>
      </c>
      <c r="L2176" s="375">
        <v>-7051.4394199999997</v>
      </c>
      <c r="M2176" s="375">
        <v>30198.892210000002</v>
      </c>
      <c r="N2176" s="372">
        <v>0.88500000000000001</v>
      </c>
      <c r="O2176" s="704">
        <v>23.719699628637859</v>
      </c>
      <c r="P2176" s="563" t="s">
        <v>619</v>
      </c>
      <c r="Q2176" s="372" t="s">
        <v>619</v>
      </c>
      <c r="R2176" s="696">
        <v>20070416</v>
      </c>
      <c r="S2176" s="372" t="s">
        <v>13959</v>
      </c>
      <c r="T2176" s="697" t="s">
        <v>768</v>
      </c>
      <c r="U2176" s="372" t="s">
        <v>13960</v>
      </c>
      <c r="V2176" s="722" t="s">
        <v>770</v>
      </c>
      <c r="W2176" s="722">
        <v>1</v>
      </c>
      <c r="X2176" s="722">
        <v>0.94</v>
      </c>
      <c r="Y2176" s="722" t="s">
        <v>770</v>
      </c>
      <c r="Z2176" s="382" t="s">
        <v>924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13961</v>
      </c>
      <c r="B2177" s="372" t="s">
        <v>13962</v>
      </c>
      <c r="C2177" s="372" t="s">
        <v>13963</v>
      </c>
      <c r="D2177" s="374">
        <v>1101117167128</v>
      </c>
      <c r="E2177" s="372" t="s">
        <v>13964</v>
      </c>
      <c r="F2177" s="372" t="s">
        <v>5622</v>
      </c>
      <c r="G2177" s="375" t="s">
        <v>5622</v>
      </c>
      <c r="H2177" s="375" t="s">
        <v>858</v>
      </c>
      <c r="I2177" s="375" t="s">
        <v>859</v>
      </c>
      <c r="J2177" s="375">
        <v>55418.628299999997</v>
      </c>
      <c r="K2177" s="375">
        <v>-3015.3389699999998</v>
      </c>
      <c r="L2177" s="375">
        <v>-4577.0973700000004</v>
      </c>
      <c r="M2177" s="375">
        <v>27144.118429999999</v>
      </c>
      <c r="N2177" s="372">
        <v>0.55800000000000005</v>
      </c>
      <c r="O2177" s="704">
        <v>20.552975531751382</v>
      </c>
      <c r="P2177" s="563" t="s">
        <v>619</v>
      </c>
      <c r="Q2177" s="372" t="s">
        <v>619</v>
      </c>
      <c r="R2177" s="696">
        <v>20191002</v>
      </c>
      <c r="S2177" s="372" t="s">
        <v>13965</v>
      </c>
      <c r="T2177" s="697" t="s">
        <v>768</v>
      </c>
      <c r="U2177" s="372" t="s">
        <v>13966</v>
      </c>
      <c r="V2177" s="722">
        <v>0</v>
      </c>
      <c r="W2177" s="722">
        <v>0</v>
      </c>
      <c r="X2177" s="722">
        <v>0</v>
      </c>
      <c r="Y2177" s="722">
        <v>0</v>
      </c>
      <c r="Z2177" s="382" t="s">
        <v>924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13967</v>
      </c>
      <c r="B2178" s="372" t="s">
        <v>13968</v>
      </c>
      <c r="C2178" s="372" t="s">
        <v>13969</v>
      </c>
      <c r="D2178" s="374">
        <v>1101111787378</v>
      </c>
      <c r="E2178" s="372" t="s">
        <v>13970</v>
      </c>
      <c r="F2178" s="372" t="s">
        <v>2219</v>
      </c>
      <c r="G2178" s="375" t="s">
        <v>2219</v>
      </c>
      <c r="H2178" s="375" t="s">
        <v>858</v>
      </c>
      <c r="I2178" s="375" t="s">
        <v>859</v>
      </c>
      <c r="J2178" s="375">
        <v>13228.63092</v>
      </c>
      <c r="K2178" s="375">
        <v>-3796.7403300000001</v>
      </c>
      <c r="L2178" s="375">
        <v>-4446.9623199999996</v>
      </c>
      <c r="M2178" s="375">
        <v>47535.333550000003</v>
      </c>
      <c r="N2178" s="372">
        <v>0.79800000000000004</v>
      </c>
      <c r="O2178" s="704">
        <v>33.770271294521905</v>
      </c>
      <c r="P2178" s="563" t="s">
        <v>619</v>
      </c>
      <c r="Q2178" s="372" t="s">
        <v>619</v>
      </c>
      <c r="R2178" s="696">
        <v>20181226</v>
      </c>
      <c r="S2178" s="372" t="s">
        <v>13971</v>
      </c>
      <c r="T2178" s="697" t="s">
        <v>768</v>
      </c>
      <c r="U2178" s="372" t="s">
        <v>13972</v>
      </c>
      <c r="V2178" s="722" t="s">
        <v>770</v>
      </c>
      <c r="W2178" s="722">
        <v>0.78</v>
      </c>
      <c r="X2178" s="722">
        <v>2.81</v>
      </c>
      <c r="Y2178" s="722" t="s">
        <v>770</v>
      </c>
      <c r="Z2178" s="382" t="s">
        <v>924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13973</v>
      </c>
      <c r="B2179" s="372" t="s">
        <v>13974</v>
      </c>
      <c r="C2179" s="372" t="s">
        <v>13975</v>
      </c>
      <c r="D2179" s="374">
        <v>1311110021699</v>
      </c>
      <c r="E2179" s="372" t="s">
        <v>13976</v>
      </c>
      <c r="F2179" s="372" t="s">
        <v>1740</v>
      </c>
      <c r="G2179" s="375" t="s">
        <v>1740</v>
      </c>
      <c r="H2179" s="375" t="s">
        <v>3096</v>
      </c>
      <c r="I2179" s="375" t="s">
        <v>859</v>
      </c>
      <c r="J2179" s="375">
        <v>18392.530760000001</v>
      </c>
      <c r="K2179" s="375">
        <v>6067.7922500000004</v>
      </c>
      <c r="L2179" s="375">
        <v>5758.5437099999999</v>
      </c>
      <c r="M2179" s="375">
        <v>80446.081319999998</v>
      </c>
      <c r="N2179" s="372">
        <v>0.57199999999999995</v>
      </c>
      <c r="O2179" s="704">
        <v>0</v>
      </c>
      <c r="P2179" s="563" t="s">
        <v>619</v>
      </c>
      <c r="Q2179" s="372" t="s">
        <v>619</v>
      </c>
      <c r="R2179" s="696">
        <v>20011113</v>
      </c>
      <c r="S2179" s="372" t="s">
        <v>13977</v>
      </c>
      <c r="T2179" s="697">
        <v>0.20900000000000002</v>
      </c>
      <c r="U2179" s="372" t="s">
        <v>13978</v>
      </c>
      <c r="V2179" s="722">
        <v>6.44</v>
      </c>
      <c r="W2179" s="722">
        <v>0.46</v>
      </c>
      <c r="X2179" s="722">
        <v>2.2999999999999998</v>
      </c>
      <c r="Y2179" s="722">
        <v>9.27</v>
      </c>
      <c r="Z2179" s="382" t="s">
        <v>924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13979</v>
      </c>
      <c r="B2180" s="372" t="s">
        <v>13980</v>
      </c>
      <c r="C2180" s="372" t="s">
        <v>13981</v>
      </c>
      <c r="D2180" s="374">
        <v>1101115221158</v>
      </c>
      <c r="E2180" s="372" t="s">
        <v>13982</v>
      </c>
      <c r="F2180" s="372" t="s">
        <v>1367</v>
      </c>
      <c r="G2180" s="375" t="s">
        <v>1367</v>
      </c>
      <c r="H2180" s="375" t="s">
        <v>858</v>
      </c>
      <c r="I2180" s="375" t="s">
        <v>859</v>
      </c>
      <c r="J2180" s="375">
        <v>48527.028700000003</v>
      </c>
      <c r="K2180" s="375">
        <v>-1863.5278499999999</v>
      </c>
      <c r="L2180" s="375">
        <v>-3130.8939399999999</v>
      </c>
      <c r="M2180" s="375">
        <v>53103.08051</v>
      </c>
      <c r="N2180" s="372">
        <v>1.1060000000000001</v>
      </c>
      <c r="O2180" s="704">
        <v>119.41976240228156</v>
      </c>
      <c r="P2180" s="563" t="s">
        <v>619</v>
      </c>
      <c r="Q2180" s="372" t="s">
        <v>619</v>
      </c>
      <c r="R2180" s="696">
        <v>20131220</v>
      </c>
      <c r="S2180" s="372" t="s">
        <v>13983</v>
      </c>
      <c r="T2180" s="697" t="s">
        <v>768</v>
      </c>
      <c r="U2180" s="372" t="s">
        <v>13984</v>
      </c>
      <c r="V2180" s="722">
        <v>47.41</v>
      </c>
      <c r="W2180" s="722">
        <v>0.69</v>
      </c>
      <c r="X2180" s="722">
        <v>0.64</v>
      </c>
      <c r="Y2180" s="722" t="s">
        <v>770</v>
      </c>
      <c r="Z2180" s="382" t="s">
        <v>924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13985</v>
      </c>
      <c r="B2181" s="372" t="s">
        <v>13986</v>
      </c>
      <c r="C2181" s="372" t="s">
        <v>13987</v>
      </c>
      <c r="D2181" s="374">
        <v>1341110021539</v>
      </c>
      <c r="E2181" s="372" t="s">
        <v>13988</v>
      </c>
      <c r="F2181" s="372" t="s">
        <v>3953</v>
      </c>
      <c r="G2181" s="375" t="s">
        <v>3953</v>
      </c>
      <c r="H2181" s="375" t="s">
        <v>858</v>
      </c>
      <c r="I2181" s="375" t="s">
        <v>859</v>
      </c>
      <c r="J2181" s="375">
        <v>71628.960049999994</v>
      </c>
      <c r="K2181" s="375">
        <v>-2494.6767199999999</v>
      </c>
      <c r="L2181" s="375">
        <v>-4131.6805800000002</v>
      </c>
      <c r="M2181" s="375">
        <v>40478.856099999997</v>
      </c>
      <c r="N2181" s="372">
        <v>0.53800000000000003</v>
      </c>
      <c r="O2181" s="704">
        <v>55.674397346622172</v>
      </c>
      <c r="P2181" s="563" t="s">
        <v>619</v>
      </c>
      <c r="Q2181" s="372" t="s">
        <v>619</v>
      </c>
      <c r="R2181" s="696">
        <v>20030113</v>
      </c>
      <c r="S2181" s="372" t="s">
        <v>2066</v>
      </c>
      <c r="T2181" s="697" t="s">
        <v>768</v>
      </c>
      <c r="U2181" s="372" t="s">
        <v>13989</v>
      </c>
      <c r="V2181" s="722" t="s">
        <v>770</v>
      </c>
      <c r="W2181" s="722">
        <v>1.38</v>
      </c>
      <c r="X2181" s="722">
        <v>0.8</v>
      </c>
      <c r="Y2181" s="722" t="s">
        <v>770</v>
      </c>
      <c r="Z2181" s="382" t="s">
        <v>924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13990</v>
      </c>
      <c r="B2182" s="372" t="s">
        <v>13991</v>
      </c>
      <c r="C2182" s="372" t="s">
        <v>13992</v>
      </c>
      <c r="D2182" s="374">
        <v>1101112507551</v>
      </c>
      <c r="E2182" s="372" t="s">
        <v>13993</v>
      </c>
      <c r="F2182" s="372" t="s">
        <v>1534</v>
      </c>
      <c r="G2182" s="375" t="s">
        <v>3638</v>
      </c>
      <c r="H2182" s="375" t="s">
        <v>1536</v>
      </c>
      <c r="I2182" s="375" t="s">
        <v>751</v>
      </c>
      <c r="J2182" s="375">
        <v>133747.82782999999</v>
      </c>
      <c r="K2182" s="375">
        <v>2762.79765</v>
      </c>
      <c r="L2182" s="375">
        <v>824.13869</v>
      </c>
      <c r="M2182" s="375">
        <v>71645.946729999996</v>
      </c>
      <c r="N2182" s="372">
        <v>1.0569999999999999</v>
      </c>
      <c r="O2182" s="704">
        <v>89.906289827091797</v>
      </c>
      <c r="P2182" s="563" t="s">
        <v>619</v>
      </c>
      <c r="Q2182" s="372" t="s">
        <v>619</v>
      </c>
      <c r="R2182" s="696">
        <v>20090928</v>
      </c>
      <c r="S2182" s="372" t="s">
        <v>13994</v>
      </c>
      <c r="T2182" s="697">
        <v>0.20900000000000002</v>
      </c>
      <c r="U2182" s="372" t="s">
        <v>13995</v>
      </c>
      <c r="V2182" s="722">
        <v>13.59</v>
      </c>
      <c r="W2182" s="722">
        <v>0.55000000000000004</v>
      </c>
      <c r="X2182" s="722">
        <v>0.3</v>
      </c>
      <c r="Y2182" s="722">
        <v>16.37</v>
      </c>
      <c r="Z2182" s="382" t="s">
        <v>924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13996</v>
      </c>
      <c r="B2183" s="372" t="s">
        <v>13997</v>
      </c>
      <c r="C2183" s="372" t="s">
        <v>13998</v>
      </c>
      <c r="D2183" s="374">
        <v>1801110052091</v>
      </c>
      <c r="E2183" s="372" t="s">
        <v>13999</v>
      </c>
      <c r="F2183" s="372" t="s">
        <v>8669</v>
      </c>
      <c r="G2183" s="375" t="s">
        <v>8670</v>
      </c>
      <c r="H2183" s="375" t="s">
        <v>858</v>
      </c>
      <c r="I2183" s="375" t="s">
        <v>859</v>
      </c>
      <c r="J2183" s="375">
        <v>12784.92822</v>
      </c>
      <c r="K2183" s="375">
        <v>2039.6893399999999</v>
      </c>
      <c r="L2183" s="375">
        <v>6391.7664400000003</v>
      </c>
      <c r="M2183" s="375">
        <v>78034.822520000002</v>
      </c>
      <c r="N2183" s="372">
        <v>1.1080000000000001</v>
      </c>
      <c r="O2183" s="704">
        <v>0</v>
      </c>
      <c r="P2183" s="563" t="s">
        <v>619</v>
      </c>
      <c r="Q2183" s="372" t="s">
        <v>619</v>
      </c>
      <c r="R2183" s="696">
        <v>19911218</v>
      </c>
      <c r="S2183" s="372" t="s">
        <v>14000</v>
      </c>
      <c r="T2183" s="697">
        <v>0.20900000000000002</v>
      </c>
      <c r="U2183" s="372" t="s">
        <v>14001</v>
      </c>
      <c r="V2183" s="722">
        <v>0</v>
      </c>
      <c r="W2183" s="722">
        <v>0</v>
      </c>
      <c r="X2183" s="722">
        <v>0</v>
      </c>
      <c r="Y2183" s="722">
        <v>0</v>
      </c>
      <c r="Z2183" s="382" t="s">
        <v>924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14002</v>
      </c>
      <c r="B2184" s="372" t="s">
        <v>14003</v>
      </c>
      <c r="C2184" s="372" t="s">
        <v>14004</v>
      </c>
      <c r="D2184" s="374">
        <v>1812110008083</v>
      </c>
      <c r="E2184" s="372" t="s">
        <v>14005</v>
      </c>
      <c r="F2184" s="372" t="s">
        <v>2004</v>
      </c>
      <c r="G2184" s="375" t="s">
        <v>2004</v>
      </c>
      <c r="H2184" s="375" t="s">
        <v>858</v>
      </c>
      <c r="I2184" s="375" t="s">
        <v>859</v>
      </c>
      <c r="J2184" s="375">
        <v>214759.72758000001</v>
      </c>
      <c r="K2184" s="375">
        <v>1794.45355</v>
      </c>
      <c r="L2184" s="375">
        <v>-6603.8723499999996</v>
      </c>
      <c r="M2184" s="375">
        <v>38337.778749999998</v>
      </c>
      <c r="N2184" s="372">
        <v>0.80700000000000005</v>
      </c>
      <c r="O2184" s="704">
        <v>61.940671549943694</v>
      </c>
      <c r="P2184" s="563" t="s">
        <v>619</v>
      </c>
      <c r="Q2184" s="372" t="s">
        <v>619</v>
      </c>
      <c r="R2184" s="696">
        <v>20020917</v>
      </c>
      <c r="S2184" s="372" t="s">
        <v>14006</v>
      </c>
      <c r="T2184" s="697" t="s">
        <v>768</v>
      </c>
      <c r="U2184" s="372" t="s">
        <v>14007</v>
      </c>
      <c r="V2184" s="722">
        <v>13.72</v>
      </c>
      <c r="W2184" s="722">
        <v>1.05</v>
      </c>
      <c r="X2184" s="722">
        <v>0.19</v>
      </c>
      <c r="Y2184" s="722" t="s">
        <v>770</v>
      </c>
      <c r="Z2184" s="382" t="s">
        <v>924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14008</v>
      </c>
      <c r="B2185" s="372" t="s">
        <v>14009</v>
      </c>
      <c r="C2185" s="372" t="s">
        <v>14010</v>
      </c>
      <c r="D2185" s="374">
        <v>1101111220063</v>
      </c>
      <c r="E2185" s="372" t="s">
        <v>14011</v>
      </c>
      <c r="F2185" s="372" t="s">
        <v>1367</v>
      </c>
      <c r="G2185" s="375" t="s">
        <v>1367</v>
      </c>
      <c r="H2185" s="375" t="s">
        <v>858</v>
      </c>
      <c r="I2185" s="375" t="s">
        <v>859</v>
      </c>
      <c r="J2185" s="375">
        <v>29323.079890000001</v>
      </c>
      <c r="K2185" s="375">
        <v>3503.5282200000001</v>
      </c>
      <c r="L2185" s="375">
        <v>3977.1424400000001</v>
      </c>
      <c r="M2185" s="375">
        <v>102640.39229</v>
      </c>
      <c r="N2185" s="372">
        <v>0.81</v>
      </c>
      <c r="O2185" s="704">
        <v>0.25617233853374599</v>
      </c>
      <c r="P2185" s="563" t="s">
        <v>619</v>
      </c>
      <c r="Q2185" s="372" t="s">
        <v>619</v>
      </c>
      <c r="R2185" s="696">
        <v>20000607</v>
      </c>
      <c r="S2185" s="372" t="s">
        <v>14012</v>
      </c>
      <c r="T2185" s="697">
        <v>0.20900000000000002</v>
      </c>
      <c r="U2185" s="372" t="s">
        <v>14013</v>
      </c>
      <c r="V2185" s="722">
        <v>5.73</v>
      </c>
      <c r="W2185" s="722">
        <v>0.28000000000000003</v>
      </c>
      <c r="X2185" s="722">
        <v>0.99</v>
      </c>
      <c r="Y2185" s="722">
        <v>4.04</v>
      </c>
      <c r="Z2185" s="382" t="s">
        <v>924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14014</v>
      </c>
      <c r="B2186" s="372" t="s">
        <v>14015</v>
      </c>
      <c r="C2186" s="372" t="s">
        <v>14016</v>
      </c>
      <c r="D2186" s="374">
        <v>2801110073830</v>
      </c>
      <c r="E2186" s="372" t="s">
        <v>14017</v>
      </c>
      <c r="F2186" s="372" t="s">
        <v>2508</v>
      </c>
      <c r="G2186" s="375" t="s">
        <v>2508</v>
      </c>
      <c r="H2186" s="375" t="s">
        <v>858</v>
      </c>
      <c r="I2186" s="375" t="s">
        <v>859</v>
      </c>
      <c r="J2186" s="375">
        <v>18677.50331</v>
      </c>
      <c r="K2186" s="375">
        <v>-3415.9798500000002</v>
      </c>
      <c r="L2186" s="375">
        <v>-3142.7024299999998</v>
      </c>
      <c r="M2186" s="375">
        <v>13373.75441</v>
      </c>
      <c r="N2186" s="372">
        <v>0.72</v>
      </c>
      <c r="O2186" s="704">
        <v>35.893422956810241</v>
      </c>
      <c r="P2186" s="563" t="s">
        <v>619</v>
      </c>
      <c r="Q2186" s="372" t="s">
        <v>619</v>
      </c>
      <c r="R2186" s="696">
        <v>20120927</v>
      </c>
      <c r="S2186" s="372" t="s">
        <v>14018</v>
      </c>
      <c r="T2186" s="697" t="s">
        <v>768</v>
      </c>
      <c r="U2186" s="372" t="s">
        <v>14019</v>
      </c>
      <c r="V2186" s="722" t="s">
        <v>770</v>
      </c>
      <c r="W2186" s="722">
        <v>1.92</v>
      </c>
      <c r="X2186" s="722">
        <v>1.58</v>
      </c>
      <c r="Y2186" s="722" t="s">
        <v>770</v>
      </c>
      <c r="Z2186" s="382" t="s">
        <v>924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14020</v>
      </c>
      <c r="B2187" s="372" t="s">
        <v>14021</v>
      </c>
      <c r="C2187" s="372" t="s">
        <v>14022</v>
      </c>
      <c r="D2187" s="374">
        <v>1101110046197</v>
      </c>
      <c r="E2187" s="372" t="s">
        <v>14023</v>
      </c>
      <c r="F2187" s="372" t="s">
        <v>2702</v>
      </c>
      <c r="G2187" s="375" t="s">
        <v>5192</v>
      </c>
      <c r="H2187" s="375" t="s">
        <v>858</v>
      </c>
      <c r="I2187" s="375" t="s">
        <v>859</v>
      </c>
      <c r="J2187" s="375">
        <v>103348.07953</v>
      </c>
      <c r="K2187" s="375">
        <v>4429.5795900000003</v>
      </c>
      <c r="L2187" s="375">
        <v>4872.6447500000004</v>
      </c>
      <c r="M2187" s="375">
        <v>46607.47423</v>
      </c>
      <c r="N2187" s="372">
        <v>0.80400000000000005</v>
      </c>
      <c r="O2187" s="704">
        <v>5.5104536352104443</v>
      </c>
      <c r="P2187" s="563" t="s">
        <v>619</v>
      </c>
      <c r="Q2187" s="372" t="s">
        <v>619</v>
      </c>
      <c r="R2187" s="696">
        <v>19881229</v>
      </c>
      <c r="S2187" s="372" t="s">
        <v>5193</v>
      </c>
      <c r="T2187" s="697">
        <v>0.20900000000000002</v>
      </c>
      <c r="U2187" s="372" t="s">
        <v>14024</v>
      </c>
      <c r="V2187" s="722">
        <v>7.21</v>
      </c>
      <c r="W2187" s="722">
        <v>0.92</v>
      </c>
      <c r="X2187" s="722">
        <v>0.3</v>
      </c>
      <c r="Y2187" s="722">
        <v>26.69</v>
      </c>
      <c r="Z2187" s="382" t="s">
        <v>924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14025</v>
      </c>
      <c r="B2188" s="372" t="s">
        <v>14026</v>
      </c>
      <c r="C2188" s="372" t="s">
        <v>14027</v>
      </c>
      <c r="D2188" s="374">
        <v>1747110000187</v>
      </c>
      <c r="E2188" s="372" t="s">
        <v>14028</v>
      </c>
      <c r="F2188" s="372" t="s">
        <v>5298</v>
      </c>
      <c r="G2188" s="375" t="s">
        <v>5298</v>
      </c>
      <c r="H2188" s="375" t="s">
        <v>858</v>
      </c>
      <c r="I2188" s="375" t="s">
        <v>859</v>
      </c>
      <c r="J2188" s="375">
        <v>102569.78646</v>
      </c>
      <c r="K2188" s="375">
        <v>9658.6569400000008</v>
      </c>
      <c r="L2188" s="375">
        <v>10333.176729999999</v>
      </c>
      <c r="M2188" s="375">
        <v>71898.088210000002</v>
      </c>
      <c r="N2188" s="372">
        <v>0.63800000000000001</v>
      </c>
      <c r="O2188" s="704">
        <v>86.747969308747884</v>
      </c>
      <c r="P2188" s="563" t="s">
        <v>619</v>
      </c>
      <c r="Q2188" s="372" t="s">
        <v>619</v>
      </c>
      <c r="R2188" s="696">
        <v>19950630</v>
      </c>
      <c r="S2188" s="372" t="s">
        <v>6909</v>
      </c>
      <c r="T2188" s="697">
        <v>0.20900000000000002</v>
      </c>
      <c r="U2188" s="372" t="s">
        <v>14029</v>
      </c>
      <c r="V2188" s="722">
        <v>4.2300000000000004</v>
      </c>
      <c r="W2188" s="722">
        <v>0.67</v>
      </c>
      <c r="X2188" s="722">
        <v>0.47</v>
      </c>
      <c r="Y2188" s="722">
        <v>5.76</v>
      </c>
      <c r="Z2188" s="382" t="s">
        <v>924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14030</v>
      </c>
      <c r="B2189" s="372" t="s">
        <v>14031</v>
      </c>
      <c r="C2189" s="372" t="s">
        <v>14032</v>
      </c>
      <c r="D2189" s="374">
        <v>1101118321054</v>
      </c>
      <c r="E2189" s="372" t="s">
        <v>14033</v>
      </c>
      <c r="F2189" s="372" t="s">
        <v>1140</v>
      </c>
      <c r="G2189" s="375" t="s">
        <v>1141</v>
      </c>
      <c r="H2189" s="375" t="s">
        <v>892</v>
      </c>
      <c r="I2189" s="375" t="s">
        <v>859</v>
      </c>
      <c r="J2189" s="375">
        <v>0</v>
      </c>
      <c r="K2189" s="375">
        <v>-177.74254999999999</v>
      </c>
      <c r="L2189" s="375">
        <v>1218.7807</v>
      </c>
      <c r="M2189" s="375">
        <v>44016.37831</v>
      </c>
      <c r="N2189" s="372">
        <v>0.30299999999999999</v>
      </c>
      <c r="O2189" s="704">
        <v>11.410618495869542</v>
      </c>
      <c r="P2189" s="563" t="s">
        <v>619</v>
      </c>
      <c r="Q2189" s="372" t="s">
        <v>619</v>
      </c>
      <c r="R2189" s="696">
        <v>20221020</v>
      </c>
      <c r="S2189" s="372" t="s">
        <v>9015</v>
      </c>
      <c r="T2189" s="697">
        <v>0.20900000000000002</v>
      </c>
      <c r="U2189" s="372">
        <v>0</v>
      </c>
      <c r="V2189" s="722">
        <v>0</v>
      </c>
      <c r="W2189" s="722">
        <v>0</v>
      </c>
      <c r="X2189" s="722">
        <v>0</v>
      </c>
      <c r="Y2189" s="722">
        <v>0</v>
      </c>
      <c r="Z2189" s="382" t="s">
        <v>770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14034</v>
      </c>
      <c r="B2190" s="372" t="s">
        <v>14035</v>
      </c>
      <c r="C2190" s="372" t="s">
        <v>14036</v>
      </c>
      <c r="D2190" s="374">
        <v>1101110685309</v>
      </c>
      <c r="E2190" s="372" t="s">
        <v>14037</v>
      </c>
      <c r="F2190" s="372" t="s">
        <v>1003</v>
      </c>
      <c r="G2190" s="375" t="s">
        <v>1003</v>
      </c>
      <c r="H2190" s="375" t="s">
        <v>858</v>
      </c>
      <c r="I2190" s="375" t="s">
        <v>859</v>
      </c>
      <c r="J2190" s="375">
        <v>31601.300749999999</v>
      </c>
      <c r="K2190" s="375">
        <v>-11241.57012</v>
      </c>
      <c r="L2190" s="375">
        <v>-28670.971099999999</v>
      </c>
      <c r="M2190" s="375">
        <v>17810.968840000001</v>
      </c>
      <c r="N2190" s="372">
        <v>0.77600000000000002</v>
      </c>
      <c r="O2190" s="704">
        <v>30.523462902249054</v>
      </c>
      <c r="P2190" s="563" t="s">
        <v>619</v>
      </c>
      <c r="Q2190" s="372" t="s">
        <v>619</v>
      </c>
      <c r="R2190" s="696">
        <v>19971110</v>
      </c>
      <c r="S2190" s="372" t="s">
        <v>14038</v>
      </c>
      <c r="T2190" s="697" t="s">
        <v>768</v>
      </c>
      <c r="U2190" s="372" t="s">
        <v>14039</v>
      </c>
      <c r="V2190" s="722" t="s">
        <v>770</v>
      </c>
      <c r="W2190" s="722">
        <v>1.02</v>
      </c>
      <c r="X2190" s="722">
        <v>0.59</v>
      </c>
      <c r="Y2190" s="722" t="s">
        <v>770</v>
      </c>
      <c r="Z2190" s="382" t="s">
        <v>924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14040</v>
      </c>
      <c r="B2191" s="372" t="s">
        <v>14041</v>
      </c>
      <c r="C2191" s="372" t="s">
        <v>14042</v>
      </c>
      <c r="D2191" s="374">
        <v>1348110003715</v>
      </c>
      <c r="E2191" s="372" t="s">
        <v>14043</v>
      </c>
      <c r="F2191" s="372" t="s">
        <v>2113</v>
      </c>
      <c r="G2191" s="375" t="s">
        <v>14044</v>
      </c>
      <c r="H2191" s="375" t="s">
        <v>858</v>
      </c>
      <c r="I2191" s="375" t="s">
        <v>859</v>
      </c>
      <c r="J2191" s="375">
        <v>87498.444730000003</v>
      </c>
      <c r="K2191" s="375">
        <v>9638.9998099999993</v>
      </c>
      <c r="L2191" s="375">
        <v>9066.5067400000007</v>
      </c>
      <c r="M2191" s="375">
        <v>66935.093970000002</v>
      </c>
      <c r="N2191" s="372">
        <v>0.76100000000000001</v>
      </c>
      <c r="O2191" s="704">
        <v>7.3944461682919878</v>
      </c>
      <c r="P2191" s="563" t="s">
        <v>619</v>
      </c>
      <c r="Q2191" s="372" t="s">
        <v>619</v>
      </c>
      <c r="R2191" s="696">
        <v>20050125</v>
      </c>
      <c r="S2191" s="372" t="s">
        <v>14045</v>
      </c>
      <c r="T2191" s="697">
        <v>0.20900000000000002</v>
      </c>
      <c r="U2191" s="372" t="s">
        <v>14046</v>
      </c>
      <c r="V2191" s="722">
        <v>0</v>
      </c>
      <c r="W2191" s="722">
        <v>0</v>
      </c>
      <c r="X2191" s="722">
        <v>0</v>
      </c>
      <c r="Y2191" s="722">
        <v>0</v>
      </c>
      <c r="Z2191" s="382" t="s">
        <v>924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14047</v>
      </c>
      <c r="B2192" s="372" t="s">
        <v>14048</v>
      </c>
      <c r="C2192" s="372" t="s">
        <v>14049</v>
      </c>
      <c r="D2192" s="374">
        <v>1101117442710</v>
      </c>
      <c r="E2192" s="372" t="s">
        <v>14050</v>
      </c>
      <c r="F2192" s="372" t="s">
        <v>2219</v>
      </c>
      <c r="G2192" s="375" t="s">
        <v>2219</v>
      </c>
      <c r="H2192" s="375" t="s">
        <v>858</v>
      </c>
      <c r="I2192" s="375" t="s">
        <v>859</v>
      </c>
      <c r="J2192" s="375">
        <v>99901.785640000002</v>
      </c>
      <c r="K2192" s="375">
        <v>1819.9104500000001</v>
      </c>
      <c r="L2192" s="375">
        <v>1777.0752</v>
      </c>
      <c r="M2192" s="375">
        <v>45648.993040000001</v>
      </c>
      <c r="N2192" s="372">
        <v>0.63400000000000001</v>
      </c>
      <c r="O2192" s="704">
        <v>95.090510478777333</v>
      </c>
      <c r="P2192" s="563" t="s">
        <v>619</v>
      </c>
      <c r="Q2192" s="372" t="s">
        <v>619</v>
      </c>
      <c r="R2192" s="696">
        <v>20200617</v>
      </c>
      <c r="S2192" s="372" t="s">
        <v>14051</v>
      </c>
      <c r="T2192" s="697">
        <v>0.20900000000000002</v>
      </c>
      <c r="U2192" s="372" t="s">
        <v>14052</v>
      </c>
      <c r="V2192" s="722">
        <v>11.89</v>
      </c>
      <c r="W2192" s="722">
        <v>0.78</v>
      </c>
      <c r="X2192" s="722">
        <v>0.34</v>
      </c>
      <c r="Y2192" s="722">
        <v>28.48</v>
      </c>
      <c r="Z2192" s="382">
        <v>0.12557373020705387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1093</v>
      </c>
      <c r="AF2192" s="372">
        <v>1257</v>
      </c>
      <c r="AG2192" s="372">
        <v>1419</v>
      </c>
      <c r="AH2192" s="372">
        <v>0</v>
      </c>
    </row>
    <row r="2193" spans="1:34">
      <c r="A2193" s="372" t="s">
        <v>14053</v>
      </c>
      <c r="B2193" s="372" t="s">
        <v>14054</v>
      </c>
      <c r="C2193" s="372" t="s">
        <v>16050</v>
      </c>
      <c r="D2193" s="374">
        <v>1101114313807</v>
      </c>
      <c r="E2193" s="372" t="s">
        <v>15958</v>
      </c>
      <c r="F2193" s="372" t="s">
        <v>14055</v>
      </c>
      <c r="G2193" s="375" t="s">
        <v>14056</v>
      </c>
      <c r="H2193" s="375" t="s">
        <v>858</v>
      </c>
      <c r="I2193" s="375" t="s">
        <v>859</v>
      </c>
      <c r="J2193" s="375">
        <v>24936.365419999998</v>
      </c>
      <c r="K2193" s="375">
        <v>-4700.58259</v>
      </c>
      <c r="L2193" s="375">
        <v>-4821.42562</v>
      </c>
      <c r="M2193" s="375">
        <v>23662.45405</v>
      </c>
      <c r="N2193" s="372">
        <v>0.73399999999999999</v>
      </c>
      <c r="O2193" s="704">
        <v>34.225911447540334</v>
      </c>
      <c r="P2193" s="563" t="s">
        <v>619</v>
      </c>
      <c r="Q2193" s="372" t="s">
        <v>619</v>
      </c>
      <c r="R2193" s="696">
        <v>20100702</v>
      </c>
      <c r="S2193" s="372" t="s">
        <v>14057</v>
      </c>
      <c r="T2193" s="697" t="s">
        <v>768</v>
      </c>
      <c r="U2193" s="372" t="s">
        <v>14058</v>
      </c>
      <c r="V2193" s="722" t="s">
        <v>770</v>
      </c>
      <c r="W2193" s="722">
        <v>0.88</v>
      </c>
      <c r="X2193" s="722">
        <v>0.83</v>
      </c>
      <c r="Y2193" s="722" t="s">
        <v>770</v>
      </c>
      <c r="Z2193" s="382" t="s">
        <v>924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14059</v>
      </c>
      <c r="B2194" s="372" t="s">
        <v>14060</v>
      </c>
      <c r="C2194" s="372" t="s">
        <v>14061</v>
      </c>
      <c r="D2194" s="374">
        <v>1301110008721</v>
      </c>
      <c r="E2194" s="372" t="s">
        <v>14062</v>
      </c>
      <c r="F2194" s="372" t="s">
        <v>1320</v>
      </c>
      <c r="G2194" s="375" t="s">
        <v>16103</v>
      </c>
      <c r="H2194" s="375" t="s">
        <v>858</v>
      </c>
      <c r="I2194" s="375" t="s">
        <v>859</v>
      </c>
      <c r="J2194" s="375">
        <v>52871.192629999998</v>
      </c>
      <c r="K2194" s="375">
        <v>1161.65364</v>
      </c>
      <c r="L2194" s="375">
        <v>1545.35565</v>
      </c>
      <c r="M2194" s="375">
        <v>39601.696129999997</v>
      </c>
      <c r="N2194" s="372">
        <v>0.34100000000000003</v>
      </c>
      <c r="O2194" s="704">
        <v>28.968887364383527</v>
      </c>
      <c r="P2194" s="563" t="s">
        <v>619</v>
      </c>
      <c r="Q2194" s="372" t="s">
        <v>619</v>
      </c>
      <c r="R2194" s="696">
        <v>20000816</v>
      </c>
      <c r="S2194" s="372" t="s">
        <v>14063</v>
      </c>
      <c r="T2194" s="697">
        <v>0.20900000000000002</v>
      </c>
      <c r="U2194" s="372" t="s">
        <v>14064</v>
      </c>
      <c r="V2194" s="722">
        <v>0</v>
      </c>
      <c r="W2194" s="722">
        <v>0</v>
      </c>
      <c r="X2194" s="722">
        <v>0</v>
      </c>
      <c r="Y2194" s="722">
        <v>0</v>
      </c>
      <c r="Z2194" s="382" t="s">
        <v>924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14065</v>
      </c>
      <c r="B2195" s="372" t="s">
        <v>14066</v>
      </c>
      <c r="C2195" s="372" t="s">
        <v>14067</v>
      </c>
      <c r="D2195" s="374">
        <v>1301110010669</v>
      </c>
      <c r="E2195" s="372" t="s">
        <v>14068</v>
      </c>
      <c r="F2195" s="372" t="s">
        <v>5616</v>
      </c>
      <c r="G2195" s="375" t="s">
        <v>5616</v>
      </c>
      <c r="H2195" s="375" t="s">
        <v>858</v>
      </c>
      <c r="I2195" s="375" t="s">
        <v>859</v>
      </c>
      <c r="J2195" s="375">
        <v>66394.098549999995</v>
      </c>
      <c r="K2195" s="375">
        <v>1943.2212199999999</v>
      </c>
      <c r="L2195" s="375">
        <v>2019.19652</v>
      </c>
      <c r="M2195" s="375">
        <v>50022.251759999999</v>
      </c>
      <c r="N2195" s="372">
        <v>0.82099999999999995</v>
      </c>
      <c r="O2195" s="704">
        <v>14.024081888844409</v>
      </c>
      <c r="P2195" s="563" t="s">
        <v>619</v>
      </c>
      <c r="Q2195" s="372" t="s">
        <v>619</v>
      </c>
      <c r="R2195" s="696">
        <v>20100917</v>
      </c>
      <c r="S2195" s="372" t="s">
        <v>14069</v>
      </c>
      <c r="T2195" s="697">
        <v>0.20900000000000002</v>
      </c>
      <c r="U2195" s="372" t="s">
        <v>14070</v>
      </c>
      <c r="V2195" s="722">
        <v>0</v>
      </c>
      <c r="W2195" s="722">
        <v>0</v>
      </c>
      <c r="X2195" s="722">
        <v>0</v>
      </c>
      <c r="Y2195" s="722">
        <v>0</v>
      </c>
      <c r="Z2195" s="382" t="s">
        <v>924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14071</v>
      </c>
      <c r="B2196" s="372" t="s">
        <v>14072</v>
      </c>
      <c r="C2196" s="372" t="s">
        <v>14073</v>
      </c>
      <c r="D2196" s="374">
        <v>1101110611693</v>
      </c>
      <c r="E2196" s="372" t="s">
        <v>14074</v>
      </c>
      <c r="F2196" s="372" t="s">
        <v>6361</v>
      </c>
      <c r="G2196" s="375" t="s">
        <v>14075</v>
      </c>
      <c r="H2196" s="375" t="s">
        <v>858</v>
      </c>
      <c r="I2196" s="375" t="s">
        <v>859</v>
      </c>
      <c r="J2196" s="375">
        <v>16280.49468</v>
      </c>
      <c r="K2196" s="375">
        <v>-5073.9613399999998</v>
      </c>
      <c r="L2196" s="375">
        <v>-1538.83601</v>
      </c>
      <c r="M2196" s="375">
        <v>203252.10345</v>
      </c>
      <c r="N2196" s="372">
        <v>0.63500000000000001</v>
      </c>
      <c r="O2196" s="704">
        <v>11.822035774970246</v>
      </c>
      <c r="P2196" s="563" t="s">
        <v>619</v>
      </c>
      <c r="Q2196" s="372" t="s">
        <v>619</v>
      </c>
      <c r="R2196" s="696">
        <v>19991127</v>
      </c>
      <c r="S2196" s="372" t="s">
        <v>14076</v>
      </c>
      <c r="T2196" s="697" t="s">
        <v>768</v>
      </c>
      <c r="U2196" s="372" t="s">
        <v>14077</v>
      </c>
      <c r="V2196" s="722" t="s">
        <v>770</v>
      </c>
      <c r="W2196" s="722">
        <v>0.28999999999999998</v>
      </c>
      <c r="X2196" s="722">
        <v>2.36</v>
      </c>
      <c r="Y2196" s="722">
        <v>33.840000000000003</v>
      </c>
      <c r="Z2196" s="382" t="s">
        <v>924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14078</v>
      </c>
      <c r="B2197" s="372" t="s">
        <v>14079</v>
      </c>
      <c r="C2197" s="372" t="s">
        <v>14080</v>
      </c>
      <c r="D2197" s="374">
        <v>1701110001082</v>
      </c>
      <c r="E2197" s="372" t="s">
        <v>14081</v>
      </c>
      <c r="F2197" s="372" t="s">
        <v>7209</v>
      </c>
      <c r="G2197" s="375" t="s">
        <v>5359</v>
      </c>
      <c r="H2197" s="375" t="s">
        <v>858</v>
      </c>
      <c r="I2197" s="375" t="s">
        <v>859</v>
      </c>
      <c r="J2197" s="375">
        <v>176203.64725000001</v>
      </c>
      <c r="K2197" s="375">
        <v>-1639.3092300000001</v>
      </c>
      <c r="L2197" s="375">
        <v>5439.5141800000001</v>
      </c>
      <c r="M2197" s="375">
        <v>205029.47703000001</v>
      </c>
      <c r="N2197" s="372">
        <v>0.84199999999999997</v>
      </c>
      <c r="O2197" s="704">
        <v>163.45689076043092</v>
      </c>
      <c r="P2197" s="563" t="s">
        <v>619</v>
      </c>
      <c r="Q2197" s="372" t="s">
        <v>619</v>
      </c>
      <c r="R2197" s="696">
        <v>19991229</v>
      </c>
      <c r="S2197" s="372" t="s">
        <v>14082</v>
      </c>
      <c r="T2197" s="697">
        <v>0.20900000000000002</v>
      </c>
      <c r="U2197" s="372" t="s">
        <v>6491</v>
      </c>
      <c r="V2197" s="722">
        <v>223.55</v>
      </c>
      <c r="W2197" s="722">
        <v>0.19</v>
      </c>
      <c r="X2197" s="722">
        <v>0.21</v>
      </c>
      <c r="Y2197" s="722">
        <v>7.85</v>
      </c>
      <c r="Z2197" s="382" t="s">
        <v>924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14083</v>
      </c>
      <c r="B2198" s="372" t="s">
        <v>14084</v>
      </c>
      <c r="C2198" s="372" t="s">
        <v>14085</v>
      </c>
      <c r="D2198" s="374">
        <v>1101110816938</v>
      </c>
      <c r="E2198" s="372" t="s">
        <v>14086</v>
      </c>
      <c r="F2198" s="372" t="s">
        <v>1753</v>
      </c>
      <c r="G2198" s="375" t="s">
        <v>6496</v>
      </c>
      <c r="H2198" s="375" t="s">
        <v>858</v>
      </c>
      <c r="I2198" s="375" t="s">
        <v>859</v>
      </c>
      <c r="J2198" s="375">
        <v>53300.09895</v>
      </c>
      <c r="K2198" s="375">
        <v>-6483.7045699999999</v>
      </c>
      <c r="L2198" s="375">
        <v>-6772.16068</v>
      </c>
      <c r="M2198" s="375">
        <v>19604.522140000001</v>
      </c>
      <c r="N2198" s="372">
        <v>0.85399999999999998</v>
      </c>
      <c r="O2198" s="704">
        <v>22.818407571852653</v>
      </c>
      <c r="P2198" s="563" t="s">
        <v>619</v>
      </c>
      <c r="Q2198" s="372" t="s">
        <v>619</v>
      </c>
      <c r="R2198" s="696">
        <v>20141224</v>
      </c>
      <c r="S2198" s="372" t="s">
        <v>14087</v>
      </c>
      <c r="T2198" s="697" t="s">
        <v>768</v>
      </c>
      <c r="U2198" s="372" t="s">
        <v>14088</v>
      </c>
      <c r="V2198" s="722">
        <v>0</v>
      </c>
      <c r="W2198" s="722">
        <v>0</v>
      </c>
      <c r="X2198" s="722">
        <v>0</v>
      </c>
      <c r="Y2198" s="722">
        <v>0</v>
      </c>
      <c r="Z2198" s="382" t="s">
        <v>924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14089</v>
      </c>
      <c r="B2199" s="372" t="s">
        <v>14090</v>
      </c>
      <c r="C2199" s="372" t="s">
        <v>14091</v>
      </c>
      <c r="D2199" s="374">
        <v>1545110049654</v>
      </c>
      <c r="E2199" s="372" t="s">
        <v>14092</v>
      </c>
      <c r="F2199" s="372" t="s">
        <v>1573</v>
      </c>
      <c r="G2199" s="375" t="s">
        <v>1574</v>
      </c>
      <c r="H2199" s="375" t="s">
        <v>858</v>
      </c>
      <c r="I2199" s="375" t="s">
        <v>859</v>
      </c>
      <c r="J2199" s="375">
        <v>132000.72242999999</v>
      </c>
      <c r="K2199" s="375">
        <v>17534.442709999999</v>
      </c>
      <c r="L2199" s="375">
        <v>16057.86411</v>
      </c>
      <c r="M2199" s="375">
        <v>80080.014179999998</v>
      </c>
      <c r="N2199" s="372">
        <v>0.83299999999999996</v>
      </c>
      <c r="O2199" s="704">
        <v>124.80872281641365</v>
      </c>
      <c r="P2199" s="563" t="s">
        <v>619</v>
      </c>
      <c r="Q2199" s="372" t="s">
        <v>619</v>
      </c>
      <c r="R2199" s="696">
        <v>20140725</v>
      </c>
      <c r="S2199" s="372" t="s">
        <v>14093</v>
      </c>
      <c r="T2199" s="697">
        <v>0.20900000000000002</v>
      </c>
      <c r="U2199" s="372" t="s">
        <v>14094</v>
      </c>
      <c r="V2199" s="722">
        <v>3.57</v>
      </c>
      <c r="W2199" s="722">
        <v>0.51</v>
      </c>
      <c r="X2199" s="722">
        <v>0.31</v>
      </c>
      <c r="Y2199" s="722">
        <v>3.03</v>
      </c>
      <c r="Z2199" s="382" t="s">
        <v>924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14095</v>
      </c>
      <c r="B2200" s="372" t="s">
        <v>14096</v>
      </c>
      <c r="C2200" s="372" t="s">
        <v>14097</v>
      </c>
      <c r="D2200" s="374">
        <v>1101112039934</v>
      </c>
      <c r="E2200" s="372" t="s">
        <v>14098</v>
      </c>
      <c r="F2200" s="372" t="s">
        <v>1740</v>
      </c>
      <c r="G2200" s="375" t="s">
        <v>1740</v>
      </c>
      <c r="H2200" s="375" t="s">
        <v>3096</v>
      </c>
      <c r="I2200" s="375" t="s">
        <v>859</v>
      </c>
      <c r="J2200" s="375">
        <v>53303.631840000002</v>
      </c>
      <c r="K2200" s="375">
        <v>1420.181</v>
      </c>
      <c r="L2200" s="375">
        <v>-17543.704989999998</v>
      </c>
      <c r="M2200" s="375">
        <v>86477.730429999996</v>
      </c>
      <c r="N2200" s="372">
        <v>1.107</v>
      </c>
      <c r="O2200" s="704">
        <v>11.739209395419476</v>
      </c>
      <c r="P2200" s="563" t="s">
        <v>619</v>
      </c>
      <c r="Q2200" s="372" t="s">
        <v>619</v>
      </c>
      <c r="R2200" s="696">
        <v>20051227</v>
      </c>
      <c r="S2200" s="372" t="s">
        <v>14099</v>
      </c>
      <c r="T2200" s="697" t="s">
        <v>768</v>
      </c>
      <c r="U2200" s="372" t="s">
        <v>14100</v>
      </c>
      <c r="V2200" s="722">
        <v>0</v>
      </c>
      <c r="W2200" s="722">
        <v>0</v>
      </c>
      <c r="X2200" s="722">
        <v>0</v>
      </c>
      <c r="Y2200" s="722">
        <v>0</v>
      </c>
      <c r="Z2200" s="382" t="s">
        <v>924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14101</v>
      </c>
      <c r="B2201" s="372" t="s">
        <v>14102</v>
      </c>
      <c r="C2201" s="372" t="s">
        <v>14103</v>
      </c>
      <c r="D2201" s="374">
        <v>1101115658640</v>
      </c>
      <c r="E2201" s="372" t="s">
        <v>14104</v>
      </c>
      <c r="F2201" s="372" t="s">
        <v>618</v>
      </c>
      <c r="G2201" s="375" t="s">
        <v>618</v>
      </c>
      <c r="H2201" s="375" t="s">
        <v>858</v>
      </c>
      <c r="I2201" s="375" t="s">
        <v>859</v>
      </c>
      <c r="J2201" s="375">
        <v>42203.175260000004</v>
      </c>
      <c r="K2201" s="375">
        <v>-27926.264770000002</v>
      </c>
      <c r="L2201" s="375">
        <v>-31426.868119999999</v>
      </c>
      <c r="M2201" s="375">
        <v>61231.528270000003</v>
      </c>
      <c r="N2201" s="372">
        <v>0.71</v>
      </c>
      <c r="O2201" s="704">
        <v>135.86513182931773</v>
      </c>
      <c r="P2201" s="563" t="s">
        <v>619</v>
      </c>
      <c r="Q2201" s="372" t="s">
        <v>619</v>
      </c>
      <c r="R2201" s="696">
        <v>20150508</v>
      </c>
      <c r="S2201" s="372" t="s">
        <v>14105</v>
      </c>
      <c r="T2201" s="697" t="s">
        <v>768</v>
      </c>
      <c r="U2201" s="372" t="s">
        <v>14106</v>
      </c>
      <c r="V2201" s="722" t="s">
        <v>770</v>
      </c>
      <c r="W2201" s="722">
        <v>0.36</v>
      </c>
      <c r="X2201" s="722">
        <v>0.52</v>
      </c>
      <c r="Y2201" s="722" t="s">
        <v>770</v>
      </c>
      <c r="Z2201" s="382" t="s">
        <v>924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14107</v>
      </c>
      <c r="B2202" s="372" t="s">
        <v>14108</v>
      </c>
      <c r="C2202" s="372" t="s">
        <v>16133</v>
      </c>
      <c r="D2202" s="374">
        <v>1101117032545</v>
      </c>
      <c r="E2202" s="372" t="s">
        <v>16134</v>
      </c>
      <c r="F2202" s="372" t="s">
        <v>1959</v>
      </c>
      <c r="G2202" s="375" t="s">
        <v>1959</v>
      </c>
      <c r="H2202" s="375" t="s">
        <v>858</v>
      </c>
      <c r="I2202" s="375" t="s">
        <v>859</v>
      </c>
      <c r="J2202" s="375">
        <v>12396.31754</v>
      </c>
      <c r="K2202" s="375">
        <v>-2695.9210200000002</v>
      </c>
      <c r="L2202" s="375">
        <v>-6153.3428999999996</v>
      </c>
      <c r="M2202" s="375">
        <v>48269.444539999997</v>
      </c>
      <c r="N2202" s="372">
        <v>1.2390000000000001</v>
      </c>
      <c r="O2202" s="704">
        <v>11.272018257393434</v>
      </c>
      <c r="P2202" s="563" t="s">
        <v>619</v>
      </c>
      <c r="Q2202" s="372" t="s">
        <v>619</v>
      </c>
      <c r="R2202" s="696">
        <v>20190918</v>
      </c>
      <c r="S2202" s="372" t="s">
        <v>14109</v>
      </c>
      <c r="T2202" s="697" t="s">
        <v>768</v>
      </c>
      <c r="U2202" s="372" t="s">
        <v>14110</v>
      </c>
      <c r="V2202" s="722">
        <v>0</v>
      </c>
      <c r="W2202" s="722">
        <v>0</v>
      </c>
      <c r="X2202" s="722">
        <v>0</v>
      </c>
      <c r="Y2202" s="722">
        <v>0</v>
      </c>
      <c r="Z2202" s="382" t="s">
        <v>924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14111</v>
      </c>
      <c r="B2203" s="372" t="s">
        <v>14112</v>
      </c>
      <c r="C2203" s="372" t="s">
        <v>14113</v>
      </c>
      <c r="D2203" s="374">
        <v>1545110007397</v>
      </c>
      <c r="E2203" s="372" t="s">
        <v>14114</v>
      </c>
      <c r="F2203" s="372" t="s">
        <v>6569</v>
      </c>
      <c r="G2203" s="375" t="s">
        <v>14115</v>
      </c>
      <c r="H2203" s="375" t="s">
        <v>3096</v>
      </c>
      <c r="I2203" s="375" t="s">
        <v>859</v>
      </c>
      <c r="J2203" s="375">
        <v>11942.59296</v>
      </c>
      <c r="K2203" s="375">
        <v>-3018.9634999999998</v>
      </c>
      <c r="L2203" s="375">
        <v>-8175.4877399999996</v>
      </c>
      <c r="M2203" s="375">
        <v>28085.187470000001</v>
      </c>
      <c r="N2203" s="372">
        <v>0.95099999999999996</v>
      </c>
      <c r="O2203" s="704">
        <v>30.229526653491718</v>
      </c>
      <c r="P2203" s="563" t="s">
        <v>619</v>
      </c>
      <c r="Q2203" s="372" t="s">
        <v>619</v>
      </c>
      <c r="R2203" s="696">
        <v>20021115</v>
      </c>
      <c r="S2203" s="372" t="s">
        <v>14116</v>
      </c>
      <c r="T2203" s="697" t="s">
        <v>768</v>
      </c>
      <c r="U2203" s="372" t="s">
        <v>15959</v>
      </c>
      <c r="V2203" s="722" t="s">
        <v>770</v>
      </c>
      <c r="W2203" s="722">
        <v>1.31</v>
      </c>
      <c r="X2203" s="722">
        <v>3.05</v>
      </c>
      <c r="Y2203" s="722">
        <v>8</v>
      </c>
      <c r="Z2203" s="382" t="s">
        <v>924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14117</v>
      </c>
      <c r="B2204" s="372" t="s">
        <v>14118</v>
      </c>
      <c r="C2204" s="372" t="s">
        <v>14119</v>
      </c>
      <c r="D2204" s="374">
        <v>1942110025941</v>
      </c>
      <c r="E2204" s="372" t="s">
        <v>14120</v>
      </c>
      <c r="F2204" s="372" t="s">
        <v>1273</v>
      </c>
      <c r="G2204" s="375" t="s">
        <v>1449</v>
      </c>
      <c r="H2204" s="375" t="s">
        <v>858</v>
      </c>
      <c r="I2204" s="375" t="s">
        <v>859</v>
      </c>
      <c r="J2204" s="375">
        <v>41439.396000000001</v>
      </c>
      <c r="K2204" s="375">
        <v>1527.8145500000001</v>
      </c>
      <c r="L2204" s="375">
        <v>222.50398999999999</v>
      </c>
      <c r="M2204" s="375">
        <v>70814.816340000005</v>
      </c>
      <c r="N2204" s="372">
        <v>1.06</v>
      </c>
      <c r="O2204" s="704">
        <v>52.761499947298333</v>
      </c>
      <c r="P2204" s="563" t="s">
        <v>619</v>
      </c>
      <c r="Q2204" s="372" t="s">
        <v>619</v>
      </c>
      <c r="R2204" s="696">
        <v>20011214</v>
      </c>
      <c r="S2204" s="372" t="s">
        <v>14121</v>
      </c>
      <c r="T2204" s="697">
        <v>0.20900000000000002</v>
      </c>
      <c r="U2204" s="372" t="s">
        <v>14122</v>
      </c>
      <c r="V2204" s="722">
        <v>10.69</v>
      </c>
      <c r="W2204" s="722">
        <v>0.4</v>
      </c>
      <c r="X2204" s="722">
        <v>0.69</v>
      </c>
      <c r="Y2204" s="722">
        <v>44.31</v>
      </c>
      <c r="Z2204" s="382" t="s">
        <v>924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14123</v>
      </c>
      <c r="B2205" s="372" t="s">
        <v>14124</v>
      </c>
      <c r="C2205" s="372" t="s">
        <v>16051</v>
      </c>
      <c r="D2205" s="374">
        <v>1311110004554</v>
      </c>
      <c r="E2205" s="372" t="s">
        <v>15960</v>
      </c>
      <c r="F2205" s="372" t="s">
        <v>2256</v>
      </c>
      <c r="G2205" s="375" t="s">
        <v>2256</v>
      </c>
      <c r="H2205" s="375" t="s">
        <v>4844</v>
      </c>
      <c r="I2205" s="375" t="s">
        <v>859</v>
      </c>
      <c r="J2205" s="375">
        <v>61905.848859999998</v>
      </c>
      <c r="K2205" s="375">
        <v>-13138.176289999999</v>
      </c>
      <c r="L2205" s="375">
        <v>-6373.2400500000003</v>
      </c>
      <c r="M2205" s="375">
        <v>97943.189289999995</v>
      </c>
      <c r="N2205" s="372">
        <v>0.88400000000000001</v>
      </c>
      <c r="O2205" s="704">
        <v>391.92951724967531</v>
      </c>
      <c r="P2205" s="563" t="s">
        <v>619</v>
      </c>
      <c r="Q2205" s="372" t="s">
        <v>619</v>
      </c>
      <c r="R2205" s="696">
        <v>20001017</v>
      </c>
      <c r="S2205" s="372" t="s">
        <v>14125</v>
      </c>
      <c r="T2205" s="697" t="s">
        <v>768</v>
      </c>
      <c r="U2205" s="372" t="s">
        <v>14126</v>
      </c>
      <c r="V2205" s="722" t="s">
        <v>770</v>
      </c>
      <c r="W2205" s="722">
        <v>0.26</v>
      </c>
      <c r="X2205" s="722">
        <v>0.4</v>
      </c>
      <c r="Y2205" s="722" t="s">
        <v>770</v>
      </c>
      <c r="Z2205" s="382" t="s">
        <v>924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14127</v>
      </c>
      <c r="B2206" s="372" t="s">
        <v>14128</v>
      </c>
      <c r="C2206" s="372" t="s">
        <v>14129</v>
      </c>
      <c r="D2206" s="374">
        <v>1101110019350</v>
      </c>
      <c r="E2206" s="372" t="s">
        <v>14130</v>
      </c>
      <c r="F2206" s="372" t="s">
        <v>10090</v>
      </c>
      <c r="G2206" s="375" t="s">
        <v>10090</v>
      </c>
      <c r="H2206" s="375" t="s">
        <v>1536</v>
      </c>
      <c r="I2206" s="375" t="s">
        <v>751</v>
      </c>
      <c r="J2206" s="375">
        <v>133728.04477000001</v>
      </c>
      <c r="K2206" s="375">
        <v>836.56137000000001</v>
      </c>
      <c r="L2206" s="375">
        <v>-1176.6493599999999</v>
      </c>
      <c r="M2206" s="375">
        <v>132008.26087999999</v>
      </c>
      <c r="N2206" s="372">
        <v>0.80400000000000005</v>
      </c>
      <c r="O2206" s="704">
        <v>120.17781140519996</v>
      </c>
      <c r="P2206" s="563" t="s">
        <v>619</v>
      </c>
      <c r="Q2206" s="372" t="s">
        <v>619</v>
      </c>
      <c r="R2206" s="696">
        <v>19731228</v>
      </c>
      <c r="S2206" s="372" t="s">
        <v>14131</v>
      </c>
      <c r="T2206" s="697" t="s">
        <v>768</v>
      </c>
      <c r="U2206" s="372" t="s">
        <v>14132</v>
      </c>
      <c r="V2206" s="722">
        <v>12.93</v>
      </c>
      <c r="W2206" s="722">
        <v>0.19</v>
      </c>
      <c r="X2206" s="722">
        <v>0.24</v>
      </c>
      <c r="Y2206" s="722" t="s">
        <v>770</v>
      </c>
      <c r="Z2206" s="382" t="s">
        <v>924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14133</v>
      </c>
      <c r="B2207" s="372" t="s">
        <v>14134</v>
      </c>
      <c r="C2207" s="372" t="s">
        <v>14135</v>
      </c>
      <c r="D2207" s="374">
        <v>1101113602524</v>
      </c>
      <c r="E2207" s="372" t="s">
        <v>14136</v>
      </c>
      <c r="F2207" s="372" t="s">
        <v>2715</v>
      </c>
      <c r="G2207" s="375" t="s">
        <v>2715</v>
      </c>
      <c r="H2207" s="375" t="s">
        <v>1334</v>
      </c>
      <c r="I2207" s="375" t="s">
        <v>859</v>
      </c>
      <c r="J2207" s="375">
        <v>9019.5432799999999</v>
      </c>
      <c r="K2207" s="375">
        <v>805.8546</v>
      </c>
      <c r="L2207" s="375">
        <v>1015.72756</v>
      </c>
      <c r="M2207" s="375">
        <v>13709.298640000001</v>
      </c>
      <c r="N2207" s="372">
        <v>0.68</v>
      </c>
      <c r="O2207" s="704">
        <v>4.0886668071436558</v>
      </c>
      <c r="P2207" s="563" t="s">
        <v>619</v>
      </c>
      <c r="Q2207" s="372" t="s">
        <v>619</v>
      </c>
      <c r="R2207" s="696">
        <v>20160629</v>
      </c>
      <c r="S2207" s="372" t="s">
        <v>14137</v>
      </c>
      <c r="T2207" s="697">
        <v>0.20900000000000002</v>
      </c>
      <c r="U2207" s="372" t="s">
        <v>14138</v>
      </c>
      <c r="V2207" s="722">
        <v>0</v>
      </c>
      <c r="W2207" s="722">
        <v>0</v>
      </c>
      <c r="X2207" s="722">
        <v>0</v>
      </c>
      <c r="Y2207" s="722">
        <v>0</v>
      </c>
      <c r="Z2207" s="382" t="s">
        <v>924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14139</v>
      </c>
      <c r="B2208" s="372" t="s">
        <v>14140</v>
      </c>
      <c r="C2208" s="372" t="s">
        <v>14141</v>
      </c>
      <c r="D2208" s="374">
        <v>1801110273986</v>
      </c>
      <c r="E2208" s="372" t="s">
        <v>14142</v>
      </c>
      <c r="F2208" s="372" t="s">
        <v>1860</v>
      </c>
      <c r="G2208" s="375" t="s">
        <v>1861</v>
      </c>
      <c r="H2208" s="375" t="s">
        <v>858</v>
      </c>
      <c r="I2208" s="375" t="s">
        <v>859</v>
      </c>
      <c r="J2208" s="375">
        <v>155336.08424</v>
      </c>
      <c r="K2208" s="375">
        <v>-14911.67036</v>
      </c>
      <c r="L2208" s="375">
        <v>-9536.7150000000001</v>
      </c>
      <c r="M2208" s="375">
        <v>76814.055080000006</v>
      </c>
      <c r="N2208" s="372">
        <v>0.51400000000000001</v>
      </c>
      <c r="O2208" s="704">
        <v>119.91841294529706</v>
      </c>
      <c r="P2208" s="563" t="s">
        <v>619</v>
      </c>
      <c r="Q2208" s="372" t="s">
        <v>619</v>
      </c>
      <c r="R2208" s="696">
        <v>20140527</v>
      </c>
      <c r="S2208" s="372" t="s">
        <v>14143</v>
      </c>
      <c r="T2208" s="697" t="s">
        <v>768</v>
      </c>
      <c r="U2208" s="372" t="s">
        <v>14144</v>
      </c>
      <c r="V2208" s="722" t="s">
        <v>770</v>
      </c>
      <c r="W2208" s="722">
        <v>0.73</v>
      </c>
      <c r="X2208" s="722">
        <v>0.3</v>
      </c>
      <c r="Y2208" s="722" t="s">
        <v>770</v>
      </c>
      <c r="Z2208" s="382" t="s">
        <v>924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14145</v>
      </c>
      <c r="B2209" s="372" t="s">
        <v>14146</v>
      </c>
      <c r="C2209" s="372" t="s">
        <v>14147</v>
      </c>
      <c r="D2209" s="374">
        <v>1341110000880</v>
      </c>
      <c r="E2209" s="372" t="s">
        <v>14148</v>
      </c>
      <c r="F2209" s="372" t="s">
        <v>4635</v>
      </c>
      <c r="G2209" s="375" t="s">
        <v>4635</v>
      </c>
      <c r="H2209" s="375" t="s">
        <v>858</v>
      </c>
      <c r="I2209" s="375" t="s">
        <v>859</v>
      </c>
      <c r="J2209" s="375">
        <v>24164.118279999999</v>
      </c>
      <c r="K2209" s="375">
        <v>-2424.0949700000001</v>
      </c>
      <c r="L2209" s="375">
        <v>-3024.13085</v>
      </c>
      <c r="M2209" s="375">
        <v>34306.29711</v>
      </c>
      <c r="N2209" s="372">
        <v>0.23400000000000001</v>
      </c>
      <c r="O2209" s="704">
        <v>58.286664304993252</v>
      </c>
      <c r="P2209" s="563" t="s">
        <v>619</v>
      </c>
      <c r="Q2209" s="372" t="s">
        <v>619</v>
      </c>
      <c r="R2209" s="696">
        <v>20000331</v>
      </c>
      <c r="S2209" s="372" t="s">
        <v>14149</v>
      </c>
      <c r="T2209" s="697" t="s">
        <v>768</v>
      </c>
      <c r="U2209" s="372" t="s">
        <v>14150</v>
      </c>
      <c r="V2209" s="722">
        <v>0</v>
      </c>
      <c r="W2209" s="722">
        <v>0</v>
      </c>
      <c r="X2209" s="722">
        <v>0</v>
      </c>
      <c r="Y2209" s="722">
        <v>0</v>
      </c>
      <c r="Z2209" s="382" t="s">
        <v>924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14151</v>
      </c>
      <c r="B2210" s="372" t="s">
        <v>14152</v>
      </c>
      <c r="C2210" s="372" t="s">
        <v>14153</v>
      </c>
      <c r="D2210" s="374">
        <v>1101115488493</v>
      </c>
      <c r="E2210" s="372" t="s">
        <v>14154</v>
      </c>
      <c r="F2210" s="372" t="s">
        <v>11459</v>
      </c>
      <c r="G2210" s="375" t="s">
        <v>11459</v>
      </c>
      <c r="H2210" s="375" t="s">
        <v>1528</v>
      </c>
      <c r="I2210" s="375" t="s">
        <v>859</v>
      </c>
      <c r="J2210" s="375">
        <v>6081.4089700000004</v>
      </c>
      <c r="K2210" s="375">
        <v>-22936.043669999999</v>
      </c>
      <c r="L2210" s="375">
        <v>-11603.552659999999</v>
      </c>
      <c r="M2210" s="375">
        <v>66844.699949999995</v>
      </c>
      <c r="N2210" s="372">
        <v>0.38300000000000001</v>
      </c>
      <c r="O2210" s="704">
        <v>134.38510189661298</v>
      </c>
      <c r="P2210" s="563" t="s">
        <v>16112</v>
      </c>
      <c r="Q2210" s="372" t="s">
        <v>16113</v>
      </c>
      <c r="R2210" s="696">
        <v>20141229</v>
      </c>
      <c r="S2210" s="372" t="s">
        <v>11459</v>
      </c>
      <c r="T2210" s="697" t="s">
        <v>768</v>
      </c>
      <c r="U2210" s="372" t="s">
        <v>14155</v>
      </c>
      <c r="V2210" s="722" t="s">
        <v>770</v>
      </c>
      <c r="W2210" s="722">
        <v>0.35</v>
      </c>
      <c r="X2210" s="722">
        <v>3.17</v>
      </c>
      <c r="Y2210" s="722" t="s">
        <v>770</v>
      </c>
      <c r="Z2210" s="382" t="s">
        <v>924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14156</v>
      </c>
      <c r="B2211" s="372" t="s">
        <v>14157</v>
      </c>
      <c r="C2211" s="372" t="s">
        <v>14158</v>
      </c>
      <c r="D2211" s="374">
        <v>1101112919938</v>
      </c>
      <c r="E2211" s="372" t="s">
        <v>14159</v>
      </c>
      <c r="F2211" s="372" t="s">
        <v>1367</v>
      </c>
      <c r="G2211" s="375" t="s">
        <v>1367</v>
      </c>
      <c r="H2211" s="375" t="s">
        <v>858</v>
      </c>
      <c r="I2211" s="375" t="s">
        <v>859</v>
      </c>
      <c r="J2211" s="375">
        <v>37634.775229999999</v>
      </c>
      <c r="K2211" s="375">
        <v>3767.8500899999999</v>
      </c>
      <c r="L2211" s="375">
        <v>6700.3340900000003</v>
      </c>
      <c r="M2211" s="375">
        <v>41318.154349999997</v>
      </c>
      <c r="N2211" s="372">
        <v>0.68799999999999994</v>
      </c>
      <c r="O2211" s="704">
        <v>0.49350751530356768</v>
      </c>
      <c r="P2211" s="563" t="s">
        <v>619</v>
      </c>
      <c r="Q2211" s="372" t="s">
        <v>619</v>
      </c>
      <c r="R2211" s="696">
        <v>20180802</v>
      </c>
      <c r="S2211" s="372" t="s">
        <v>14160</v>
      </c>
      <c r="T2211" s="697">
        <v>0.20900000000000002</v>
      </c>
      <c r="U2211" s="372" t="s">
        <v>14161</v>
      </c>
      <c r="V2211" s="722">
        <v>7.61</v>
      </c>
      <c r="W2211" s="722">
        <v>0.86</v>
      </c>
      <c r="X2211" s="722">
        <v>0.96</v>
      </c>
      <c r="Y2211" s="722">
        <v>5.25</v>
      </c>
      <c r="Z2211" s="382" t="s">
        <v>924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14162</v>
      </c>
      <c r="B2212" s="372" t="s">
        <v>14163</v>
      </c>
      <c r="C2212" s="372" t="s">
        <v>14164</v>
      </c>
      <c r="D2212" s="374">
        <v>1101113598616</v>
      </c>
      <c r="E2212" s="372" t="s">
        <v>14165</v>
      </c>
      <c r="F2212" s="372" t="s">
        <v>1367</v>
      </c>
      <c r="G2212" s="375" t="s">
        <v>1367</v>
      </c>
      <c r="H2212" s="375" t="s">
        <v>858</v>
      </c>
      <c r="I2212" s="375" t="s">
        <v>859</v>
      </c>
      <c r="J2212" s="375">
        <v>20160.481500000002</v>
      </c>
      <c r="K2212" s="375">
        <v>838.09936000000005</v>
      </c>
      <c r="L2212" s="375">
        <v>1718.4837500000001</v>
      </c>
      <c r="M2212" s="375">
        <v>31691.1646</v>
      </c>
      <c r="N2212" s="372">
        <v>0.94199999999999995</v>
      </c>
      <c r="O2212" s="704">
        <v>17.260432806679223</v>
      </c>
      <c r="P2212" s="563" t="s">
        <v>619</v>
      </c>
      <c r="Q2212" s="372" t="s">
        <v>619</v>
      </c>
      <c r="R2212" s="696">
        <v>20221007</v>
      </c>
      <c r="S2212" s="372" t="s">
        <v>14166</v>
      </c>
      <c r="T2212" s="697">
        <v>0.20900000000000002</v>
      </c>
      <c r="U2212" s="372" t="s">
        <v>14167</v>
      </c>
      <c r="V2212" s="722">
        <v>23.92</v>
      </c>
      <c r="W2212" s="722">
        <v>0.95</v>
      </c>
      <c r="X2212" s="722">
        <v>1.54</v>
      </c>
      <c r="Y2212" s="722">
        <v>14.31</v>
      </c>
      <c r="Z2212" s="382" t="s">
        <v>924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14168</v>
      </c>
      <c r="B2213" s="372" t="s">
        <v>14169</v>
      </c>
      <c r="C2213" s="372" t="s">
        <v>14170</v>
      </c>
      <c r="D2213" s="374">
        <v>1301110009274</v>
      </c>
      <c r="E2213" s="372" t="s">
        <v>14170</v>
      </c>
      <c r="F2213" s="372" t="s">
        <v>3718</v>
      </c>
      <c r="G2213" s="375" t="s">
        <v>5439</v>
      </c>
      <c r="H2213" s="375" t="s">
        <v>823</v>
      </c>
      <c r="I2213" s="375" t="s">
        <v>751</v>
      </c>
      <c r="J2213" s="375">
        <v>100292.69168</v>
      </c>
      <c r="K2213" s="375">
        <v>-7137.4522699999998</v>
      </c>
      <c r="L2213" s="375">
        <v>-4723.40445</v>
      </c>
      <c r="M2213" s="375">
        <v>106918.72822</v>
      </c>
      <c r="N2213" s="372">
        <v>0.56100000000000005</v>
      </c>
      <c r="O2213" s="704">
        <v>0.21186280584395284</v>
      </c>
      <c r="P2213" s="563" t="s">
        <v>619</v>
      </c>
      <c r="Q2213" s="372" t="s">
        <v>619</v>
      </c>
      <c r="R2213" s="696">
        <v>19961122</v>
      </c>
      <c r="S2213" s="372" t="s">
        <v>14171</v>
      </c>
      <c r="T2213" s="697" t="s">
        <v>768</v>
      </c>
      <c r="U2213" s="372" t="s">
        <v>14172</v>
      </c>
      <c r="V2213" s="722" t="s">
        <v>770</v>
      </c>
      <c r="W2213" s="722">
        <v>0.3</v>
      </c>
      <c r="X2213" s="722">
        <v>0.32</v>
      </c>
      <c r="Y2213" s="722" t="s">
        <v>770</v>
      </c>
      <c r="Z2213" s="382" t="s">
        <v>924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14173</v>
      </c>
      <c r="B2214" s="372" t="s">
        <v>14174</v>
      </c>
      <c r="C2214" s="372" t="s">
        <v>14175</v>
      </c>
      <c r="D2214" s="374">
        <v>1101110105688</v>
      </c>
      <c r="E2214" s="372" t="s">
        <v>14176</v>
      </c>
      <c r="F2214" s="372" t="s">
        <v>1833</v>
      </c>
      <c r="G2214" s="375" t="s">
        <v>1833</v>
      </c>
      <c r="H2214" s="375" t="s">
        <v>3096</v>
      </c>
      <c r="I2214" s="375" t="s">
        <v>859</v>
      </c>
      <c r="J2214" s="375">
        <v>175179.89684</v>
      </c>
      <c r="K2214" s="375">
        <v>1302.1505400000001</v>
      </c>
      <c r="L2214" s="375">
        <v>1568.4093</v>
      </c>
      <c r="M2214" s="375">
        <v>42854.44526</v>
      </c>
      <c r="N2214" s="372">
        <v>0.55700000000000005</v>
      </c>
      <c r="O2214" s="704">
        <v>82.487354884191859</v>
      </c>
      <c r="P2214" s="563" t="s">
        <v>619</v>
      </c>
      <c r="Q2214" s="372" t="s">
        <v>619</v>
      </c>
      <c r="R2214" s="696">
        <v>20000905</v>
      </c>
      <c r="S2214" s="372" t="s">
        <v>14177</v>
      </c>
      <c r="T2214" s="697">
        <v>0.20900000000000002</v>
      </c>
      <c r="U2214" s="372" t="s">
        <v>14178</v>
      </c>
      <c r="V2214" s="722">
        <v>28.97</v>
      </c>
      <c r="W2214" s="722">
        <v>0.65</v>
      </c>
      <c r="X2214" s="722">
        <v>0.16</v>
      </c>
      <c r="Y2214" s="722">
        <v>23.6</v>
      </c>
      <c r="Z2214" s="382" t="s">
        <v>924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14179</v>
      </c>
      <c r="B2215" s="372" t="s">
        <v>14180</v>
      </c>
      <c r="C2215" s="372" t="s">
        <v>14181</v>
      </c>
      <c r="D2215" s="374">
        <v>1301110044808</v>
      </c>
      <c r="E2215" s="372" t="s">
        <v>14182</v>
      </c>
      <c r="F2215" s="372" t="s">
        <v>2831</v>
      </c>
      <c r="G2215" s="375" t="s">
        <v>2831</v>
      </c>
      <c r="H2215" s="375" t="s">
        <v>858</v>
      </c>
      <c r="I2215" s="375" t="s">
        <v>859</v>
      </c>
      <c r="J2215" s="375">
        <v>15006.213540000001</v>
      </c>
      <c r="K2215" s="375">
        <v>-8020.4348</v>
      </c>
      <c r="L2215" s="375">
        <v>-19008.680899999999</v>
      </c>
      <c r="M2215" s="375">
        <v>38605.896419999997</v>
      </c>
      <c r="N2215" s="372">
        <v>0.86399999999999999</v>
      </c>
      <c r="O2215" s="704">
        <v>105.90617979233177</v>
      </c>
      <c r="P2215" s="563" t="s">
        <v>619</v>
      </c>
      <c r="Q2215" s="372" t="s">
        <v>619</v>
      </c>
      <c r="R2215" s="696">
        <v>20140814</v>
      </c>
      <c r="S2215" s="372" t="s">
        <v>14183</v>
      </c>
      <c r="T2215" s="697" t="s">
        <v>768</v>
      </c>
      <c r="U2215" s="372" t="s">
        <v>15961</v>
      </c>
      <c r="V2215" s="722" t="s">
        <v>770</v>
      </c>
      <c r="W2215" s="722">
        <v>1.1100000000000001</v>
      </c>
      <c r="X2215" s="722">
        <v>2.38</v>
      </c>
      <c r="Y2215" s="722" t="s">
        <v>770</v>
      </c>
      <c r="Z2215" s="382" t="s">
        <v>924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14184</v>
      </c>
      <c r="B2216" s="372" t="s">
        <v>14185</v>
      </c>
      <c r="C2216" s="372" t="s">
        <v>14186</v>
      </c>
      <c r="D2216" s="374">
        <v>1345110042264</v>
      </c>
      <c r="E2216" s="372" t="s">
        <v>14187</v>
      </c>
      <c r="F2216" s="372" t="s">
        <v>1959</v>
      </c>
      <c r="G2216" s="375" t="s">
        <v>1959</v>
      </c>
      <c r="H2216" s="375" t="s">
        <v>858</v>
      </c>
      <c r="I2216" s="375" t="s">
        <v>859</v>
      </c>
      <c r="J2216" s="375">
        <v>35862.493170000002</v>
      </c>
      <c r="K2216" s="375">
        <v>136.87423999999999</v>
      </c>
      <c r="L2216" s="375">
        <v>-25767.057690000001</v>
      </c>
      <c r="M2216" s="375">
        <v>143948.84245</v>
      </c>
      <c r="N2216" s="372">
        <v>1.1919999999999999</v>
      </c>
      <c r="O2216" s="704">
        <v>135.38913161208612</v>
      </c>
      <c r="P2216" s="563" t="s">
        <v>619</v>
      </c>
      <c r="Q2216" s="372" t="s">
        <v>619</v>
      </c>
      <c r="R2216" s="696">
        <v>20061101</v>
      </c>
      <c r="S2216" s="372" t="s">
        <v>14188</v>
      </c>
      <c r="T2216" s="697" t="s">
        <v>768</v>
      </c>
      <c r="U2216" s="372" t="s">
        <v>14189</v>
      </c>
      <c r="V2216" s="722">
        <v>38.07</v>
      </c>
      <c r="W2216" s="722">
        <v>0.24</v>
      </c>
      <c r="X2216" s="722">
        <v>0.96</v>
      </c>
      <c r="Y2216" s="722" t="s">
        <v>770</v>
      </c>
      <c r="Z2216" s="382" t="s">
        <v>924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14190</v>
      </c>
      <c r="B2217" s="372" t="s">
        <v>14191</v>
      </c>
      <c r="C2217" s="372" t="s">
        <v>14192</v>
      </c>
      <c r="D2217" s="374">
        <v>1101115248376</v>
      </c>
      <c r="E2217" s="372" t="s">
        <v>14193</v>
      </c>
      <c r="F2217" s="372" t="s">
        <v>1595</v>
      </c>
      <c r="G2217" s="375" t="s">
        <v>1596</v>
      </c>
      <c r="H2217" s="375" t="s">
        <v>858</v>
      </c>
      <c r="I2217" s="375" t="s">
        <v>859</v>
      </c>
      <c r="J2217" s="375">
        <v>88239.547349999993</v>
      </c>
      <c r="K2217" s="375">
        <v>4882.8821799999996</v>
      </c>
      <c r="L2217" s="375">
        <v>2883.4344599999999</v>
      </c>
      <c r="M2217" s="375">
        <v>19604.900430000002</v>
      </c>
      <c r="N2217" s="372">
        <v>0.38400000000000001</v>
      </c>
      <c r="O2217" s="704">
        <v>65.365821497004916</v>
      </c>
      <c r="P2217" s="563" t="s">
        <v>16112</v>
      </c>
      <c r="Q2217" s="372" t="s">
        <v>16113</v>
      </c>
      <c r="R2217" s="696">
        <v>20140508</v>
      </c>
      <c r="S2217" s="372" t="s">
        <v>14194</v>
      </c>
      <c r="T2217" s="697">
        <v>0.20900000000000002</v>
      </c>
      <c r="U2217" s="372" t="s">
        <v>14195</v>
      </c>
      <c r="V2217" s="722">
        <v>5.22</v>
      </c>
      <c r="W2217" s="722">
        <v>1.55</v>
      </c>
      <c r="X2217" s="722">
        <v>0.36</v>
      </c>
      <c r="Y2217" s="722">
        <v>5.07</v>
      </c>
      <c r="Z2217" s="382" t="s">
        <v>924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14196</v>
      </c>
      <c r="B2218" s="372" t="s">
        <v>14197</v>
      </c>
      <c r="C2218" s="372" t="s">
        <v>14198</v>
      </c>
      <c r="D2218" s="374">
        <v>1101111985914</v>
      </c>
      <c r="E2218" s="372" t="s">
        <v>14199</v>
      </c>
      <c r="F2218" s="372" t="s">
        <v>5766</v>
      </c>
      <c r="G2218" s="375" t="s">
        <v>5766</v>
      </c>
      <c r="H2218" s="375" t="s">
        <v>1334</v>
      </c>
      <c r="I2218" s="375" t="s">
        <v>859</v>
      </c>
      <c r="J2218" s="375">
        <v>32723.077010000001</v>
      </c>
      <c r="K2218" s="375">
        <v>1476.9588100000001</v>
      </c>
      <c r="L2218" s="375">
        <v>4280.6363899999997</v>
      </c>
      <c r="M2218" s="375">
        <v>80597.789050000007</v>
      </c>
      <c r="N2218" s="372">
        <v>0.75700000000000001</v>
      </c>
      <c r="O2218" s="704">
        <v>8.1270989931865358</v>
      </c>
      <c r="P2218" s="563" t="s">
        <v>619</v>
      </c>
      <c r="Q2218" s="372" t="s">
        <v>619</v>
      </c>
      <c r="R2218" s="696">
        <v>20050610</v>
      </c>
      <c r="S2218" s="372" t="s">
        <v>14200</v>
      </c>
      <c r="T2218" s="697">
        <v>0.20900000000000002</v>
      </c>
      <c r="U2218" s="372" t="s">
        <v>14201</v>
      </c>
      <c r="V2218" s="722">
        <v>13.27</v>
      </c>
      <c r="W2218" s="722">
        <v>0.48</v>
      </c>
      <c r="X2218" s="722">
        <v>1.1200000000000001</v>
      </c>
      <c r="Y2218" s="722">
        <v>32.07</v>
      </c>
      <c r="Z2218" s="382" t="s">
        <v>924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14202</v>
      </c>
      <c r="B2219" s="372" t="s">
        <v>14203</v>
      </c>
      <c r="C2219" s="372" t="s">
        <v>14204</v>
      </c>
      <c r="D2219" s="374">
        <v>1101110018138</v>
      </c>
      <c r="E2219" s="372" t="s">
        <v>14205</v>
      </c>
      <c r="F2219" s="372" t="s">
        <v>5697</v>
      </c>
      <c r="G2219" s="375" t="s">
        <v>14206</v>
      </c>
      <c r="H2219" s="375" t="s">
        <v>843</v>
      </c>
      <c r="I2219" s="375" t="s">
        <v>751</v>
      </c>
      <c r="J2219" s="375">
        <v>49280.434600000001</v>
      </c>
      <c r="K2219" s="375">
        <v>897.56282999999996</v>
      </c>
      <c r="L2219" s="375">
        <v>137.10678999999999</v>
      </c>
      <c r="M2219" s="375">
        <v>208145.15672</v>
      </c>
      <c r="N2219" s="372">
        <v>0.58499999999999996</v>
      </c>
      <c r="O2219" s="704">
        <v>75.67122593718338</v>
      </c>
      <c r="P2219" s="563" t="s">
        <v>619</v>
      </c>
      <c r="Q2219" s="372" t="s">
        <v>619</v>
      </c>
      <c r="R2219" s="696">
        <v>19940429</v>
      </c>
      <c r="S2219" s="372" t="s">
        <v>14207</v>
      </c>
      <c r="T2219" s="697">
        <v>9.9000000000000005E-2</v>
      </c>
      <c r="U2219" s="372" t="s">
        <v>14208</v>
      </c>
      <c r="V2219" s="722">
        <v>49.97</v>
      </c>
      <c r="W2219" s="722">
        <v>0.26</v>
      </c>
      <c r="X2219" s="722">
        <v>0.72</v>
      </c>
      <c r="Y2219" s="722" t="s">
        <v>770</v>
      </c>
      <c r="Z2219" s="382" t="s">
        <v>924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14209</v>
      </c>
      <c r="B2220" s="372" t="s">
        <v>14210</v>
      </c>
      <c r="C2220" s="372" t="s">
        <v>14211</v>
      </c>
      <c r="D2220" s="374">
        <v>1101110032005</v>
      </c>
      <c r="E2220" s="372" t="s">
        <v>14212</v>
      </c>
      <c r="F2220" s="372" t="s">
        <v>2744</v>
      </c>
      <c r="G2220" s="375" t="s">
        <v>2745</v>
      </c>
      <c r="H2220" s="375" t="s">
        <v>809</v>
      </c>
      <c r="I2220" s="375" t="s">
        <v>751</v>
      </c>
      <c r="J2220" s="375">
        <v>160531.12328999999</v>
      </c>
      <c r="K2220" s="375">
        <v>-5494.2635799999998</v>
      </c>
      <c r="L2220" s="375">
        <v>840.54961000000003</v>
      </c>
      <c r="M2220" s="375">
        <v>156624.9621</v>
      </c>
      <c r="N2220" s="372">
        <v>0.77300000000000002</v>
      </c>
      <c r="O2220" s="704">
        <v>0.59219031886819651</v>
      </c>
      <c r="P2220" s="563" t="s">
        <v>619</v>
      </c>
      <c r="Q2220" s="372" t="s">
        <v>619</v>
      </c>
      <c r="R2220" s="696">
        <v>20150924</v>
      </c>
      <c r="S2220" s="372" t="s">
        <v>14213</v>
      </c>
      <c r="T2220" s="697">
        <v>0.20900000000000002</v>
      </c>
      <c r="U2220" s="372" t="s">
        <v>14214</v>
      </c>
      <c r="V2220" s="722">
        <v>0</v>
      </c>
      <c r="W2220" s="722">
        <v>0</v>
      </c>
      <c r="X2220" s="722">
        <v>0</v>
      </c>
      <c r="Y2220" s="722">
        <v>0</v>
      </c>
      <c r="Z2220" s="382" t="s">
        <v>924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14215</v>
      </c>
      <c r="B2221" s="372" t="s">
        <v>14216</v>
      </c>
      <c r="C2221" s="372" t="s">
        <v>14217</v>
      </c>
      <c r="D2221" s="374">
        <v>1801110414837</v>
      </c>
      <c r="E2221" s="372" t="s">
        <v>14218</v>
      </c>
      <c r="F2221" s="372" t="s">
        <v>3545</v>
      </c>
      <c r="G2221" s="375" t="s">
        <v>3545</v>
      </c>
      <c r="H2221" s="375" t="s">
        <v>1334</v>
      </c>
      <c r="I2221" s="375" t="s">
        <v>859</v>
      </c>
      <c r="J2221" s="375">
        <v>24347.085849999999</v>
      </c>
      <c r="K2221" s="375">
        <v>-7744.04133</v>
      </c>
      <c r="L2221" s="375">
        <v>-25966.81309</v>
      </c>
      <c r="M2221" s="375">
        <v>24380.90857</v>
      </c>
      <c r="N2221" s="372">
        <v>0.78700000000000003</v>
      </c>
      <c r="O2221" s="704">
        <v>143.2274086462217</v>
      </c>
      <c r="P2221" s="563" t="s">
        <v>619</v>
      </c>
      <c r="Q2221" s="372" t="s">
        <v>619</v>
      </c>
      <c r="R2221" s="696">
        <v>20061010</v>
      </c>
      <c r="S2221" s="372" t="s">
        <v>14219</v>
      </c>
      <c r="T2221" s="697" t="s">
        <v>768</v>
      </c>
      <c r="U2221" s="372" t="s">
        <v>14220</v>
      </c>
      <c r="V2221" s="722" t="s">
        <v>770</v>
      </c>
      <c r="W2221" s="722">
        <v>1.2</v>
      </c>
      <c r="X2221" s="722">
        <v>1.1399999999999999</v>
      </c>
      <c r="Y2221" s="722" t="s">
        <v>770</v>
      </c>
      <c r="Z2221" s="382" t="s">
        <v>924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14221</v>
      </c>
      <c r="B2222" s="372" t="s">
        <v>14222</v>
      </c>
      <c r="C2222" s="372" t="s">
        <v>14223</v>
      </c>
      <c r="D2222" s="374">
        <v>1101110296073</v>
      </c>
      <c r="E2222" s="372" t="s">
        <v>14224</v>
      </c>
      <c r="F2222" s="372" t="s">
        <v>1456</v>
      </c>
      <c r="G2222" s="375" t="s">
        <v>5640</v>
      </c>
      <c r="H2222" s="375" t="s">
        <v>906</v>
      </c>
      <c r="I2222" s="375" t="s">
        <v>751</v>
      </c>
      <c r="J2222" s="375">
        <v>43787.815779999997</v>
      </c>
      <c r="K2222" s="375">
        <v>-9150.1115800000007</v>
      </c>
      <c r="L2222" s="375">
        <v>-31832.648840000002</v>
      </c>
      <c r="M2222" s="375">
        <v>25901.318950000001</v>
      </c>
      <c r="N2222" s="372">
        <v>0.29099999999999998</v>
      </c>
      <c r="O2222" s="704">
        <v>139.39386927524666</v>
      </c>
      <c r="P2222" s="563" t="s">
        <v>16112</v>
      </c>
      <c r="Q2222" s="372" t="s">
        <v>16113</v>
      </c>
      <c r="R2222" s="696">
        <v>19891202</v>
      </c>
      <c r="S2222" s="372" t="s">
        <v>14225</v>
      </c>
      <c r="T2222" s="697" t="s">
        <v>768</v>
      </c>
      <c r="U2222" s="372" t="s">
        <v>14226</v>
      </c>
      <c r="V2222" s="722" t="s">
        <v>770</v>
      </c>
      <c r="W2222" s="722">
        <v>1.29</v>
      </c>
      <c r="X2222" s="722">
        <v>0.71</v>
      </c>
      <c r="Y2222" s="722" t="s">
        <v>770</v>
      </c>
      <c r="Z2222" s="382" t="s">
        <v>924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14227</v>
      </c>
      <c r="B2223" s="372" t="s">
        <v>14228</v>
      </c>
      <c r="C2223" s="372" t="s">
        <v>14229</v>
      </c>
      <c r="D2223" s="374">
        <v>1101110175467</v>
      </c>
      <c r="E2223" s="372" t="s">
        <v>14230</v>
      </c>
      <c r="F2223" s="372" t="s">
        <v>5116</v>
      </c>
      <c r="G2223" s="375" t="s">
        <v>5116</v>
      </c>
      <c r="H2223" s="375" t="s">
        <v>1383</v>
      </c>
      <c r="I2223" s="375" t="s">
        <v>751</v>
      </c>
      <c r="J2223" s="375">
        <v>128540.91595</v>
      </c>
      <c r="K2223" s="375">
        <v>-8248.4352600000002</v>
      </c>
      <c r="L2223" s="375">
        <v>-4167.2452499999999</v>
      </c>
      <c r="M2223" s="375">
        <v>90034.488150000005</v>
      </c>
      <c r="N2223" s="372">
        <v>0.80800000000000005</v>
      </c>
      <c r="O2223" s="704">
        <v>4.0711269083243797</v>
      </c>
      <c r="P2223" s="563" t="s">
        <v>619</v>
      </c>
      <c r="Q2223" s="372" t="s">
        <v>619</v>
      </c>
      <c r="R2223" s="696">
        <v>20180914</v>
      </c>
      <c r="S2223" s="372" t="s">
        <v>14231</v>
      </c>
      <c r="T2223" s="697" t="s">
        <v>768</v>
      </c>
      <c r="U2223" s="372" t="s">
        <v>14232</v>
      </c>
      <c r="V2223" s="722" t="s">
        <v>770</v>
      </c>
      <c r="W2223" s="722">
        <v>0.27</v>
      </c>
      <c r="X2223" s="722">
        <v>0.2</v>
      </c>
      <c r="Y2223" s="722" t="s">
        <v>770</v>
      </c>
      <c r="Z2223" s="382" t="s">
        <v>924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14233</v>
      </c>
      <c r="B2224" s="372" t="s">
        <v>14234</v>
      </c>
      <c r="C2224" s="372" t="s">
        <v>14235</v>
      </c>
      <c r="D2224" s="374">
        <v>1115110005269</v>
      </c>
      <c r="E2224" s="372" t="s">
        <v>14236</v>
      </c>
      <c r="F2224" s="372" t="s">
        <v>1833</v>
      </c>
      <c r="G2224" s="375" t="s">
        <v>1833</v>
      </c>
      <c r="H2224" s="375" t="s">
        <v>3096</v>
      </c>
      <c r="I2224" s="375" t="s">
        <v>859</v>
      </c>
      <c r="J2224" s="375">
        <v>154887.90199000001</v>
      </c>
      <c r="K2224" s="375">
        <v>5178.8179399999999</v>
      </c>
      <c r="L2224" s="375">
        <v>1737.44938</v>
      </c>
      <c r="M2224" s="375">
        <v>66194.79247</v>
      </c>
      <c r="N2224" s="372">
        <v>0.72399999999999998</v>
      </c>
      <c r="O2224" s="704">
        <v>201.89817524337087</v>
      </c>
      <c r="P2224" s="563" t="s">
        <v>619</v>
      </c>
      <c r="Q2224" s="372" t="s">
        <v>619</v>
      </c>
      <c r="R2224" s="696">
        <v>19891228</v>
      </c>
      <c r="S2224" s="372" t="s">
        <v>14237</v>
      </c>
      <c r="T2224" s="697">
        <v>0.20900000000000002</v>
      </c>
      <c r="U2224" s="372" t="s">
        <v>14238</v>
      </c>
      <c r="V2224" s="722">
        <v>9.2799999999999994</v>
      </c>
      <c r="W2224" s="722">
        <v>0.46</v>
      </c>
      <c r="X2224" s="722">
        <v>0.21</v>
      </c>
      <c r="Y2224" s="722">
        <v>21.21</v>
      </c>
      <c r="Z2224" s="382" t="s">
        <v>924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14239</v>
      </c>
      <c r="B2225" s="372" t="s">
        <v>14240</v>
      </c>
      <c r="C2225" s="372" t="s">
        <v>14241</v>
      </c>
      <c r="D2225" s="374">
        <v>1348110069163</v>
      </c>
      <c r="E2225" s="372" t="s">
        <v>14242</v>
      </c>
      <c r="F2225" s="372" t="s">
        <v>4868</v>
      </c>
      <c r="G2225" s="375" t="s">
        <v>4868</v>
      </c>
      <c r="H2225" s="375" t="s">
        <v>858</v>
      </c>
      <c r="I2225" s="375" t="s">
        <v>859</v>
      </c>
      <c r="J2225" s="375">
        <v>119495.88337</v>
      </c>
      <c r="K2225" s="375">
        <v>-1822.3015399999999</v>
      </c>
      <c r="L2225" s="375">
        <v>-6298.1987900000004</v>
      </c>
      <c r="M2225" s="375">
        <v>59056.309459999997</v>
      </c>
      <c r="N2225" s="372">
        <v>0.61699999999999999</v>
      </c>
      <c r="O2225" s="704">
        <v>144.47188367037046</v>
      </c>
      <c r="P2225" s="563" t="s">
        <v>619</v>
      </c>
      <c r="Q2225" s="372" t="s">
        <v>619</v>
      </c>
      <c r="R2225" s="696">
        <v>20131106</v>
      </c>
      <c r="S2225" s="372" t="s">
        <v>14243</v>
      </c>
      <c r="T2225" s="697" t="s">
        <v>768</v>
      </c>
      <c r="U2225" s="372" t="s">
        <v>14244</v>
      </c>
      <c r="V2225" s="722">
        <v>10.51</v>
      </c>
      <c r="W2225" s="722">
        <v>0.77</v>
      </c>
      <c r="X2225" s="722">
        <v>0.26</v>
      </c>
      <c r="Y2225" s="722" t="s">
        <v>770</v>
      </c>
      <c r="Z2225" s="382" t="s">
        <v>924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14245</v>
      </c>
      <c r="B2226" s="372" t="s">
        <v>14246</v>
      </c>
      <c r="C2226" s="372" t="s">
        <v>14247</v>
      </c>
      <c r="D2226" s="374">
        <v>1243110002628</v>
      </c>
      <c r="E2226" s="372" t="s">
        <v>14248</v>
      </c>
      <c r="F2226" s="372" t="s">
        <v>4332</v>
      </c>
      <c r="G2226" s="375" t="s">
        <v>4333</v>
      </c>
      <c r="H2226" s="375" t="s">
        <v>858</v>
      </c>
      <c r="I2226" s="375" t="s">
        <v>859</v>
      </c>
      <c r="J2226" s="375">
        <v>101704.27424</v>
      </c>
      <c r="K2226" s="375">
        <v>1093.1051600000001</v>
      </c>
      <c r="L2226" s="375">
        <v>1937.28712</v>
      </c>
      <c r="M2226" s="375">
        <v>75755.060039999997</v>
      </c>
      <c r="N2226" s="372">
        <v>0.49099999999999999</v>
      </c>
      <c r="O2226" s="704">
        <v>4.5005994768962498</v>
      </c>
      <c r="P2226" s="563" t="s">
        <v>619</v>
      </c>
      <c r="Q2226" s="372" t="s">
        <v>619</v>
      </c>
      <c r="R2226" s="696">
        <v>20110223</v>
      </c>
      <c r="S2226" s="372" t="s">
        <v>14249</v>
      </c>
      <c r="T2226" s="697">
        <v>0.20900000000000002</v>
      </c>
      <c r="U2226" s="372" t="s">
        <v>14250</v>
      </c>
      <c r="V2226" s="722">
        <v>13.2</v>
      </c>
      <c r="W2226" s="722">
        <v>0.44</v>
      </c>
      <c r="X2226" s="722">
        <v>0.34</v>
      </c>
      <c r="Y2226" s="722">
        <v>23.82</v>
      </c>
      <c r="Z2226" s="382" t="s">
        <v>924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14251</v>
      </c>
      <c r="B2227" s="372" t="s">
        <v>14252</v>
      </c>
      <c r="C2227" s="372" t="s">
        <v>14253</v>
      </c>
      <c r="D2227" s="374">
        <v>1801110085076</v>
      </c>
      <c r="E2227" s="372" t="s">
        <v>14254</v>
      </c>
      <c r="F2227" s="372" t="s">
        <v>1793</v>
      </c>
      <c r="G2227" s="375" t="s">
        <v>2794</v>
      </c>
      <c r="H2227" s="375" t="s">
        <v>858</v>
      </c>
      <c r="I2227" s="375" t="s">
        <v>859</v>
      </c>
      <c r="J2227" s="375">
        <v>19775.275880000001</v>
      </c>
      <c r="K2227" s="375">
        <v>5490.3078599999999</v>
      </c>
      <c r="L2227" s="375">
        <v>6061.4061600000005</v>
      </c>
      <c r="M2227" s="375">
        <v>24830.958159999998</v>
      </c>
      <c r="N2227" s="372">
        <v>0.68200000000000005</v>
      </c>
      <c r="O2227" s="704">
        <v>8.7141705558149096E-2</v>
      </c>
      <c r="P2227" s="563" t="s">
        <v>619</v>
      </c>
      <c r="Q2227" s="372" t="s">
        <v>619</v>
      </c>
      <c r="R2227" s="696">
        <v>20020716</v>
      </c>
      <c r="S2227" s="372" t="s">
        <v>14255</v>
      </c>
      <c r="T2227" s="697">
        <v>0.20900000000000002</v>
      </c>
      <c r="U2227" s="372" t="s">
        <v>14256</v>
      </c>
      <c r="V2227" s="722">
        <v>0</v>
      </c>
      <c r="W2227" s="722">
        <v>0</v>
      </c>
      <c r="X2227" s="722">
        <v>0</v>
      </c>
      <c r="Y2227" s="722">
        <v>0</v>
      </c>
      <c r="Z2227" s="382" t="s">
        <v>924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14257</v>
      </c>
      <c r="B2228" s="372" t="s">
        <v>14258</v>
      </c>
      <c r="C2228" s="372" t="s">
        <v>14259</v>
      </c>
      <c r="D2228" s="374">
        <v>1412110022619</v>
      </c>
      <c r="E2228" s="372" t="s">
        <v>14260</v>
      </c>
      <c r="F2228" s="372" t="s">
        <v>2051</v>
      </c>
      <c r="G2228" s="375" t="s">
        <v>2052</v>
      </c>
      <c r="H2228" s="375" t="s">
        <v>858</v>
      </c>
      <c r="I2228" s="375" t="s">
        <v>859</v>
      </c>
      <c r="J2228" s="375">
        <v>37939.186289999998</v>
      </c>
      <c r="K2228" s="375">
        <v>4174.9554500000004</v>
      </c>
      <c r="L2228" s="375">
        <v>-7426.8312599999999</v>
      </c>
      <c r="M2228" s="375">
        <v>56049.048519999997</v>
      </c>
      <c r="N2228" s="372">
        <v>0.61499999999999999</v>
      </c>
      <c r="O2228" s="704">
        <v>104.46466099177746</v>
      </c>
      <c r="P2228" s="563" t="s">
        <v>619</v>
      </c>
      <c r="Q2228" s="372" t="s">
        <v>619</v>
      </c>
      <c r="R2228" s="696">
        <v>20111215</v>
      </c>
      <c r="S2228" s="372" t="s">
        <v>14261</v>
      </c>
      <c r="T2228" s="697" t="s">
        <v>768</v>
      </c>
      <c r="U2228" s="372" t="s">
        <v>14262</v>
      </c>
      <c r="V2228" s="722">
        <v>9.49</v>
      </c>
      <c r="W2228" s="722">
        <v>0.65</v>
      </c>
      <c r="X2228" s="722">
        <v>0.98</v>
      </c>
      <c r="Y2228" s="722" t="s">
        <v>770</v>
      </c>
      <c r="Z2228" s="382" t="s">
        <v>924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14263</v>
      </c>
      <c r="B2229" s="372" t="s">
        <v>14264</v>
      </c>
      <c r="C2229" s="372" t="s">
        <v>14265</v>
      </c>
      <c r="D2229" s="374">
        <v>1801110172667</v>
      </c>
      <c r="E2229" s="372" t="s">
        <v>14266</v>
      </c>
      <c r="F2229" s="372" t="s">
        <v>2831</v>
      </c>
      <c r="G2229" s="375" t="s">
        <v>2832</v>
      </c>
      <c r="H2229" s="375" t="s">
        <v>858</v>
      </c>
      <c r="I2229" s="375" t="s">
        <v>859</v>
      </c>
      <c r="J2229" s="375">
        <v>30606.742160000002</v>
      </c>
      <c r="K2229" s="375">
        <v>-5602.0426399999997</v>
      </c>
      <c r="L2229" s="375">
        <v>-15100.6922</v>
      </c>
      <c r="M2229" s="375">
        <v>37319.384380000003</v>
      </c>
      <c r="N2229" s="372">
        <v>0.48399999999999999</v>
      </c>
      <c r="O2229" s="704">
        <v>64.265162503420314</v>
      </c>
      <c r="P2229" s="563" t="s">
        <v>619</v>
      </c>
      <c r="Q2229" s="372" t="s">
        <v>619</v>
      </c>
      <c r="R2229" s="696">
        <v>20030117</v>
      </c>
      <c r="S2229" s="372" t="s">
        <v>14267</v>
      </c>
      <c r="T2229" s="697" t="s">
        <v>768</v>
      </c>
      <c r="U2229" s="372" t="s">
        <v>14268</v>
      </c>
      <c r="V2229" s="722">
        <v>0</v>
      </c>
      <c r="W2229" s="722">
        <v>0</v>
      </c>
      <c r="X2229" s="722">
        <v>0</v>
      </c>
      <c r="Y2229" s="722">
        <v>0</v>
      </c>
      <c r="Z2229" s="382" t="s">
        <v>924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14269</v>
      </c>
      <c r="B2230" s="372" t="s">
        <v>14270</v>
      </c>
      <c r="C2230" s="372" t="s">
        <v>14271</v>
      </c>
      <c r="D2230" s="374">
        <v>1601110004426</v>
      </c>
      <c r="E2230" s="372" t="s">
        <v>14272</v>
      </c>
      <c r="F2230" s="372" t="s">
        <v>2744</v>
      </c>
      <c r="G2230" s="375" t="s">
        <v>9395</v>
      </c>
      <c r="H2230" s="375" t="s">
        <v>858</v>
      </c>
      <c r="I2230" s="375" t="s">
        <v>859</v>
      </c>
      <c r="J2230" s="375">
        <v>189659.34531999999</v>
      </c>
      <c r="K2230" s="375">
        <v>2719.60653</v>
      </c>
      <c r="L2230" s="375">
        <v>2703.0421700000002</v>
      </c>
      <c r="M2230" s="375">
        <v>118762.96958</v>
      </c>
      <c r="N2230" s="372">
        <v>1.014</v>
      </c>
      <c r="O2230" s="704">
        <v>123.10447871204467</v>
      </c>
      <c r="P2230" s="563" t="s">
        <v>619</v>
      </c>
      <c r="Q2230" s="372" t="s">
        <v>619</v>
      </c>
      <c r="R2230" s="696">
        <v>20020201</v>
      </c>
      <c r="S2230" s="372" t="s">
        <v>14273</v>
      </c>
      <c r="T2230" s="697">
        <v>0.20900000000000002</v>
      </c>
      <c r="U2230" s="372" t="s">
        <v>14274</v>
      </c>
      <c r="V2230" s="722">
        <v>9.7200000000000006</v>
      </c>
      <c r="W2230" s="722">
        <v>0.28000000000000003</v>
      </c>
      <c r="X2230" s="722">
        <v>0.17</v>
      </c>
      <c r="Y2230" s="722">
        <v>21.38</v>
      </c>
      <c r="Z2230" s="382" t="s">
        <v>924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14275</v>
      </c>
      <c r="B2231" s="372" t="s">
        <v>14276</v>
      </c>
      <c r="C2231" s="372" t="s">
        <v>14277</v>
      </c>
      <c r="D2231" s="374">
        <v>1101110227177</v>
      </c>
      <c r="E2231" s="372" t="s">
        <v>14278</v>
      </c>
      <c r="F2231" s="372" t="s">
        <v>842</v>
      </c>
      <c r="G2231" s="375" t="s">
        <v>842</v>
      </c>
      <c r="H2231" s="375" t="s">
        <v>843</v>
      </c>
      <c r="I2231" s="375" t="s">
        <v>751</v>
      </c>
      <c r="J2231" s="375">
        <v>36008.583939999997</v>
      </c>
      <c r="K2231" s="375">
        <v>2293.1760399999998</v>
      </c>
      <c r="L2231" s="375">
        <v>3628.87417</v>
      </c>
      <c r="M2231" s="375">
        <v>51017.199050000003</v>
      </c>
      <c r="N2231" s="372">
        <v>1.232</v>
      </c>
      <c r="O2231" s="704">
        <v>6.6422195953520252E-2</v>
      </c>
      <c r="P2231" s="563" t="s">
        <v>619</v>
      </c>
      <c r="Q2231" s="372" t="s">
        <v>619</v>
      </c>
      <c r="R2231" s="696">
        <v>19890905</v>
      </c>
      <c r="S2231" s="372" t="s">
        <v>14279</v>
      </c>
      <c r="T2231" s="697">
        <v>0.20900000000000002</v>
      </c>
      <c r="U2231" s="372" t="s">
        <v>14280</v>
      </c>
      <c r="V2231" s="722">
        <v>0</v>
      </c>
      <c r="W2231" s="722">
        <v>0</v>
      </c>
      <c r="X2231" s="722">
        <v>0</v>
      </c>
      <c r="Y2231" s="722">
        <v>0</v>
      </c>
      <c r="Z2231" s="382" t="s">
        <v>924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14281</v>
      </c>
      <c r="B2232" s="372" t="s">
        <v>14282</v>
      </c>
      <c r="C2232" s="372" t="s">
        <v>14283</v>
      </c>
      <c r="D2232" s="374">
        <v>1955110052004</v>
      </c>
      <c r="E2232" s="372" t="s">
        <v>14284</v>
      </c>
      <c r="F2232" s="372" t="s">
        <v>14285</v>
      </c>
      <c r="G2232" s="375" t="s">
        <v>14286</v>
      </c>
      <c r="H2232" s="375" t="s">
        <v>858</v>
      </c>
      <c r="I2232" s="375" t="s">
        <v>859</v>
      </c>
      <c r="J2232" s="375">
        <v>91182.802450000003</v>
      </c>
      <c r="K2232" s="375">
        <v>11277.37745</v>
      </c>
      <c r="L2232" s="375">
        <v>10660.650750000001</v>
      </c>
      <c r="M2232" s="375">
        <v>94400.162379999994</v>
      </c>
      <c r="N2232" s="372">
        <v>0.54500000000000004</v>
      </c>
      <c r="O2232" s="704">
        <v>156.32988067702104</v>
      </c>
      <c r="P2232" s="563" t="s">
        <v>619</v>
      </c>
      <c r="Q2232" s="372" t="s">
        <v>619</v>
      </c>
      <c r="R2232" s="696">
        <v>20130802</v>
      </c>
      <c r="S2232" s="372" t="s">
        <v>14287</v>
      </c>
      <c r="T2232" s="697">
        <v>0.20900000000000002</v>
      </c>
      <c r="U2232" s="372" t="s">
        <v>14288</v>
      </c>
      <c r="V2232" s="722">
        <v>8.39</v>
      </c>
      <c r="W2232" s="722">
        <v>0.54</v>
      </c>
      <c r="X2232" s="722">
        <v>0.49</v>
      </c>
      <c r="Y2232" s="722">
        <v>7.73</v>
      </c>
      <c r="Z2232" s="382" t="s">
        <v>924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14289</v>
      </c>
      <c r="B2233" s="372" t="s">
        <v>14290</v>
      </c>
      <c r="C2233" s="372" t="s">
        <v>14291</v>
      </c>
      <c r="D2233" s="374">
        <v>1101110150691</v>
      </c>
      <c r="E2233" s="372" t="s">
        <v>14292</v>
      </c>
      <c r="F2233" s="372" t="s">
        <v>842</v>
      </c>
      <c r="G2233" s="375" t="s">
        <v>842</v>
      </c>
      <c r="H2233" s="375" t="s">
        <v>3096</v>
      </c>
      <c r="I2233" s="375" t="s">
        <v>859</v>
      </c>
      <c r="J2233" s="375">
        <v>141083.16850999999</v>
      </c>
      <c r="K2233" s="375">
        <v>-3855.2952799999998</v>
      </c>
      <c r="L2233" s="375">
        <v>-1807.71381</v>
      </c>
      <c r="M2233" s="375">
        <v>69164.737240000002</v>
      </c>
      <c r="N2233" s="372">
        <v>0.98599999999999999</v>
      </c>
      <c r="O2233" s="704">
        <v>12.927890779072914</v>
      </c>
      <c r="P2233" s="563" t="s">
        <v>619</v>
      </c>
      <c r="Q2233" s="372" t="s">
        <v>619</v>
      </c>
      <c r="R2233" s="696">
        <v>20020108</v>
      </c>
      <c r="S2233" s="372" t="s">
        <v>14293</v>
      </c>
      <c r="T2233" s="697" t="s">
        <v>768</v>
      </c>
      <c r="U2233" s="372" t="s">
        <v>14294</v>
      </c>
      <c r="V2233" s="722">
        <v>0</v>
      </c>
      <c r="W2233" s="722">
        <v>0</v>
      </c>
      <c r="X2233" s="722">
        <v>0</v>
      </c>
      <c r="Y2233" s="722">
        <v>0</v>
      </c>
      <c r="Z2233" s="382" t="s">
        <v>924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14295</v>
      </c>
      <c r="B2234" s="372" t="s">
        <v>14296</v>
      </c>
      <c r="C2234" s="372" t="s">
        <v>14297</v>
      </c>
      <c r="D2234" s="374">
        <v>2850110151881</v>
      </c>
      <c r="E2234" s="372" t="s">
        <v>14298</v>
      </c>
      <c r="F2234" s="372" t="s">
        <v>1959</v>
      </c>
      <c r="G2234" s="375" t="s">
        <v>1959</v>
      </c>
      <c r="H2234" s="375" t="s">
        <v>858</v>
      </c>
      <c r="I2234" s="375" t="s">
        <v>859</v>
      </c>
      <c r="J2234" s="375">
        <v>67898.34491</v>
      </c>
      <c r="K2234" s="375">
        <v>3086.3255199999999</v>
      </c>
      <c r="L2234" s="375">
        <v>1419.02268</v>
      </c>
      <c r="M2234" s="375">
        <v>33679.570639999998</v>
      </c>
      <c r="N2234" s="372">
        <v>0.82799999999999996</v>
      </c>
      <c r="O2234" s="704">
        <v>87.6518379847452</v>
      </c>
      <c r="P2234" s="563" t="s">
        <v>619</v>
      </c>
      <c r="Q2234" s="372" t="s">
        <v>619</v>
      </c>
      <c r="R2234" s="696">
        <v>20150817</v>
      </c>
      <c r="S2234" s="372" t="s">
        <v>14299</v>
      </c>
      <c r="T2234" s="697">
        <v>0.20900000000000002</v>
      </c>
      <c r="U2234" s="372" t="s">
        <v>14300</v>
      </c>
      <c r="V2234" s="722">
        <v>6.66</v>
      </c>
      <c r="W2234" s="722">
        <v>0.98</v>
      </c>
      <c r="X2234" s="722">
        <v>0.49</v>
      </c>
      <c r="Y2234" s="722">
        <v>133.91999999999999</v>
      </c>
      <c r="Z2234" s="382" t="s">
        <v>924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14301</v>
      </c>
      <c r="B2235" s="372" t="s">
        <v>14302</v>
      </c>
      <c r="C2235" s="372" t="s">
        <v>14303</v>
      </c>
      <c r="D2235" s="374">
        <v>1101115703594</v>
      </c>
      <c r="E2235" s="372" t="s">
        <v>14304</v>
      </c>
      <c r="F2235" s="372" t="s">
        <v>1566</v>
      </c>
      <c r="G2235" s="375" t="s">
        <v>1566</v>
      </c>
      <c r="H2235" s="375" t="s">
        <v>3096</v>
      </c>
      <c r="I2235" s="375" t="s">
        <v>859</v>
      </c>
      <c r="J2235" s="375">
        <v>37193.675609999998</v>
      </c>
      <c r="K2235" s="375">
        <v>-485.88076999999998</v>
      </c>
      <c r="L2235" s="375">
        <v>-51784.118040000001</v>
      </c>
      <c r="M2235" s="375">
        <v>15779.454460000001</v>
      </c>
      <c r="N2235" s="372">
        <v>0.51400000000000001</v>
      </c>
      <c r="O2235" s="704">
        <v>22.333607355002176</v>
      </c>
      <c r="P2235" s="563" t="s">
        <v>619</v>
      </c>
      <c r="Q2235" s="372" t="s">
        <v>619</v>
      </c>
      <c r="R2235" s="696">
        <v>20150722</v>
      </c>
      <c r="S2235" s="372" t="s">
        <v>3552</v>
      </c>
      <c r="T2235" s="697" t="s">
        <v>768</v>
      </c>
      <c r="U2235" s="372" t="s">
        <v>14305</v>
      </c>
      <c r="V2235" s="722">
        <v>0</v>
      </c>
      <c r="W2235" s="722">
        <v>0</v>
      </c>
      <c r="X2235" s="722">
        <v>0</v>
      </c>
      <c r="Y2235" s="722">
        <v>0</v>
      </c>
      <c r="Z2235" s="382" t="s">
        <v>924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14306</v>
      </c>
      <c r="B2236" s="372" t="s">
        <v>14307</v>
      </c>
      <c r="C2236" s="372" t="s">
        <v>14308</v>
      </c>
      <c r="D2236" s="374">
        <v>1801110005834</v>
      </c>
      <c r="E2236" s="372" t="s">
        <v>14309</v>
      </c>
      <c r="F2236" s="372" t="s">
        <v>4830</v>
      </c>
      <c r="G2236" s="375" t="s">
        <v>4830</v>
      </c>
      <c r="H2236" s="375" t="s">
        <v>858</v>
      </c>
      <c r="I2236" s="375" t="s">
        <v>859</v>
      </c>
      <c r="J2236" s="375">
        <v>85739.509869999994</v>
      </c>
      <c r="K2236" s="375">
        <v>3649.7815300000002</v>
      </c>
      <c r="L2236" s="375">
        <v>-6639.6378400000003</v>
      </c>
      <c r="M2236" s="375">
        <v>49931.648379999999</v>
      </c>
      <c r="N2236" s="372">
        <v>0.84399999999999997</v>
      </c>
      <c r="O2236" s="704">
        <v>305.85328662615137</v>
      </c>
      <c r="P2236" s="563" t="s">
        <v>619</v>
      </c>
      <c r="Q2236" s="372" t="s">
        <v>619</v>
      </c>
      <c r="R2236" s="696">
        <v>19950630</v>
      </c>
      <c r="S2236" s="372" t="s">
        <v>14310</v>
      </c>
      <c r="T2236" s="697" t="s">
        <v>768</v>
      </c>
      <c r="U2236" s="372" t="s">
        <v>14311</v>
      </c>
      <c r="V2236" s="722">
        <v>16.23</v>
      </c>
      <c r="W2236" s="722">
        <v>0.46</v>
      </c>
      <c r="X2236" s="722">
        <v>0.27</v>
      </c>
      <c r="Y2236" s="722" t="s">
        <v>770</v>
      </c>
      <c r="Z2236" s="382" t="s">
        <v>924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14312</v>
      </c>
      <c r="B2237" s="372" t="s">
        <v>14313</v>
      </c>
      <c r="C2237" s="372" t="s">
        <v>14314</v>
      </c>
      <c r="D2237" s="374">
        <v>1801110031516</v>
      </c>
      <c r="E2237" s="372" t="s">
        <v>14315</v>
      </c>
      <c r="F2237" s="372" t="s">
        <v>6983</v>
      </c>
      <c r="G2237" s="375" t="s">
        <v>14316</v>
      </c>
      <c r="H2237" s="375" t="s">
        <v>3096</v>
      </c>
      <c r="I2237" s="375" t="s">
        <v>859</v>
      </c>
      <c r="J2237" s="375">
        <v>23834.299350000001</v>
      </c>
      <c r="K2237" s="375">
        <v>-2926.6984200000002</v>
      </c>
      <c r="L2237" s="375">
        <v>-10820.93167</v>
      </c>
      <c r="M2237" s="375">
        <v>74979.508889999997</v>
      </c>
      <c r="N2237" s="372">
        <v>0.65800000000000003</v>
      </c>
      <c r="O2237" s="704">
        <v>7.7708860560926771</v>
      </c>
      <c r="P2237" s="563" t="s">
        <v>619</v>
      </c>
      <c r="Q2237" s="372" t="s">
        <v>619</v>
      </c>
      <c r="R2237" s="696">
        <v>20020423</v>
      </c>
      <c r="S2237" s="372" t="s">
        <v>14317</v>
      </c>
      <c r="T2237" s="697" t="s">
        <v>768</v>
      </c>
      <c r="U2237" s="372" t="s">
        <v>14318</v>
      </c>
      <c r="V2237" s="722" t="s">
        <v>770</v>
      </c>
      <c r="W2237" s="722">
        <v>0.33</v>
      </c>
      <c r="X2237" s="722">
        <v>1.06</v>
      </c>
      <c r="Y2237" s="722" t="s">
        <v>770</v>
      </c>
      <c r="Z2237" s="382" t="s">
        <v>924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14319</v>
      </c>
      <c r="B2238" s="372" t="s">
        <v>14320</v>
      </c>
      <c r="C2238" s="372" t="s">
        <v>14321</v>
      </c>
      <c r="D2238" s="374">
        <v>1801110007062</v>
      </c>
      <c r="E2238" s="372" t="s">
        <v>14322</v>
      </c>
      <c r="F2238" s="372" t="s">
        <v>1320</v>
      </c>
      <c r="G2238" s="375" t="s">
        <v>16103</v>
      </c>
      <c r="H2238" s="375" t="s">
        <v>858</v>
      </c>
      <c r="I2238" s="375" t="s">
        <v>859</v>
      </c>
      <c r="J2238" s="375">
        <v>64094.320209999998</v>
      </c>
      <c r="K2238" s="375">
        <v>-6516.2602100000004</v>
      </c>
      <c r="L2238" s="375">
        <v>-16640.825629999999</v>
      </c>
      <c r="M2238" s="375">
        <v>22192.914919999999</v>
      </c>
      <c r="N2238" s="372">
        <v>0.47499999999999998</v>
      </c>
      <c r="O2238" s="704">
        <v>129.70207607290905</v>
      </c>
      <c r="P2238" s="563" t="s">
        <v>16112</v>
      </c>
      <c r="Q2238" s="372" t="s">
        <v>619</v>
      </c>
      <c r="R2238" s="696">
        <v>20180726</v>
      </c>
      <c r="S2238" s="372" t="s">
        <v>14323</v>
      </c>
      <c r="T2238" s="697" t="s">
        <v>768</v>
      </c>
      <c r="U2238" s="372" t="s">
        <v>14324</v>
      </c>
      <c r="V2238" s="722" t="s">
        <v>770</v>
      </c>
      <c r="W2238" s="722">
        <v>0.73</v>
      </c>
      <c r="X2238" s="722">
        <v>0.34</v>
      </c>
      <c r="Y2238" s="722" t="s">
        <v>770</v>
      </c>
      <c r="Z2238" s="382" t="s">
        <v>924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14325</v>
      </c>
      <c r="B2239" s="372" t="s">
        <v>14326</v>
      </c>
      <c r="C2239" s="372" t="s">
        <v>14327</v>
      </c>
      <c r="D2239" s="374">
        <v>1801110002682</v>
      </c>
      <c r="E2239" s="372" t="s">
        <v>14328</v>
      </c>
      <c r="F2239" s="372" t="s">
        <v>2004</v>
      </c>
      <c r="G2239" s="375" t="s">
        <v>2004</v>
      </c>
      <c r="H2239" s="375" t="s">
        <v>789</v>
      </c>
      <c r="I2239" s="375" t="s">
        <v>751</v>
      </c>
      <c r="J2239" s="375">
        <v>219015.11272</v>
      </c>
      <c r="K2239" s="375">
        <v>1639.9024300000001</v>
      </c>
      <c r="L2239" s="375">
        <v>-2647.2824999999998</v>
      </c>
      <c r="M2239" s="375">
        <v>18411.324850000001</v>
      </c>
      <c r="N2239" s="372">
        <v>0.35599999999999998</v>
      </c>
      <c r="O2239" s="704">
        <v>324.52631572502122</v>
      </c>
      <c r="P2239" s="563" t="s">
        <v>16112</v>
      </c>
      <c r="Q2239" s="372" t="s">
        <v>619</v>
      </c>
      <c r="R2239" s="696">
        <v>19751226</v>
      </c>
      <c r="S2239" s="372" t="s">
        <v>14329</v>
      </c>
      <c r="T2239" s="697" t="s">
        <v>768</v>
      </c>
      <c r="U2239" s="372" t="s">
        <v>14330</v>
      </c>
      <c r="V2239" s="722">
        <v>0</v>
      </c>
      <c r="W2239" s="722">
        <v>0</v>
      </c>
      <c r="X2239" s="722">
        <v>0</v>
      </c>
      <c r="Y2239" s="722">
        <v>0</v>
      </c>
      <c r="Z2239" s="382" t="s">
        <v>924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14331</v>
      </c>
      <c r="B2240" s="372" t="s">
        <v>14332</v>
      </c>
      <c r="C2240" s="372" t="s">
        <v>14333</v>
      </c>
      <c r="D2240" s="374">
        <v>1801110000230</v>
      </c>
      <c r="E2240" s="372" t="s">
        <v>14334</v>
      </c>
      <c r="F2240" s="372" t="s">
        <v>4798</v>
      </c>
      <c r="G2240" s="375" t="s">
        <v>4799</v>
      </c>
      <c r="H2240" s="375" t="s">
        <v>1313</v>
      </c>
      <c r="I2240" s="375" t="s">
        <v>751</v>
      </c>
      <c r="J2240" s="375">
        <v>338752.53116999997</v>
      </c>
      <c r="K2240" s="375">
        <v>9221.4208699999999</v>
      </c>
      <c r="L2240" s="375">
        <v>1796.37616</v>
      </c>
      <c r="M2240" s="375">
        <v>53418.094620000003</v>
      </c>
      <c r="N2240" s="372">
        <v>0.88500000000000001</v>
      </c>
      <c r="O2240" s="704">
        <v>362.30999586394262</v>
      </c>
      <c r="P2240" s="563" t="s">
        <v>619</v>
      </c>
      <c r="Q2240" s="372" t="s">
        <v>619</v>
      </c>
      <c r="R2240" s="696">
        <v>19890126</v>
      </c>
      <c r="S2240" s="372" t="s">
        <v>14335</v>
      </c>
      <c r="T2240" s="697">
        <v>0.20900000000000002</v>
      </c>
      <c r="U2240" s="372" t="s">
        <v>14336</v>
      </c>
      <c r="V2240" s="722">
        <v>0</v>
      </c>
      <c r="W2240" s="722">
        <v>0</v>
      </c>
      <c r="X2240" s="722">
        <v>0</v>
      </c>
      <c r="Y2240" s="722">
        <v>0</v>
      </c>
      <c r="Z2240" s="382" t="s">
        <v>924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14337</v>
      </c>
      <c r="B2241" s="372" t="s">
        <v>14338</v>
      </c>
      <c r="C2241" s="372" t="s">
        <v>14339</v>
      </c>
      <c r="D2241" s="374">
        <v>1101110220288</v>
      </c>
      <c r="E2241" s="372" t="s">
        <v>14340</v>
      </c>
      <c r="F2241" s="372" t="s">
        <v>2744</v>
      </c>
      <c r="G2241" s="375" t="s">
        <v>6509</v>
      </c>
      <c r="H2241" s="375" t="s">
        <v>858</v>
      </c>
      <c r="I2241" s="375" t="s">
        <v>859</v>
      </c>
      <c r="J2241" s="375">
        <v>373255.17596000002</v>
      </c>
      <c r="K2241" s="375">
        <v>11348.88211</v>
      </c>
      <c r="L2241" s="375">
        <v>7612.6958999999997</v>
      </c>
      <c r="M2241" s="375">
        <v>159504.37586999999</v>
      </c>
      <c r="N2241" s="372">
        <v>0.59899999999999998</v>
      </c>
      <c r="O2241" s="704">
        <v>244.09600368207211</v>
      </c>
      <c r="P2241" s="563" t="s">
        <v>619</v>
      </c>
      <c r="Q2241" s="372" t="s">
        <v>619</v>
      </c>
      <c r="R2241" s="696">
        <v>19940621</v>
      </c>
      <c r="S2241" s="372" t="s">
        <v>14341</v>
      </c>
      <c r="T2241" s="697">
        <v>0.20900000000000002</v>
      </c>
      <c r="U2241" s="372" t="s">
        <v>14342</v>
      </c>
      <c r="V2241" s="722">
        <v>6.19</v>
      </c>
      <c r="W2241" s="722">
        <v>0.21</v>
      </c>
      <c r="X2241" s="722">
        <v>0.09</v>
      </c>
      <c r="Y2241" s="722">
        <v>5.38</v>
      </c>
      <c r="Z2241" s="382" t="s">
        <v>924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14343</v>
      </c>
      <c r="B2242" s="372" t="s">
        <v>14344</v>
      </c>
      <c r="C2242" s="372" t="s">
        <v>14345</v>
      </c>
      <c r="D2242" s="374">
        <v>1101111384075</v>
      </c>
      <c r="E2242" s="372" t="s">
        <v>14346</v>
      </c>
      <c r="F2242" s="372" t="s">
        <v>4283</v>
      </c>
      <c r="G2242" s="375" t="s">
        <v>4283</v>
      </c>
      <c r="H2242" s="375">
        <v>0</v>
      </c>
      <c r="I2242" s="375" t="s">
        <v>859</v>
      </c>
      <c r="J2242" s="375">
        <v>16569.09</v>
      </c>
      <c r="K2242" s="375">
        <v>-5043.0077899999997</v>
      </c>
      <c r="L2242" s="375">
        <v>-10836.88479</v>
      </c>
      <c r="M2242" s="375">
        <v>48056.893920000002</v>
      </c>
      <c r="N2242" s="372">
        <v>0.69099999999999995</v>
      </c>
      <c r="O2242" s="704">
        <v>44.360924995239472</v>
      </c>
      <c r="P2242" s="563" t="s">
        <v>619</v>
      </c>
      <c r="Q2242" s="372" t="s">
        <v>619</v>
      </c>
      <c r="R2242" s="696">
        <v>20020913</v>
      </c>
      <c r="S2242" s="372" t="s">
        <v>14347</v>
      </c>
      <c r="T2242" s="697" t="s">
        <v>768</v>
      </c>
      <c r="U2242" s="372" t="s">
        <v>14348</v>
      </c>
      <c r="V2242" s="722" t="s">
        <v>770</v>
      </c>
      <c r="W2242" s="722">
        <v>0.59</v>
      </c>
      <c r="X2242" s="722">
        <v>1.71</v>
      </c>
      <c r="Y2242" s="722" t="s">
        <v>770</v>
      </c>
      <c r="Z2242" s="382" t="s">
        <v>924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14349</v>
      </c>
      <c r="B2243" s="372" t="s">
        <v>14350</v>
      </c>
      <c r="C2243" s="372" t="s">
        <v>14351</v>
      </c>
      <c r="D2243" s="374">
        <v>1101110150229</v>
      </c>
      <c r="E2243" s="372" t="s">
        <v>14352</v>
      </c>
      <c r="F2243" s="372" t="s">
        <v>1273</v>
      </c>
      <c r="G2243" s="375" t="s">
        <v>1449</v>
      </c>
      <c r="H2243" s="375" t="s">
        <v>750</v>
      </c>
      <c r="I2243" s="375" t="s">
        <v>751</v>
      </c>
      <c r="J2243" s="375">
        <v>22366.306990000001</v>
      </c>
      <c r="K2243" s="375">
        <v>-430.05234999999999</v>
      </c>
      <c r="L2243" s="375">
        <v>5445.8736200000003</v>
      </c>
      <c r="M2243" s="375">
        <v>73224.972989999995</v>
      </c>
      <c r="N2243" s="372">
        <v>0.42399999999999999</v>
      </c>
      <c r="O2243" s="704">
        <v>0.35489033224990058</v>
      </c>
      <c r="P2243" s="563" t="s">
        <v>619</v>
      </c>
      <c r="Q2243" s="372" t="s">
        <v>619</v>
      </c>
      <c r="R2243" s="696">
        <v>19890620</v>
      </c>
      <c r="S2243" s="372" t="s">
        <v>14353</v>
      </c>
      <c r="T2243" s="697">
        <v>0.20900000000000002</v>
      </c>
      <c r="U2243" s="372" t="s">
        <v>14354</v>
      </c>
      <c r="V2243" s="722">
        <v>154.4</v>
      </c>
      <c r="W2243" s="722">
        <v>0.42</v>
      </c>
      <c r="X2243" s="722">
        <v>1.47</v>
      </c>
      <c r="Y2243" s="722">
        <v>6.43</v>
      </c>
      <c r="Z2243" s="382" t="s">
        <v>924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14355</v>
      </c>
      <c r="B2244" s="372" t="s">
        <v>14356</v>
      </c>
      <c r="C2244" s="372" t="s">
        <v>14357</v>
      </c>
      <c r="D2244" s="374">
        <v>1701110014522</v>
      </c>
      <c r="E2244" s="372" t="s">
        <v>14358</v>
      </c>
      <c r="F2244" s="372" t="s">
        <v>6835</v>
      </c>
      <c r="G2244" s="375" t="s">
        <v>6835</v>
      </c>
      <c r="H2244" s="375" t="s">
        <v>1334</v>
      </c>
      <c r="I2244" s="375" t="s">
        <v>859</v>
      </c>
      <c r="J2244" s="375">
        <v>3613.9083099999998</v>
      </c>
      <c r="K2244" s="375">
        <v>447.79023000000001</v>
      </c>
      <c r="L2244" s="375">
        <v>-296.64058</v>
      </c>
      <c r="M2244" s="375">
        <v>14264.654350000001</v>
      </c>
      <c r="N2244" s="372">
        <v>0.24199999999999999</v>
      </c>
      <c r="O2244" s="704">
        <v>58.048155178259798</v>
      </c>
      <c r="P2244" s="563" t="s">
        <v>619</v>
      </c>
      <c r="Q2244" s="372" t="s">
        <v>619</v>
      </c>
      <c r="R2244" s="696">
        <v>19940621</v>
      </c>
      <c r="S2244" s="372" t="s">
        <v>14359</v>
      </c>
      <c r="T2244" s="697" t="s">
        <v>768</v>
      </c>
      <c r="U2244" s="372" t="s">
        <v>14360</v>
      </c>
      <c r="V2244" s="722">
        <v>0</v>
      </c>
      <c r="W2244" s="722">
        <v>0</v>
      </c>
      <c r="X2244" s="722">
        <v>0</v>
      </c>
      <c r="Y2244" s="722">
        <v>0</v>
      </c>
      <c r="Z2244" s="382" t="s">
        <v>924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14361</v>
      </c>
      <c r="B2245" s="372" t="s">
        <v>14362</v>
      </c>
      <c r="C2245" s="372" t="s">
        <v>14363</v>
      </c>
      <c r="D2245" s="374">
        <v>1101110172447</v>
      </c>
      <c r="E2245" s="372" t="s">
        <v>14364</v>
      </c>
      <c r="F2245" s="372" t="s">
        <v>6983</v>
      </c>
      <c r="G2245" s="375" t="s">
        <v>13770</v>
      </c>
      <c r="H2245" s="375" t="s">
        <v>843</v>
      </c>
      <c r="I2245" s="375" t="s">
        <v>751</v>
      </c>
      <c r="J2245" s="375">
        <v>218912.31210000001</v>
      </c>
      <c r="K2245" s="375">
        <v>-2953.1507499999998</v>
      </c>
      <c r="L2245" s="375">
        <v>-15969.058199999999</v>
      </c>
      <c r="M2245" s="375">
        <v>96705.66274</v>
      </c>
      <c r="N2245" s="372">
        <v>0.65300000000000002</v>
      </c>
      <c r="O2245" s="704">
        <v>550.13944359064214</v>
      </c>
      <c r="P2245" s="563" t="s">
        <v>619</v>
      </c>
      <c r="Q2245" s="372" t="s">
        <v>619</v>
      </c>
      <c r="R2245" s="696">
        <v>19890728</v>
      </c>
      <c r="S2245" s="372" t="s">
        <v>14365</v>
      </c>
      <c r="T2245" s="697" t="s">
        <v>768</v>
      </c>
      <c r="U2245" s="372" t="s">
        <v>14366</v>
      </c>
      <c r="V2245" s="722">
        <v>14.91</v>
      </c>
      <c r="W2245" s="722">
        <v>0.3</v>
      </c>
      <c r="X2245" s="722">
        <v>0.14000000000000001</v>
      </c>
      <c r="Y2245" s="722" t="s">
        <v>770</v>
      </c>
      <c r="Z2245" s="382" t="s">
        <v>924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14367</v>
      </c>
      <c r="B2246" s="372" t="s">
        <v>14368</v>
      </c>
      <c r="C2246" s="372" t="s">
        <v>16135</v>
      </c>
      <c r="D2246" s="374">
        <v>1501110000765</v>
      </c>
      <c r="E2246" s="372" t="s">
        <v>16088</v>
      </c>
      <c r="F2246" s="372" t="s">
        <v>8811</v>
      </c>
      <c r="G2246" s="375" t="s">
        <v>14369</v>
      </c>
      <c r="H2246" s="375" t="s">
        <v>858</v>
      </c>
      <c r="I2246" s="375" t="s">
        <v>859</v>
      </c>
      <c r="J2246" s="375">
        <v>113314.8904</v>
      </c>
      <c r="K2246" s="375">
        <v>-9255.01188</v>
      </c>
      <c r="L2246" s="375">
        <v>-19274.632130000002</v>
      </c>
      <c r="M2246" s="375">
        <v>20335.983749999999</v>
      </c>
      <c r="N2246" s="372">
        <v>0.82399999999999995</v>
      </c>
      <c r="O2246" s="704">
        <v>73.788429204302986</v>
      </c>
      <c r="P2246" s="563" t="s">
        <v>619</v>
      </c>
      <c r="Q2246" s="372" t="s">
        <v>619</v>
      </c>
      <c r="R2246" s="696">
        <v>20010109</v>
      </c>
      <c r="S2246" s="372" t="s">
        <v>14370</v>
      </c>
      <c r="T2246" s="697" t="s">
        <v>768</v>
      </c>
      <c r="U2246" s="372" t="s">
        <v>15962</v>
      </c>
      <c r="V2246" s="722" t="s">
        <v>770</v>
      </c>
      <c r="W2246" s="722">
        <v>1.3</v>
      </c>
      <c r="X2246" s="722">
        <v>0.23</v>
      </c>
      <c r="Y2246" s="722" t="s">
        <v>770</v>
      </c>
      <c r="Z2246" s="382" t="s">
        <v>924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14371</v>
      </c>
      <c r="B2247" s="372" t="s">
        <v>14372</v>
      </c>
      <c r="C2247" s="372" t="s">
        <v>14373</v>
      </c>
      <c r="D2247" s="374">
        <v>1101111915094</v>
      </c>
      <c r="E2247" s="372" t="s">
        <v>14374</v>
      </c>
      <c r="F2247" s="372" t="s">
        <v>1747</v>
      </c>
      <c r="G2247" s="375" t="s">
        <v>1747</v>
      </c>
      <c r="H2247" s="375" t="s">
        <v>858</v>
      </c>
      <c r="I2247" s="375" t="s">
        <v>859</v>
      </c>
      <c r="J2247" s="375">
        <v>9881.3030500000004</v>
      </c>
      <c r="K2247" s="375">
        <v>948.30358000000001</v>
      </c>
      <c r="L2247" s="375">
        <v>1342.73948</v>
      </c>
      <c r="M2247" s="375">
        <v>25162.950560000001</v>
      </c>
      <c r="N2247" s="372">
        <v>0.85099999999999998</v>
      </c>
      <c r="O2247" s="704">
        <v>0.24356211857800406</v>
      </c>
      <c r="P2247" s="563" t="s">
        <v>619</v>
      </c>
      <c r="Q2247" s="372" t="s">
        <v>619</v>
      </c>
      <c r="R2247" s="696">
        <v>20181219</v>
      </c>
      <c r="S2247" s="372" t="s">
        <v>14375</v>
      </c>
      <c r="T2247" s="697">
        <v>0.20900000000000002</v>
      </c>
      <c r="U2247" s="372" t="s">
        <v>14376</v>
      </c>
      <c r="V2247" s="722">
        <v>0</v>
      </c>
      <c r="W2247" s="722">
        <v>0</v>
      </c>
      <c r="X2247" s="722">
        <v>0</v>
      </c>
      <c r="Y2247" s="722">
        <v>0</v>
      </c>
      <c r="Z2247" s="382" t="s">
        <v>924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14377</v>
      </c>
      <c r="B2248" s="372" t="s">
        <v>14378</v>
      </c>
      <c r="C2248" s="372" t="s">
        <v>14379</v>
      </c>
      <c r="D2248" s="374">
        <v>1341110002141</v>
      </c>
      <c r="E2248" s="372" t="s">
        <v>14380</v>
      </c>
      <c r="F2248" s="372" t="s">
        <v>10043</v>
      </c>
      <c r="G2248" s="375" t="s">
        <v>10044</v>
      </c>
      <c r="H2248" s="375" t="s">
        <v>858</v>
      </c>
      <c r="I2248" s="375" t="s">
        <v>859</v>
      </c>
      <c r="J2248" s="375">
        <v>94861.661829999997</v>
      </c>
      <c r="K2248" s="375">
        <v>1939.19992</v>
      </c>
      <c r="L2248" s="375">
        <v>2451.3137400000001</v>
      </c>
      <c r="M2248" s="375">
        <v>72484.262400000007</v>
      </c>
      <c r="N2248" s="372">
        <v>0.621</v>
      </c>
      <c r="O2248" s="704">
        <v>30.705510676022591</v>
      </c>
      <c r="P2248" s="563" t="s">
        <v>619</v>
      </c>
      <c r="Q2248" s="372" t="s">
        <v>619</v>
      </c>
      <c r="R2248" s="696">
        <v>20070601</v>
      </c>
      <c r="S2248" s="372" t="s">
        <v>14381</v>
      </c>
      <c r="T2248" s="697">
        <v>0.20900000000000002</v>
      </c>
      <c r="U2248" s="372" t="s">
        <v>14382</v>
      </c>
      <c r="V2248" s="722">
        <v>7.5</v>
      </c>
      <c r="W2248" s="722">
        <v>0.49</v>
      </c>
      <c r="X2248" s="722">
        <v>0.38</v>
      </c>
      <c r="Y2248" s="722">
        <v>19.54</v>
      </c>
      <c r="Z2248" s="382" t="s">
        <v>924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14383</v>
      </c>
      <c r="B2249" s="372" t="s">
        <v>14384</v>
      </c>
      <c r="C2249" s="372" t="s">
        <v>14385</v>
      </c>
      <c r="D2249" s="374">
        <v>1101116153095</v>
      </c>
      <c r="E2249" s="372" t="s">
        <v>14386</v>
      </c>
      <c r="F2249" s="372" t="s">
        <v>1354</v>
      </c>
      <c r="G2249" s="375" t="s">
        <v>1354</v>
      </c>
      <c r="H2249" s="375" t="s">
        <v>858</v>
      </c>
      <c r="I2249" s="375" t="s">
        <v>859</v>
      </c>
      <c r="J2249" s="375">
        <v>43798.904280000002</v>
      </c>
      <c r="K2249" s="375">
        <v>3470.3962099999999</v>
      </c>
      <c r="L2249" s="375">
        <v>4425.8070699999998</v>
      </c>
      <c r="M2249" s="375">
        <v>41706.491249999999</v>
      </c>
      <c r="N2249" s="372">
        <v>0.36499999999999999</v>
      </c>
      <c r="O2249" s="704">
        <v>0</v>
      </c>
      <c r="P2249" s="563" t="s">
        <v>619</v>
      </c>
      <c r="Q2249" s="372" t="s">
        <v>619</v>
      </c>
      <c r="R2249" s="696">
        <v>20161102</v>
      </c>
      <c r="S2249" s="372" t="s">
        <v>14387</v>
      </c>
      <c r="T2249" s="697">
        <v>0.20900000000000002</v>
      </c>
      <c r="U2249" s="372" t="s">
        <v>14388</v>
      </c>
      <c r="V2249" s="722">
        <v>0</v>
      </c>
      <c r="W2249" s="722">
        <v>0</v>
      </c>
      <c r="X2249" s="722">
        <v>0</v>
      </c>
      <c r="Y2249" s="722">
        <v>0</v>
      </c>
      <c r="Z2249" s="382" t="s">
        <v>924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14389</v>
      </c>
      <c r="B2250" s="372" t="s">
        <v>14390</v>
      </c>
      <c r="C2250" s="372" t="s">
        <v>14391</v>
      </c>
      <c r="D2250" s="374">
        <v>1101115648518</v>
      </c>
      <c r="E2250" s="372" t="s">
        <v>14392</v>
      </c>
      <c r="F2250" s="372" t="s">
        <v>3448</v>
      </c>
      <c r="G2250" s="375" t="s">
        <v>3448</v>
      </c>
      <c r="H2250" s="375" t="s">
        <v>3096</v>
      </c>
      <c r="I2250" s="375" t="s">
        <v>859</v>
      </c>
      <c r="J2250" s="375">
        <v>45879.894590000004</v>
      </c>
      <c r="K2250" s="375">
        <v>1568.90419</v>
      </c>
      <c r="L2250" s="375">
        <v>1827.66426</v>
      </c>
      <c r="M2250" s="375">
        <v>33761.386359999997</v>
      </c>
      <c r="N2250" s="372">
        <v>0.67300000000000004</v>
      </c>
      <c r="O2250" s="704">
        <v>17.402077866062651</v>
      </c>
      <c r="P2250" s="563" t="s">
        <v>619</v>
      </c>
      <c r="Q2250" s="372" t="s">
        <v>619</v>
      </c>
      <c r="R2250" s="696">
        <v>20150513</v>
      </c>
      <c r="S2250" s="372" t="s">
        <v>14393</v>
      </c>
      <c r="T2250" s="697">
        <v>0.20900000000000002</v>
      </c>
      <c r="U2250" s="372" t="s">
        <v>14394</v>
      </c>
      <c r="V2250" s="722">
        <v>8.02</v>
      </c>
      <c r="W2250" s="722">
        <v>0.72</v>
      </c>
      <c r="X2250" s="722">
        <v>0.56999999999999995</v>
      </c>
      <c r="Y2250" s="722">
        <v>23.91</v>
      </c>
      <c r="Z2250" s="382" t="s">
        <v>924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14395</v>
      </c>
      <c r="B2251" s="372" t="s">
        <v>14396</v>
      </c>
      <c r="C2251" s="372" t="s">
        <v>14397</v>
      </c>
      <c r="D2251" s="374">
        <v>1101110252471</v>
      </c>
      <c r="E2251" s="372" t="s">
        <v>14398</v>
      </c>
      <c r="F2251" s="372" t="s">
        <v>1740</v>
      </c>
      <c r="G2251" s="375" t="s">
        <v>1740</v>
      </c>
      <c r="H2251" s="375" t="s">
        <v>3096</v>
      </c>
      <c r="I2251" s="375" t="s">
        <v>859</v>
      </c>
      <c r="J2251" s="375">
        <v>56580.556600000004</v>
      </c>
      <c r="K2251" s="375">
        <v>-5687.9643299999998</v>
      </c>
      <c r="L2251" s="375">
        <v>-3060.6669099999999</v>
      </c>
      <c r="M2251" s="375">
        <v>79824.645759999999</v>
      </c>
      <c r="N2251" s="372">
        <v>0.69</v>
      </c>
      <c r="O2251" s="704">
        <v>76.411067204647395</v>
      </c>
      <c r="P2251" s="563" t="s">
        <v>619</v>
      </c>
      <c r="Q2251" s="372" t="s">
        <v>619</v>
      </c>
      <c r="R2251" s="696">
        <v>19941222</v>
      </c>
      <c r="S2251" s="372" t="s">
        <v>14399</v>
      </c>
      <c r="T2251" s="697" t="s">
        <v>768</v>
      </c>
      <c r="U2251" s="372" t="s">
        <v>14400</v>
      </c>
      <c r="V2251" s="722" t="s">
        <v>770</v>
      </c>
      <c r="W2251" s="722">
        <v>0.32</v>
      </c>
      <c r="X2251" s="722">
        <v>0.48</v>
      </c>
      <c r="Y2251" s="722" t="s">
        <v>770</v>
      </c>
      <c r="Z2251" s="382" t="s">
        <v>924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14401</v>
      </c>
      <c r="B2252" s="372" t="s">
        <v>14402</v>
      </c>
      <c r="C2252" s="372" t="s">
        <v>14403</v>
      </c>
      <c r="D2252" s="374">
        <v>1101115868041</v>
      </c>
      <c r="E2252" s="372" t="s">
        <v>14404</v>
      </c>
      <c r="F2252" s="372" t="s">
        <v>1367</v>
      </c>
      <c r="G2252" s="375" t="s">
        <v>1367</v>
      </c>
      <c r="H2252" s="375" t="s">
        <v>858</v>
      </c>
      <c r="I2252" s="375" t="s">
        <v>859</v>
      </c>
      <c r="J2252" s="375">
        <v>8636.1066699999992</v>
      </c>
      <c r="K2252" s="375">
        <v>-6939.8589099999999</v>
      </c>
      <c r="L2252" s="375">
        <v>-4056.6225399999998</v>
      </c>
      <c r="M2252" s="375">
        <v>9637.2800900000002</v>
      </c>
      <c r="N2252" s="372">
        <v>0.64400000000000002</v>
      </c>
      <c r="O2252" s="704">
        <v>63.332978918131047</v>
      </c>
      <c r="P2252" s="563" t="s">
        <v>16112</v>
      </c>
      <c r="Q2252" s="372" t="s">
        <v>16113</v>
      </c>
      <c r="R2252" s="696">
        <v>20160302</v>
      </c>
      <c r="S2252" s="372" t="s">
        <v>14405</v>
      </c>
      <c r="T2252" s="697" t="s">
        <v>768</v>
      </c>
      <c r="U2252" s="372" t="s">
        <v>14406</v>
      </c>
      <c r="V2252" s="722" t="s">
        <v>770</v>
      </c>
      <c r="W2252" s="722">
        <v>2.2400000000000002</v>
      </c>
      <c r="X2252" s="722">
        <v>2.46</v>
      </c>
      <c r="Y2252" s="722" t="s">
        <v>770</v>
      </c>
      <c r="Z2252" s="382" t="s">
        <v>924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14407</v>
      </c>
      <c r="B2253" s="372" t="s">
        <v>14408</v>
      </c>
      <c r="C2253" s="372" t="s">
        <v>14409</v>
      </c>
      <c r="D2253" s="374">
        <v>1101115527019</v>
      </c>
      <c r="E2253" s="372" t="s">
        <v>14410</v>
      </c>
      <c r="F2253" s="372" t="s">
        <v>1367</v>
      </c>
      <c r="G2253" s="375" t="s">
        <v>1367</v>
      </c>
      <c r="H2253" s="375" t="s">
        <v>858</v>
      </c>
      <c r="I2253" s="375" t="s">
        <v>859</v>
      </c>
      <c r="J2253" s="375">
        <v>36632.544699999999</v>
      </c>
      <c r="K2253" s="375">
        <v>2192.5107600000001</v>
      </c>
      <c r="L2253" s="375">
        <v>2670.7543900000001</v>
      </c>
      <c r="M2253" s="375">
        <v>67213.234240000005</v>
      </c>
      <c r="N2253" s="372">
        <v>0.67100000000000004</v>
      </c>
      <c r="O2253" s="704">
        <v>49.404048941003644</v>
      </c>
      <c r="P2253" s="563" t="s">
        <v>619</v>
      </c>
      <c r="Q2253" s="372" t="s">
        <v>619</v>
      </c>
      <c r="R2253" s="696">
        <v>20141224</v>
      </c>
      <c r="S2253" s="372" t="s">
        <v>14411</v>
      </c>
      <c r="T2253" s="697">
        <v>0.20900000000000002</v>
      </c>
      <c r="U2253" s="372" t="s">
        <v>14412</v>
      </c>
      <c r="V2253" s="722">
        <v>9.31</v>
      </c>
      <c r="W2253" s="722">
        <v>0.49</v>
      </c>
      <c r="X2253" s="722">
        <v>0.74</v>
      </c>
      <c r="Y2253" s="722">
        <v>6.68</v>
      </c>
      <c r="Z2253" s="382" t="s">
        <v>924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14413</v>
      </c>
      <c r="B2254" s="372" t="s">
        <v>14414</v>
      </c>
      <c r="C2254" s="372" t="s">
        <v>14415</v>
      </c>
      <c r="D2254" s="374">
        <v>1101112149890</v>
      </c>
      <c r="E2254" s="372" t="s">
        <v>14416</v>
      </c>
      <c r="F2254" s="372" t="s">
        <v>2072</v>
      </c>
      <c r="G2254" s="375" t="s">
        <v>3400</v>
      </c>
      <c r="H2254" s="375" t="s">
        <v>858</v>
      </c>
      <c r="I2254" s="375" t="s">
        <v>859</v>
      </c>
      <c r="J2254" s="375">
        <v>138593.50055</v>
      </c>
      <c r="K2254" s="375">
        <v>-6066.1262999999999</v>
      </c>
      <c r="L2254" s="375">
        <v>-10095.908229999999</v>
      </c>
      <c r="M2254" s="375">
        <v>102753.63383000001</v>
      </c>
      <c r="N2254" s="372">
        <v>0.85699999999999998</v>
      </c>
      <c r="O2254" s="704">
        <v>438.17192889158758</v>
      </c>
      <c r="P2254" s="563" t="s">
        <v>619</v>
      </c>
      <c r="Q2254" s="372" t="s">
        <v>619</v>
      </c>
      <c r="R2254" s="696">
        <v>20071016</v>
      </c>
      <c r="S2254" s="372" t="s">
        <v>14417</v>
      </c>
      <c r="T2254" s="697" t="s">
        <v>768</v>
      </c>
      <c r="U2254" s="372" t="s">
        <v>14418</v>
      </c>
      <c r="V2254" s="722">
        <v>23.31</v>
      </c>
      <c r="W2254" s="722">
        <v>0.51</v>
      </c>
      <c r="X2254" s="722">
        <v>0.23</v>
      </c>
      <c r="Y2254" s="722" t="s">
        <v>770</v>
      </c>
      <c r="Z2254" s="382" t="s">
        <v>924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14419</v>
      </c>
      <c r="B2255" s="372" t="s">
        <v>14420</v>
      </c>
      <c r="C2255" s="372" t="s">
        <v>14421</v>
      </c>
      <c r="D2255" s="374">
        <v>1101111073454</v>
      </c>
      <c r="E2255" s="372" t="s">
        <v>14422</v>
      </c>
      <c r="F2255" s="372" t="s">
        <v>2831</v>
      </c>
      <c r="G2255" s="375" t="s">
        <v>2831</v>
      </c>
      <c r="H2255" s="375" t="s">
        <v>858</v>
      </c>
      <c r="I2255" s="375" t="s">
        <v>859</v>
      </c>
      <c r="J2255" s="375">
        <v>80240.622130000003</v>
      </c>
      <c r="K2255" s="375">
        <v>-1310.69487</v>
      </c>
      <c r="L2255" s="375">
        <v>-2544.0436599999998</v>
      </c>
      <c r="M2255" s="375">
        <v>40032.841009999996</v>
      </c>
      <c r="N2255" s="372">
        <v>0.92800000000000005</v>
      </c>
      <c r="O2255" s="704">
        <v>141.00058330222765</v>
      </c>
      <c r="P2255" s="563" t="s">
        <v>619</v>
      </c>
      <c r="Q2255" s="372" t="s">
        <v>619</v>
      </c>
      <c r="R2255" s="696">
        <v>19991116</v>
      </c>
      <c r="S2255" s="372" t="s">
        <v>14423</v>
      </c>
      <c r="T2255" s="697" t="s">
        <v>768</v>
      </c>
      <c r="U2255" s="372" t="s">
        <v>14424</v>
      </c>
      <c r="V2255" s="722">
        <v>1715.38</v>
      </c>
      <c r="W2255" s="722">
        <v>0.71</v>
      </c>
      <c r="X2255" s="722">
        <v>0.32</v>
      </c>
      <c r="Y2255" s="722" t="s">
        <v>770</v>
      </c>
      <c r="Z2255" s="382" t="s">
        <v>924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14425</v>
      </c>
      <c r="B2256" s="372" t="s">
        <v>14426</v>
      </c>
      <c r="C2256" s="372" t="s">
        <v>16052</v>
      </c>
      <c r="D2256" s="374">
        <v>1243110021149</v>
      </c>
      <c r="E2256" s="372" t="s">
        <v>16053</v>
      </c>
      <c r="F2256" s="372" t="s">
        <v>5622</v>
      </c>
      <c r="G2256" s="375" t="s">
        <v>5622</v>
      </c>
      <c r="H2256" s="375" t="s">
        <v>858</v>
      </c>
      <c r="I2256" s="375" t="s">
        <v>859</v>
      </c>
      <c r="J2256" s="375">
        <v>10084.93867</v>
      </c>
      <c r="K2256" s="375">
        <v>-6455.2379600000004</v>
      </c>
      <c r="L2256" s="375">
        <v>-31658.31854</v>
      </c>
      <c r="M2256" s="375">
        <v>101459.7574</v>
      </c>
      <c r="N2256" s="372">
        <v>0.496</v>
      </c>
      <c r="O2256" s="704">
        <v>25.444580380792686</v>
      </c>
      <c r="P2256" s="563" t="s">
        <v>16112</v>
      </c>
      <c r="Q2256" s="372" t="s">
        <v>16113</v>
      </c>
      <c r="R2256" s="696">
        <v>20101105</v>
      </c>
      <c r="S2256" s="372" t="s">
        <v>14427</v>
      </c>
      <c r="T2256" s="697" t="s">
        <v>768</v>
      </c>
      <c r="U2256" s="372" t="s">
        <v>15963</v>
      </c>
      <c r="V2256" s="722" t="s">
        <v>770</v>
      </c>
      <c r="W2256" s="722">
        <v>0.42</v>
      </c>
      <c r="X2256" s="722">
        <v>4.21</v>
      </c>
      <c r="Y2256" s="722" t="s">
        <v>770</v>
      </c>
      <c r="Z2256" s="382" t="s">
        <v>924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14428</v>
      </c>
      <c r="B2257" s="372" t="s">
        <v>14429</v>
      </c>
      <c r="C2257" s="372" t="s">
        <v>14430</v>
      </c>
      <c r="D2257" s="374">
        <v>1612110007815</v>
      </c>
      <c r="E2257" s="372" t="s">
        <v>14431</v>
      </c>
      <c r="F2257" s="372" t="s">
        <v>16125</v>
      </c>
      <c r="G2257" s="375" t="s">
        <v>16125</v>
      </c>
      <c r="H2257" s="375" t="s">
        <v>3096</v>
      </c>
      <c r="I2257" s="375" t="s">
        <v>859</v>
      </c>
      <c r="J2257" s="375">
        <v>80499.410380000001</v>
      </c>
      <c r="K2257" s="375">
        <v>3181.7547</v>
      </c>
      <c r="L2257" s="375">
        <v>3014.8991900000001</v>
      </c>
      <c r="M2257" s="375">
        <v>50454.794589999998</v>
      </c>
      <c r="N2257" s="372">
        <v>0.59899999999999998</v>
      </c>
      <c r="O2257" s="704">
        <v>53.204088203575218</v>
      </c>
      <c r="P2257" s="563" t="s">
        <v>619</v>
      </c>
      <c r="Q2257" s="372" t="s">
        <v>619</v>
      </c>
      <c r="R2257" s="696">
        <v>20060428</v>
      </c>
      <c r="S2257" s="372" t="s">
        <v>14432</v>
      </c>
      <c r="T2257" s="697">
        <v>0.20900000000000002</v>
      </c>
      <c r="U2257" s="372" t="s">
        <v>14433</v>
      </c>
      <c r="V2257" s="722">
        <v>6.76</v>
      </c>
      <c r="W2257" s="722">
        <v>0.61</v>
      </c>
      <c r="X2257" s="722">
        <v>0.38</v>
      </c>
      <c r="Y2257" s="722">
        <v>12.05</v>
      </c>
      <c r="Z2257" s="382" t="s">
        <v>924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14434</v>
      </c>
      <c r="B2258" s="372" t="s">
        <v>14435</v>
      </c>
      <c r="C2258" s="372" t="s">
        <v>14436</v>
      </c>
      <c r="D2258" s="374">
        <v>1101111413361</v>
      </c>
      <c r="E2258" s="372" t="s">
        <v>14437</v>
      </c>
      <c r="F2258" s="372" t="s">
        <v>1653</v>
      </c>
      <c r="G2258" s="375" t="s">
        <v>1653</v>
      </c>
      <c r="H2258" s="375" t="s">
        <v>858</v>
      </c>
      <c r="I2258" s="375" t="s">
        <v>859</v>
      </c>
      <c r="J2258" s="375">
        <v>82602.912209999995</v>
      </c>
      <c r="K2258" s="375">
        <v>-32091.361730000001</v>
      </c>
      <c r="L2258" s="375">
        <v>-37559.488989999998</v>
      </c>
      <c r="M2258" s="375">
        <v>31584.747189999998</v>
      </c>
      <c r="N2258" s="372">
        <v>1.0109999999999999</v>
      </c>
      <c r="O2258" s="704">
        <v>165.62079978950464</v>
      </c>
      <c r="P2258" s="563" t="s">
        <v>619</v>
      </c>
      <c r="Q2258" s="372" t="s">
        <v>619</v>
      </c>
      <c r="R2258" s="696">
        <v>20070626</v>
      </c>
      <c r="S2258" s="372" t="s">
        <v>14438</v>
      </c>
      <c r="T2258" s="697" t="s">
        <v>768</v>
      </c>
      <c r="U2258" s="372" t="s">
        <v>5712</v>
      </c>
      <c r="V2258" s="722" t="s">
        <v>770</v>
      </c>
      <c r="W2258" s="722">
        <v>1.2</v>
      </c>
      <c r="X2258" s="722">
        <v>0.35</v>
      </c>
      <c r="Y2258" s="722" t="s">
        <v>770</v>
      </c>
      <c r="Z2258" s="382" t="s">
        <v>924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14439</v>
      </c>
      <c r="B2259" s="372" t="s">
        <v>14440</v>
      </c>
      <c r="C2259" s="372" t="s">
        <v>14441</v>
      </c>
      <c r="D2259" s="374">
        <v>1341110064711</v>
      </c>
      <c r="E2259" s="372" t="s">
        <v>14442</v>
      </c>
      <c r="F2259" s="372" t="s">
        <v>1753</v>
      </c>
      <c r="G2259" s="375" t="s">
        <v>6496</v>
      </c>
      <c r="H2259" s="375" t="s">
        <v>858</v>
      </c>
      <c r="I2259" s="375" t="s">
        <v>859</v>
      </c>
      <c r="J2259" s="375">
        <v>33444.12672</v>
      </c>
      <c r="K2259" s="375">
        <v>2142.40816</v>
      </c>
      <c r="L2259" s="375">
        <v>2257.29475</v>
      </c>
      <c r="M2259" s="375">
        <v>72833.362399999998</v>
      </c>
      <c r="N2259" s="372">
        <v>0.88700000000000001</v>
      </c>
      <c r="O2259" s="704">
        <v>70.954023390999936</v>
      </c>
      <c r="P2259" s="563" t="s">
        <v>619</v>
      </c>
      <c r="Q2259" s="372" t="s">
        <v>619</v>
      </c>
      <c r="R2259" s="696">
        <v>20160704</v>
      </c>
      <c r="S2259" s="372" t="s">
        <v>14443</v>
      </c>
      <c r="T2259" s="697">
        <v>0.20900000000000002</v>
      </c>
      <c r="U2259" s="372" t="s">
        <v>14444</v>
      </c>
      <c r="V2259" s="722">
        <v>0</v>
      </c>
      <c r="W2259" s="722">
        <v>0</v>
      </c>
      <c r="X2259" s="722">
        <v>0</v>
      </c>
      <c r="Y2259" s="722">
        <v>0</v>
      </c>
      <c r="Z2259" s="382" t="s">
        <v>924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14445</v>
      </c>
      <c r="B2260" s="372" t="s">
        <v>14446</v>
      </c>
      <c r="C2260" s="372" t="s">
        <v>14447</v>
      </c>
      <c r="D2260" s="374">
        <v>1156110036979</v>
      </c>
      <c r="E2260" s="372" t="s">
        <v>14448</v>
      </c>
      <c r="F2260" s="372" t="s">
        <v>1272</v>
      </c>
      <c r="G2260" s="375" t="s">
        <v>1272</v>
      </c>
      <c r="H2260" s="375" t="s">
        <v>858</v>
      </c>
      <c r="I2260" s="375" t="s">
        <v>859</v>
      </c>
      <c r="J2260" s="375">
        <v>14943.5561</v>
      </c>
      <c r="K2260" s="375">
        <v>-2962.6579200000001</v>
      </c>
      <c r="L2260" s="375">
        <v>-2876.3889300000001</v>
      </c>
      <c r="M2260" s="375">
        <v>36401.196080000002</v>
      </c>
      <c r="N2260" s="372">
        <v>0.66400000000000003</v>
      </c>
      <c r="O2260" s="704">
        <v>30.077299673678908</v>
      </c>
      <c r="P2260" s="563" t="s">
        <v>619</v>
      </c>
      <c r="Q2260" s="372" t="s">
        <v>619</v>
      </c>
      <c r="R2260" s="696">
        <v>20131224</v>
      </c>
      <c r="S2260" s="372" t="s">
        <v>14449</v>
      </c>
      <c r="T2260" s="697" t="s">
        <v>768</v>
      </c>
      <c r="U2260" s="372" t="s">
        <v>14450</v>
      </c>
      <c r="V2260" s="722">
        <v>47.27</v>
      </c>
      <c r="W2260" s="722">
        <v>0.8</v>
      </c>
      <c r="X2260" s="722">
        <v>1.99</v>
      </c>
      <c r="Y2260" s="722" t="s">
        <v>770</v>
      </c>
      <c r="Z2260" s="382" t="s">
        <v>924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14451</v>
      </c>
      <c r="B2261" s="372" t="s">
        <v>14452</v>
      </c>
      <c r="C2261" s="372" t="s">
        <v>14453</v>
      </c>
      <c r="D2261" s="374">
        <v>1101110086771</v>
      </c>
      <c r="E2261" s="372" t="s">
        <v>14454</v>
      </c>
      <c r="F2261" s="372" t="s">
        <v>1860</v>
      </c>
      <c r="G2261" s="375" t="s">
        <v>1861</v>
      </c>
      <c r="H2261" s="375" t="s">
        <v>789</v>
      </c>
      <c r="I2261" s="375" t="s">
        <v>751</v>
      </c>
      <c r="J2261" s="375">
        <v>10912.400970000001</v>
      </c>
      <c r="K2261" s="375">
        <v>-761.72356000000002</v>
      </c>
      <c r="L2261" s="375">
        <v>853.69090000000006</v>
      </c>
      <c r="M2261" s="375">
        <v>45076.927559999996</v>
      </c>
      <c r="N2261" s="372">
        <v>0.58099999999999996</v>
      </c>
      <c r="O2261" s="704">
        <v>0.1026040417946035</v>
      </c>
      <c r="P2261" s="563" t="s">
        <v>619</v>
      </c>
      <c r="Q2261" s="372" t="s">
        <v>619</v>
      </c>
      <c r="R2261" s="696">
        <v>19750624</v>
      </c>
      <c r="S2261" s="372" t="s">
        <v>14455</v>
      </c>
      <c r="T2261" s="697">
        <v>0.20900000000000002</v>
      </c>
      <c r="U2261" s="372" t="s">
        <v>14456</v>
      </c>
      <c r="V2261" s="722">
        <v>0</v>
      </c>
      <c r="W2261" s="722">
        <v>0</v>
      </c>
      <c r="X2261" s="722">
        <v>0</v>
      </c>
      <c r="Y2261" s="722">
        <v>0</v>
      </c>
      <c r="Z2261" s="382" t="s">
        <v>924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14457</v>
      </c>
      <c r="B2262" s="372" t="s">
        <v>14458</v>
      </c>
      <c r="C2262" s="372" t="s">
        <v>14459</v>
      </c>
      <c r="D2262" s="374">
        <v>1748110017627</v>
      </c>
      <c r="E2262" s="372" t="s">
        <v>14460</v>
      </c>
      <c r="F2262" s="372" t="s">
        <v>1860</v>
      </c>
      <c r="G2262" s="375" t="s">
        <v>1861</v>
      </c>
      <c r="H2262" s="375" t="s">
        <v>858</v>
      </c>
      <c r="I2262" s="375" t="s">
        <v>859</v>
      </c>
      <c r="J2262" s="375">
        <v>82211.234280000004</v>
      </c>
      <c r="K2262" s="375">
        <v>-887.85864000000004</v>
      </c>
      <c r="L2262" s="375">
        <v>-539.02810999999997</v>
      </c>
      <c r="M2262" s="375">
        <v>93422.390950000001</v>
      </c>
      <c r="N2262" s="372">
        <v>0.78800000000000003</v>
      </c>
      <c r="O2262" s="704">
        <v>38.74506281754477</v>
      </c>
      <c r="P2262" s="563" t="s">
        <v>619</v>
      </c>
      <c r="Q2262" s="372" t="s">
        <v>619</v>
      </c>
      <c r="R2262" s="696">
        <v>20110208</v>
      </c>
      <c r="S2262" s="372" t="s">
        <v>14461</v>
      </c>
      <c r="T2262" s="697" t="s">
        <v>768</v>
      </c>
      <c r="U2262" s="372" t="s">
        <v>14462</v>
      </c>
      <c r="V2262" s="722">
        <v>18.34</v>
      </c>
      <c r="W2262" s="722">
        <v>0.36</v>
      </c>
      <c r="X2262" s="722">
        <v>0.28999999999999998</v>
      </c>
      <c r="Y2262" s="722">
        <v>10.71</v>
      </c>
      <c r="Z2262" s="382" t="s">
        <v>924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14463</v>
      </c>
      <c r="B2263" s="372" t="s">
        <v>14464</v>
      </c>
      <c r="C2263" s="372" t="s">
        <v>14465</v>
      </c>
      <c r="D2263" s="374">
        <v>1101118546719</v>
      </c>
      <c r="E2263" s="372" t="s">
        <v>14466</v>
      </c>
      <c r="F2263" s="372" t="s">
        <v>1140</v>
      </c>
      <c r="G2263" s="375" t="s">
        <v>1141</v>
      </c>
      <c r="H2263" s="375" t="s">
        <v>892</v>
      </c>
      <c r="I2263" s="375" t="s">
        <v>859</v>
      </c>
      <c r="J2263" s="375">
        <v>0</v>
      </c>
      <c r="K2263" s="375">
        <v>-72.28425</v>
      </c>
      <c r="L2263" s="375">
        <v>1190.6782000000001</v>
      </c>
      <c r="M2263" s="375">
        <v>37867.612390000002</v>
      </c>
      <c r="N2263" s="372" t="s">
        <v>1023</v>
      </c>
      <c r="O2263" s="704">
        <v>11.887229171365382</v>
      </c>
      <c r="P2263" s="563" t="s">
        <v>619</v>
      </c>
      <c r="Q2263" s="372" t="s">
        <v>619</v>
      </c>
      <c r="R2263" s="696">
        <v>20231004</v>
      </c>
      <c r="S2263" s="372" t="s">
        <v>14467</v>
      </c>
      <c r="T2263" s="697">
        <v>0.20900000000000002</v>
      </c>
      <c r="U2263" s="372">
        <v>0</v>
      </c>
      <c r="V2263" s="722">
        <v>0</v>
      </c>
      <c r="W2263" s="722">
        <v>0</v>
      </c>
      <c r="X2263" s="722">
        <v>0</v>
      </c>
      <c r="Y2263" s="722">
        <v>0</v>
      </c>
      <c r="Z2263" s="382" t="s">
        <v>770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14468</v>
      </c>
      <c r="B2264" s="372" t="s">
        <v>14469</v>
      </c>
      <c r="C2264" s="372" t="s">
        <v>14470</v>
      </c>
      <c r="D2264" s="374">
        <v>1101110027593</v>
      </c>
      <c r="E2264" s="372" t="s">
        <v>14470</v>
      </c>
      <c r="F2264" s="372" t="s">
        <v>2242</v>
      </c>
      <c r="G2264" s="375" t="s">
        <v>11897</v>
      </c>
      <c r="H2264" s="375" t="s">
        <v>3954</v>
      </c>
      <c r="I2264" s="375" t="s">
        <v>751</v>
      </c>
      <c r="J2264" s="375">
        <v>358052.18796000001</v>
      </c>
      <c r="K2264" s="375">
        <v>-18094.222030000001</v>
      </c>
      <c r="L2264" s="375">
        <v>-193058.57308</v>
      </c>
      <c r="M2264" s="375">
        <v>219483.74937000001</v>
      </c>
      <c r="N2264" s="372">
        <v>0.68799999999999994</v>
      </c>
      <c r="O2264" s="704">
        <v>560.03720126252676</v>
      </c>
      <c r="P2264" s="563" t="s">
        <v>619</v>
      </c>
      <c r="Q2264" s="372" t="s">
        <v>619</v>
      </c>
      <c r="R2264" s="696">
        <v>19760522</v>
      </c>
      <c r="S2264" s="372" t="s">
        <v>14471</v>
      </c>
      <c r="T2264" s="697" t="s">
        <v>768</v>
      </c>
      <c r="U2264" s="372" t="s">
        <v>14472</v>
      </c>
      <c r="V2264" s="722" t="s">
        <v>770</v>
      </c>
      <c r="W2264" s="722">
        <v>0.19</v>
      </c>
      <c r="X2264" s="722">
        <v>0.12</v>
      </c>
      <c r="Y2264" s="722" t="s">
        <v>770</v>
      </c>
      <c r="Z2264" s="382" t="s">
        <v>924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14473</v>
      </c>
      <c r="B2265" s="372" t="s">
        <v>14474</v>
      </c>
      <c r="C2265" s="372" t="s">
        <v>14475</v>
      </c>
      <c r="D2265" s="374">
        <v>1701110150847</v>
      </c>
      <c r="E2265" s="372" t="s">
        <v>14476</v>
      </c>
      <c r="F2265" s="372" t="s">
        <v>1566</v>
      </c>
      <c r="G2265" s="375" t="s">
        <v>1566</v>
      </c>
      <c r="H2265" s="375" t="s">
        <v>3096</v>
      </c>
      <c r="I2265" s="375" t="s">
        <v>859</v>
      </c>
      <c r="J2265" s="375">
        <v>0</v>
      </c>
      <c r="K2265" s="375">
        <v>0</v>
      </c>
      <c r="L2265" s="375">
        <v>0</v>
      </c>
      <c r="M2265" s="375">
        <v>62526.444000000003</v>
      </c>
      <c r="N2265" s="372">
        <v>0.628</v>
      </c>
      <c r="O2265" s="704">
        <v>79.040383760787947</v>
      </c>
      <c r="P2265" s="563" t="s">
        <v>16112</v>
      </c>
      <c r="Q2265" s="372" t="s">
        <v>16113</v>
      </c>
      <c r="R2265" s="696">
        <v>20041027</v>
      </c>
      <c r="S2265" s="372" t="s">
        <v>14477</v>
      </c>
      <c r="T2265" s="697" t="s">
        <v>768</v>
      </c>
      <c r="U2265" s="372" t="s">
        <v>14478</v>
      </c>
      <c r="V2265" s="722">
        <v>0</v>
      </c>
      <c r="W2265" s="722">
        <v>0.43</v>
      </c>
      <c r="X2265" s="722">
        <v>0</v>
      </c>
      <c r="Y2265" s="722">
        <v>0</v>
      </c>
      <c r="Z2265" s="382" t="s">
        <v>924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14479</v>
      </c>
      <c r="B2266" s="372" t="s">
        <v>14480</v>
      </c>
      <c r="C2266" s="372" t="s">
        <v>14481</v>
      </c>
      <c r="D2266" s="374">
        <v>1101116982139</v>
      </c>
      <c r="E2266" s="372" t="s">
        <v>14482</v>
      </c>
      <c r="F2266" s="372" t="s">
        <v>1354</v>
      </c>
      <c r="G2266" s="375" t="s">
        <v>1354</v>
      </c>
      <c r="H2266" s="375" t="s">
        <v>858</v>
      </c>
      <c r="I2266" s="375" t="s">
        <v>859</v>
      </c>
      <c r="J2266" s="375">
        <v>33160.52291</v>
      </c>
      <c r="K2266" s="375">
        <v>1389.2748200000001</v>
      </c>
      <c r="L2266" s="375">
        <v>-977.27374999999995</v>
      </c>
      <c r="M2266" s="375">
        <v>30844.485219999999</v>
      </c>
      <c r="N2266" s="372">
        <v>-0.13900000000000001</v>
      </c>
      <c r="O2266" s="704">
        <v>94.417059608466573</v>
      </c>
      <c r="P2266" s="563" t="s">
        <v>16112</v>
      </c>
      <c r="Q2266" s="372" t="s">
        <v>16113</v>
      </c>
      <c r="R2266" s="696">
        <v>20190429</v>
      </c>
      <c r="S2266" s="372" t="s">
        <v>9015</v>
      </c>
      <c r="T2266" s="697" t="s">
        <v>768</v>
      </c>
      <c r="U2266" s="372" t="s">
        <v>14483</v>
      </c>
      <c r="V2266" s="722">
        <v>20.61</v>
      </c>
      <c r="W2266" s="722">
        <v>0.96</v>
      </c>
      <c r="X2266" s="722">
        <v>0.85</v>
      </c>
      <c r="Y2266" s="722" t="s">
        <v>770</v>
      </c>
      <c r="Z2266" s="382" t="s">
        <v>924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14484</v>
      </c>
      <c r="B2267" s="372" t="s">
        <v>14485</v>
      </c>
      <c r="C2267" s="372" t="s">
        <v>14486</v>
      </c>
      <c r="D2267" s="374">
        <v>1101111930787</v>
      </c>
      <c r="E2267" s="372" t="s">
        <v>14487</v>
      </c>
      <c r="F2267" s="372" t="s">
        <v>1653</v>
      </c>
      <c r="G2267" s="375" t="s">
        <v>1653</v>
      </c>
      <c r="H2267" s="375" t="s">
        <v>858</v>
      </c>
      <c r="I2267" s="375" t="s">
        <v>859</v>
      </c>
      <c r="J2267" s="375">
        <v>38070.303469999999</v>
      </c>
      <c r="K2267" s="375">
        <v>-881.64913999999999</v>
      </c>
      <c r="L2267" s="375">
        <v>-496.86968000000002</v>
      </c>
      <c r="M2267" s="375">
        <v>41503.703889999997</v>
      </c>
      <c r="N2267" s="372">
        <v>0.74299999999999999</v>
      </c>
      <c r="O2267" s="704">
        <v>15.190188173936352</v>
      </c>
      <c r="P2267" s="563" t="s">
        <v>619</v>
      </c>
      <c r="Q2267" s="372" t="s">
        <v>619</v>
      </c>
      <c r="R2267" s="696">
        <v>20090331</v>
      </c>
      <c r="S2267" s="372" t="s">
        <v>14488</v>
      </c>
      <c r="T2267" s="697" t="s">
        <v>768</v>
      </c>
      <c r="U2267" s="372" t="s">
        <v>14489</v>
      </c>
      <c r="V2267" s="722">
        <v>320.88</v>
      </c>
      <c r="W2267" s="722">
        <v>0.73</v>
      </c>
      <c r="X2267" s="722">
        <v>0.74</v>
      </c>
      <c r="Y2267" s="722" t="s">
        <v>770</v>
      </c>
      <c r="Z2267" s="382" t="s">
        <v>924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14490</v>
      </c>
      <c r="B2268" s="372" t="s">
        <v>14491</v>
      </c>
      <c r="C2268" s="372" t="s">
        <v>14492</v>
      </c>
      <c r="D2268" s="374">
        <v>1101111716898</v>
      </c>
      <c r="E2268" s="372" t="s">
        <v>14493</v>
      </c>
      <c r="F2268" s="372" t="s">
        <v>2508</v>
      </c>
      <c r="G2268" s="375" t="s">
        <v>2508</v>
      </c>
      <c r="H2268" s="375" t="s">
        <v>858</v>
      </c>
      <c r="I2268" s="375" t="s">
        <v>859</v>
      </c>
      <c r="J2268" s="375">
        <v>76015.950110000005</v>
      </c>
      <c r="K2268" s="375">
        <v>-561.10335999999995</v>
      </c>
      <c r="L2268" s="375">
        <v>-6770.5848800000003</v>
      </c>
      <c r="M2268" s="375">
        <v>60949.294959999999</v>
      </c>
      <c r="N2268" s="372">
        <v>0.72099999999999997</v>
      </c>
      <c r="O2268" s="704">
        <v>161.72831081827428</v>
      </c>
      <c r="P2268" s="563" t="s">
        <v>619</v>
      </c>
      <c r="Q2268" s="372" t="s">
        <v>619</v>
      </c>
      <c r="R2268" s="696">
        <v>20020514</v>
      </c>
      <c r="S2268" s="372" t="s">
        <v>14494</v>
      </c>
      <c r="T2268" s="697" t="s">
        <v>768</v>
      </c>
      <c r="U2268" s="372" t="s">
        <v>14495</v>
      </c>
      <c r="V2268" s="722">
        <v>11.75</v>
      </c>
      <c r="W2268" s="722">
        <v>0.42</v>
      </c>
      <c r="X2268" s="722">
        <v>0.35</v>
      </c>
      <c r="Y2268" s="722" t="s">
        <v>770</v>
      </c>
      <c r="Z2268" s="382" t="s">
        <v>924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14496</v>
      </c>
      <c r="B2269" s="372" t="s">
        <v>14497</v>
      </c>
      <c r="C2269" s="372" t="s">
        <v>14498</v>
      </c>
      <c r="D2269" s="374">
        <v>1345110066131</v>
      </c>
      <c r="E2269" s="372" t="s">
        <v>14499</v>
      </c>
      <c r="F2269" s="372" t="s">
        <v>1653</v>
      </c>
      <c r="G2269" s="375" t="s">
        <v>1653</v>
      </c>
      <c r="H2269" s="375" t="s">
        <v>858</v>
      </c>
      <c r="I2269" s="375" t="s">
        <v>859</v>
      </c>
      <c r="J2269" s="375">
        <v>88520.974310000005</v>
      </c>
      <c r="K2269" s="375">
        <v>1316.74496</v>
      </c>
      <c r="L2269" s="375">
        <v>-22771.61118</v>
      </c>
      <c r="M2269" s="375">
        <v>36311.083039999998</v>
      </c>
      <c r="N2269" s="372">
        <v>0.47899999999999998</v>
      </c>
      <c r="O2269" s="704">
        <v>21.51760779324826</v>
      </c>
      <c r="P2269" s="563" t="s">
        <v>16112</v>
      </c>
      <c r="Q2269" s="372" t="s">
        <v>16113</v>
      </c>
      <c r="R2269" s="696">
        <v>20100917</v>
      </c>
      <c r="S2269" s="372" t="s">
        <v>14500</v>
      </c>
      <c r="T2269" s="697" t="s">
        <v>768</v>
      </c>
      <c r="U2269" s="372" t="s">
        <v>14501</v>
      </c>
      <c r="V2269" s="722">
        <v>11.62</v>
      </c>
      <c r="W2269" s="722">
        <v>1.04</v>
      </c>
      <c r="X2269" s="722">
        <v>0.42</v>
      </c>
      <c r="Y2269" s="722" t="s">
        <v>770</v>
      </c>
      <c r="Z2269" s="382" t="s">
        <v>924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14502</v>
      </c>
      <c r="B2270" s="372" t="s">
        <v>14503</v>
      </c>
      <c r="C2270" s="372" t="s">
        <v>14504</v>
      </c>
      <c r="D2270" s="374">
        <v>0</v>
      </c>
      <c r="E2270" s="372" t="s">
        <v>14505</v>
      </c>
      <c r="F2270" s="372" t="s">
        <v>890</v>
      </c>
      <c r="G2270" s="375" t="s">
        <v>891</v>
      </c>
      <c r="H2270" s="375">
        <v>0</v>
      </c>
      <c r="I2270" s="375" t="s">
        <v>859</v>
      </c>
      <c r="J2270" s="375">
        <v>187712.98699999999</v>
      </c>
      <c r="K2270" s="375">
        <v>19417.576000000001</v>
      </c>
      <c r="L2270" s="375">
        <v>17997.427</v>
      </c>
      <c r="M2270" s="375">
        <v>204852.12400000001</v>
      </c>
      <c r="N2270" s="372">
        <v>0.93</v>
      </c>
      <c r="O2270" s="704">
        <v>32.421587421818231</v>
      </c>
      <c r="P2270" s="563" t="s">
        <v>619</v>
      </c>
      <c r="Q2270" s="372" t="s">
        <v>619</v>
      </c>
      <c r="R2270" s="696">
        <v>20181130</v>
      </c>
      <c r="S2270" s="372" t="s">
        <v>14506</v>
      </c>
      <c r="T2270" s="697">
        <v>0.20900000000000002</v>
      </c>
      <c r="U2270" s="372" t="s">
        <v>14507</v>
      </c>
      <c r="V2270" s="722">
        <v>3.56</v>
      </c>
      <c r="W2270" s="722">
        <v>0.45</v>
      </c>
      <c r="X2270" s="722">
        <v>0.49</v>
      </c>
      <c r="Y2270" s="722">
        <v>5.57</v>
      </c>
      <c r="Z2270" s="382" t="s">
        <v>924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14508</v>
      </c>
      <c r="B2271" s="372" t="s">
        <v>14509</v>
      </c>
      <c r="C2271" s="372" t="s">
        <v>14510</v>
      </c>
      <c r="D2271" s="374">
        <v>1101110030934</v>
      </c>
      <c r="E2271" s="372" t="s">
        <v>14511</v>
      </c>
      <c r="F2271" s="372" t="s">
        <v>5275</v>
      </c>
      <c r="G2271" s="375" t="s">
        <v>5275</v>
      </c>
      <c r="H2271" s="375" t="s">
        <v>1536</v>
      </c>
      <c r="I2271" s="375" t="s">
        <v>751</v>
      </c>
      <c r="J2271" s="375">
        <v>227404.34096</v>
      </c>
      <c r="K2271" s="375">
        <v>4104.4197400000003</v>
      </c>
      <c r="L2271" s="375">
        <v>3586.0384199999999</v>
      </c>
      <c r="M2271" s="375">
        <v>126738.38194000001</v>
      </c>
      <c r="N2271" s="372">
        <v>0.85199999999999998</v>
      </c>
      <c r="O2271" s="704">
        <v>343.16377763448202</v>
      </c>
      <c r="P2271" s="563" t="s">
        <v>619</v>
      </c>
      <c r="Q2271" s="372" t="s">
        <v>619</v>
      </c>
      <c r="R2271" s="696">
        <v>19760713</v>
      </c>
      <c r="S2271" s="372" t="s">
        <v>14512</v>
      </c>
      <c r="T2271" s="697">
        <v>0.20900000000000002</v>
      </c>
      <c r="U2271" s="372" t="s">
        <v>14513</v>
      </c>
      <c r="V2271" s="722">
        <v>11.92</v>
      </c>
      <c r="W2271" s="722">
        <v>0.28000000000000003</v>
      </c>
      <c r="X2271" s="722">
        <v>0.12</v>
      </c>
      <c r="Y2271" s="722">
        <v>18.649999999999999</v>
      </c>
      <c r="Z2271" s="382" t="s">
        <v>924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14514</v>
      </c>
      <c r="B2272" s="372" t="s">
        <v>14515</v>
      </c>
      <c r="C2272" s="372" t="s">
        <v>14516</v>
      </c>
      <c r="D2272" s="374">
        <v>1154110011579</v>
      </c>
      <c r="E2272" s="372" t="s">
        <v>14517</v>
      </c>
      <c r="F2272" s="372" t="s">
        <v>10828</v>
      </c>
      <c r="G2272" s="375" t="s">
        <v>14518</v>
      </c>
      <c r="H2272" s="375" t="s">
        <v>858</v>
      </c>
      <c r="I2272" s="375" t="s">
        <v>859</v>
      </c>
      <c r="J2272" s="375">
        <v>33926.382689999999</v>
      </c>
      <c r="K2272" s="375">
        <v>1610.41119</v>
      </c>
      <c r="L2272" s="375">
        <v>2664.4436300000002</v>
      </c>
      <c r="M2272" s="375">
        <v>60419.069949999997</v>
      </c>
      <c r="N2272" s="372">
        <v>0.80200000000000005</v>
      </c>
      <c r="O2272" s="704">
        <v>11.155585143070473</v>
      </c>
      <c r="P2272" s="563" t="s">
        <v>619</v>
      </c>
      <c r="Q2272" s="372" t="s">
        <v>619</v>
      </c>
      <c r="R2272" s="696">
        <v>20110131</v>
      </c>
      <c r="S2272" s="372" t="s">
        <v>14519</v>
      </c>
      <c r="T2272" s="697">
        <v>0.20900000000000002</v>
      </c>
      <c r="U2272" s="372" t="s">
        <v>14520</v>
      </c>
      <c r="V2272" s="722">
        <v>11.8</v>
      </c>
      <c r="W2272" s="722">
        <v>0.48</v>
      </c>
      <c r="X2272" s="722">
        <v>0.9</v>
      </c>
      <c r="Y2272" s="722">
        <v>12.22</v>
      </c>
      <c r="Z2272" s="382" t="s">
        <v>924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14521</v>
      </c>
      <c r="B2273" s="372" t="s">
        <v>14522</v>
      </c>
      <c r="C2273" s="372" t="s">
        <v>14523</v>
      </c>
      <c r="D2273" s="374">
        <v>1101116219037</v>
      </c>
      <c r="E2273" s="372" t="s">
        <v>14524</v>
      </c>
      <c r="F2273" s="372" t="s">
        <v>1367</v>
      </c>
      <c r="G2273" s="375" t="s">
        <v>1367</v>
      </c>
      <c r="H2273" s="375" t="s">
        <v>858</v>
      </c>
      <c r="I2273" s="375" t="s">
        <v>859</v>
      </c>
      <c r="J2273" s="375">
        <v>16595.04263</v>
      </c>
      <c r="K2273" s="375">
        <v>-3920.6716500000002</v>
      </c>
      <c r="L2273" s="375">
        <v>-3052.5413800000001</v>
      </c>
      <c r="M2273" s="375">
        <v>10804.9049</v>
      </c>
      <c r="N2273" s="372">
        <v>0.64500000000000002</v>
      </c>
      <c r="O2273" s="704">
        <v>103.13738073500059</v>
      </c>
      <c r="P2273" s="563" t="s">
        <v>619</v>
      </c>
      <c r="Q2273" s="372" t="s">
        <v>619</v>
      </c>
      <c r="R2273" s="696">
        <v>20170427</v>
      </c>
      <c r="S2273" s="372" t="s">
        <v>14525</v>
      </c>
      <c r="T2273" s="697" t="s">
        <v>768</v>
      </c>
      <c r="U2273" s="372" t="s">
        <v>14526</v>
      </c>
      <c r="V2273" s="722" t="s">
        <v>770</v>
      </c>
      <c r="W2273" s="722">
        <v>1.8</v>
      </c>
      <c r="X2273" s="722">
        <v>1.35</v>
      </c>
      <c r="Y2273" s="722" t="s">
        <v>770</v>
      </c>
      <c r="Z2273" s="382" t="s">
        <v>924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14527</v>
      </c>
      <c r="B2274" s="372" t="s">
        <v>14528</v>
      </c>
      <c r="C2274" s="372" t="s">
        <v>14529</v>
      </c>
      <c r="D2274" s="374">
        <v>1101111844970</v>
      </c>
      <c r="E2274" s="372" t="s">
        <v>14530</v>
      </c>
      <c r="F2274" s="372" t="s">
        <v>1259</v>
      </c>
      <c r="G2274" s="375" t="s">
        <v>1260</v>
      </c>
      <c r="H2274" s="375" t="s">
        <v>892</v>
      </c>
      <c r="I2274" s="375" t="s">
        <v>859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0.56499999999999995</v>
      </c>
      <c r="O2274" s="704" t="s">
        <v>16298</v>
      </c>
      <c r="P2274" s="563" t="s">
        <v>619</v>
      </c>
      <c r="Q2274" s="372" t="s">
        <v>619</v>
      </c>
      <c r="R2274" s="696">
        <v>20191120</v>
      </c>
      <c r="S2274" s="372" t="s">
        <v>14531</v>
      </c>
      <c r="T2274" s="697" t="s">
        <v>768</v>
      </c>
      <c r="U2274" s="372" t="s">
        <v>14532</v>
      </c>
      <c r="V2274" s="722">
        <v>0</v>
      </c>
      <c r="W2274" s="722">
        <v>0</v>
      </c>
      <c r="X2274" s="722">
        <v>0</v>
      </c>
      <c r="Y2274" s="722">
        <v>0</v>
      </c>
      <c r="Z2274" s="382" t="s">
        <v>924</v>
      </c>
      <c r="AA2274" s="372">
        <v>725.93897449999997</v>
      </c>
      <c r="AB2274" s="372">
        <v>875.73781180000003</v>
      </c>
      <c r="AC2274" s="372">
        <v>475.5581181</v>
      </c>
      <c r="AD2274" s="372">
        <v>553.31140100000005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14533</v>
      </c>
      <c r="B2275" s="372" t="s">
        <v>14534</v>
      </c>
      <c r="C2275" s="372" t="s">
        <v>14535</v>
      </c>
      <c r="D2275" s="374">
        <v>1201110153916</v>
      </c>
      <c r="E2275" s="372" t="s">
        <v>14536</v>
      </c>
      <c r="F2275" s="372" t="s">
        <v>4235</v>
      </c>
      <c r="G2275" s="375" t="s">
        <v>14537</v>
      </c>
      <c r="H2275" s="375" t="s">
        <v>858</v>
      </c>
      <c r="I2275" s="375" t="s">
        <v>859</v>
      </c>
      <c r="J2275" s="375">
        <v>17613.585159999999</v>
      </c>
      <c r="K2275" s="375">
        <v>373.78028</v>
      </c>
      <c r="L2275" s="375">
        <v>3133.1078499999999</v>
      </c>
      <c r="M2275" s="375">
        <v>78682.325169999996</v>
      </c>
      <c r="N2275" s="372">
        <v>0.63300000000000001</v>
      </c>
      <c r="O2275" s="704">
        <v>1.4714608787889838</v>
      </c>
      <c r="P2275" s="563" t="s">
        <v>619</v>
      </c>
      <c r="Q2275" s="372" t="s">
        <v>619</v>
      </c>
      <c r="R2275" s="696">
        <v>20051115</v>
      </c>
      <c r="S2275" s="372" t="s">
        <v>14538</v>
      </c>
      <c r="T2275" s="697">
        <v>0.20900000000000002</v>
      </c>
      <c r="U2275" s="372" t="s">
        <v>14539</v>
      </c>
      <c r="V2275" s="722">
        <v>0</v>
      </c>
      <c r="W2275" s="722">
        <v>0</v>
      </c>
      <c r="X2275" s="722">
        <v>0</v>
      </c>
      <c r="Y2275" s="722">
        <v>0</v>
      </c>
      <c r="Z2275" s="382" t="s">
        <v>924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14540</v>
      </c>
      <c r="B2276" s="372" t="s">
        <v>14541</v>
      </c>
      <c r="C2276" s="372" t="s">
        <v>14542</v>
      </c>
      <c r="D2276" s="374">
        <v>1512110004847</v>
      </c>
      <c r="E2276" s="372" t="s">
        <v>14543</v>
      </c>
      <c r="F2276" s="372" t="s">
        <v>16120</v>
      </c>
      <c r="G2276" s="375" t="s">
        <v>16120</v>
      </c>
      <c r="H2276" s="375" t="s">
        <v>858</v>
      </c>
      <c r="I2276" s="375" t="s">
        <v>859</v>
      </c>
      <c r="J2276" s="375">
        <v>35037.395210000002</v>
      </c>
      <c r="K2276" s="375">
        <v>-2358.4446899999998</v>
      </c>
      <c r="L2276" s="375">
        <v>-4073.4012499999999</v>
      </c>
      <c r="M2276" s="375">
        <v>43213.214010000003</v>
      </c>
      <c r="N2276" s="372">
        <v>1.0580000000000001</v>
      </c>
      <c r="O2276" s="704">
        <v>68.464093633622923</v>
      </c>
      <c r="P2276" s="563" t="s">
        <v>619</v>
      </c>
      <c r="Q2276" s="372" t="s">
        <v>619</v>
      </c>
      <c r="R2276" s="696">
        <v>20201211</v>
      </c>
      <c r="S2276" s="372" t="s">
        <v>14544</v>
      </c>
      <c r="T2276" s="697" t="s">
        <v>768</v>
      </c>
      <c r="U2276" s="372" t="s">
        <v>14545</v>
      </c>
      <c r="V2276" s="722">
        <v>0</v>
      </c>
      <c r="W2276" s="722">
        <v>0</v>
      </c>
      <c r="X2276" s="722">
        <v>0</v>
      </c>
      <c r="Y2276" s="722">
        <v>0</v>
      </c>
      <c r="Z2276" s="382" t="s">
        <v>924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14546</v>
      </c>
      <c r="B2277" s="372" t="s">
        <v>14547</v>
      </c>
      <c r="C2277" s="372" t="s">
        <v>14548</v>
      </c>
      <c r="D2277" s="374">
        <v>1341110131073</v>
      </c>
      <c r="E2277" s="372" t="s">
        <v>14549</v>
      </c>
      <c r="F2277" s="372" t="s">
        <v>12069</v>
      </c>
      <c r="G2277" s="375" t="s">
        <v>12069</v>
      </c>
      <c r="H2277" s="375" t="s">
        <v>906</v>
      </c>
      <c r="I2277" s="375" t="s">
        <v>751</v>
      </c>
      <c r="J2277" s="375">
        <v>121801.91843999999</v>
      </c>
      <c r="K2277" s="375">
        <v>-2662.7059800000002</v>
      </c>
      <c r="L2277" s="375">
        <v>-5149.4611800000002</v>
      </c>
      <c r="M2277" s="375">
        <v>65586.654309999998</v>
      </c>
      <c r="N2277" s="372">
        <v>0.57799999999999996</v>
      </c>
      <c r="O2277" s="704">
        <v>369.80388901222307</v>
      </c>
      <c r="P2277" s="563" t="s">
        <v>619</v>
      </c>
      <c r="Q2277" s="372" t="s">
        <v>619</v>
      </c>
      <c r="R2277" s="696">
        <v>20050725</v>
      </c>
      <c r="S2277" s="372" t="s">
        <v>14550</v>
      </c>
      <c r="T2277" s="697" t="s">
        <v>768</v>
      </c>
      <c r="U2277" s="372" t="s">
        <v>14551</v>
      </c>
      <c r="V2277" s="722">
        <v>31.87</v>
      </c>
      <c r="W2277" s="722">
        <v>0.35</v>
      </c>
      <c r="X2277" s="722">
        <v>0.21</v>
      </c>
      <c r="Y2277" s="722" t="s">
        <v>770</v>
      </c>
      <c r="Z2277" s="382" t="s">
        <v>924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14552</v>
      </c>
      <c r="B2278" s="372" t="s">
        <v>14553</v>
      </c>
      <c r="C2278" s="372" t="s">
        <v>14554</v>
      </c>
      <c r="D2278" s="374">
        <v>1901110037223</v>
      </c>
      <c r="E2278" s="372" t="s">
        <v>14555</v>
      </c>
      <c r="F2278" s="372" t="s">
        <v>1860</v>
      </c>
      <c r="G2278" s="375" t="s">
        <v>1861</v>
      </c>
      <c r="H2278" s="375" t="s">
        <v>858</v>
      </c>
      <c r="I2278" s="375" t="s">
        <v>859</v>
      </c>
      <c r="J2278" s="375">
        <v>34233.23762</v>
      </c>
      <c r="K2278" s="375">
        <v>-1084.6975199999999</v>
      </c>
      <c r="L2278" s="375">
        <v>-929.94170999999994</v>
      </c>
      <c r="M2278" s="375">
        <v>63635.704080000003</v>
      </c>
      <c r="N2278" s="372">
        <v>0.746</v>
      </c>
      <c r="O2278" s="704">
        <v>32.471980606285697</v>
      </c>
      <c r="P2278" s="563" t="s">
        <v>619</v>
      </c>
      <c r="Q2278" s="372" t="s">
        <v>619</v>
      </c>
      <c r="R2278" s="696">
        <v>20090123</v>
      </c>
      <c r="S2278" s="372" t="s">
        <v>14556</v>
      </c>
      <c r="T2278" s="697" t="s">
        <v>768</v>
      </c>
      <c r="U2278" s="372" t="s">
        <v>14557</v>
      </c>
      <c r="V2278" s="722">
        <v>0</v>
      </c>
      <c r="W2278" s="722">
        <v>0</v>
      </c>
      <c r="X2278" s="722">
        <v>0</v>
      </c>
      <c r="Y2278" s="722">
        <v>0</v>
      </c>
      <c r="Z2278" s="382" t="s">
        <v>924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14558</v>
      </c>
      <c r="B2279" s="372" t="s">
        <v>14559</v>
      </c>
      <c r="C2279" s="372" t="s">
        <v>14560</v>
      </c>
      <c r="D2279" s="374">
        <v>1801110346204</v>
      </c>
      <c r="E2279" s="372" t="s">
        <v>14561</v>
      </c>
      <c r="F2279" s="372" t="s">
        <v>2665</v>
      </c>
      <c r="G2279" s="375" t="s">
        <v>12935</v>
      </c>
      <c r="H2279" s="375" t="s">
        <v>1536</v>
      </c>
      <c r="I2279" s="375" t="s">
        <v>751</v>
      </c>
      <c r="J2279" s="375">
        <v>179218.52090999999</v>
      </c>
      <c r="K2279" s="375">
        <v>3613.0102499999998</v>
      </c>
      <c r="L2279" s="375">
        <v>810.06349</v>
      </c>
      <c r="M2279" s="375">
        <v>60446.543610000001</v>
      </c>
      <c r="N2279" s="372">
        <v>0.627</v>
      </c>
      <c r="O2279" s="704">
        <v>89.620393639355584</v>
      </c>
      <c r="P2279" s="563" t="s">
        <v>619</v>
      </c>
      <c r="Q2279" s="372" t="s">
        <v>619</v>
      </c>
      <c r="R2279" s="696">
        <v>20051219</v>
      </c>
      <c r="S2279" s="372" t="s">
        <v>14562</v>
      </c>
      <c r="T2279" s="697">
        <v>0.20900000000000002</v>
      </c>
      <c r="U2279" s="372" t="s">
        <v>14563</v>
      </c>
      <c r="V2279" s="722">
        <v>5.74</v>
      </c>
      <c r="W2279" s="722">
        <v>0.5</v>
      </c>
      <c r="X2279" s="722">
        <v>0.17</v>
      </c>
      <c r="Y2279" s="722">
        <v>44.39</v>
      </c>
      <c r="Z2279" s="382" t="s">
        <v>924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14564</v>
      </c>
      <c r="B2280" s="372" t="s">
        <v>14565</v>
      </c>
      <c r="C2280" s="372" t="s">
        <v>14566</v>
      </c>
      <c r="D2280" s="374">
        <v>1101110350712</v>
      </c>
      <c r="E2280" s="372" t="s">
        <v>14567</v>
      </c>
      <c r="F2280" s="372" t="s">
        <v>1846</v>
      </c>
      <c r="G2280" s="375" t="s">
        <v>1847</v>
      </c>
      <c r="H2280" s="375" t="s">
        <v>4844</v>
      </c>
      <c r="I2280" s="375" t="s">
        <v>859</v>
      </c>
      <c r="J2280" s="375">
        <v>270468.47240000003</v>
      </c>
      <c r="K2280" s="375">
        <v>7320.8325500000001</v>
      </c>
      <c r="L2280" s="375">
        <v>14532.699189999999</v>
      </c>
      <c r="M2280" s="375">
        <v>110759.06066</v>
      </c>
      <c r="N2280" s="372">
        <v>0.67</v>
      </c>
      <c r="O2280" s="704">
        <v>135.0211183341882</v>
      </c>
      <c r="P2280" s="563" t="s">
        <v>619</v>
      </c>
      <c r="Q2280" s="372" t="s">
        <v>619</v>
      </c>
      <c r="R2280" s="696">
        <v>19941130</v>
      </c>
      <c r="S2280" s="372" t="s">
        <v>14568</v>
      </c>
      <c r="T2280" s="697">
        <v>0.20900000000000002</v>
      </c>
      <c r="U2280" s="372" t="s">
        <v>14569</v>
      </c>
      <c r="V2280" s="722">
        <v>0</v>
      </c>
      <c r="W2280" s="722">
        <v>0</v>
      </c>
      <c r="X2280" s="722">
        <v>0</v>
      </c>
      <c r="Y2280" s="722">
        <v>0</v>
      </c>
      <c r="Z2280" s="382" t="s">
        <v>924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14570</v>
      </c>
      <c r="B2281" s="372" t="s">
        <v>14571</v>
      </c>
      <c r="C2281" s="372" t="s">
        <v>14572</v>
      </c>
      <c r="D2281" s="374">
        <v>1101110015853</v>
      </c>
      <c r="E2281" s="372" t="s">
        <v>14573</v>
      </c>
      <c r="F2281" s="372" t="s">
        <v>7034</v>
      </c>
      <c r="G2281" s="375" t="s">
        <v>7034</v>
      </c>
      <c r="H2281" s="375" t="s">
        <v>843</v>
      </c>
      <c r="I2281" s="375" t="s">
        <v>751</v>
      </c>
      <c r="J2281" s="375">
        <v>34830.688710000002</v>
      </c>
      <c r="K2281" s="375">
        <v>-1424.45173</v>
      </c>
      <c r="L2281" s="375">
        <v>-2058.7282500000001</v>
      </c>
      <c r="M2281" s="375">
        <v>25458.159019999999</v>
      </c>
      <c r="N2281" s="372">
        <v>0.23200000000000001</v>
      </c>
      <c r="O2281" s="704">
        <v>53.30647828857078</v>
      </c>
      <c r="P2281" s="563" t="s">
        <v>619</v>
      </c>
      <c r="Q2281" s="372" t="s">
        <v>619</v>
      </c>
      <c r="R2281" s="696">
        <v>19681227</v>
      </c>
      <c r="S2281" s="372" t="s">
        <v>14574</v>
      </c>
      <c r="T2281" s="697" t="s">
        <v>768</v>
      </c>
      <c r="U2281" s="372" t="s">
        <v>14575</v>
      </c>
      <c r="V2281" s="722">
        <v>0</v>
      </c>
      <c r="W2281" s="722">
        <v>0</v>
      </c>
      <c r="X2281" s="722">
        <v>0</v>
      </c>
      <c r="Y2281" s="722">
        <v>0</v>
      </c>
      <c r="Z2281" s="382" t="s">
        <v>924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14576</v>
      </c>
      <c r="B2282" s="372" t="s">
        <v>14577</v>
      </c>
      <c r="C2282" s="372" t="s">
        <v>14578</v>
      </c>
      <c r="D2282" s="374">
        <v>1355110101465</v>
      </c>
      <c r="E2282" s="372" t="s">
        <v>14579</v>
      </c>
      <c r="F2282" s="372" t="s">
        <v>1273</v>
      </c>
      <c r="G2282" s="375" t="s">
        <v>1449</v>
      </c>
      <c r="H2282" s="375" t="s">
        <v>858</v>
      </c>
      <c r="I2282" s="375" t="s">
        <v>859</v>
      </c>
      <c r="J2282" s="375">
        <v>307347.95513999998</v>
      </c>
      <c r="K2282" s="375">
        <v>17393.32661</v>
      </c>
      <c r="L2282" s="375">
        <v>10220.099190000001</v>
      </c>
      <c r="M2282" s="375">
        <v>127879.91219</v>
      </c>
      <c r="N2282" s="372">
        <v>0.80900000000000005</v>
      </c>
      <c r="O2282" s="704">
        <v>325.96002012822015</v>
      </c>
      <c r="P2282" s="563" t="s">
        <v>619</v>
      </c>
      <c r="Q2282" s="372" t="s">
        <v>619</v>
      </c>
      <c r="R2282" s="696">
        <v>20070730</v>
      </c>
      <c r="S2282" s="372" t="s">
        <v>14580</v>
      </c>
      <c r="T2282" s="697">
        <v>0.20900000000000002</v>
      </c>
      <c r="U2282" s="372" t="s">
        <v>14581</v>
      </c>
      <c r="V2282" s="722">
        <v>3.71</v>
      </c>
      <c r="W2282" s="722">
        <v>0.33</v>
      </c>
      <c r="X2282" s="722">
        <v>0.1</v>
      </c>
      <c r="Y2282" s="722">
        <v>23.56</v>
      </c>
      <c r="Z2282" s="382" t="s">
        <v>924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14582</v>
      </c>
      <c r="B2283" s="372" t="s">
        <v>14583</v>
      </c>
      <c r="C2283" s="372" t="s">
        <v>14584</v>
      </c>
      <c r="D2283" s="374">
        <v>1101112021395</v>
      </c>
      <c r="E2283" s="372" t="s">
        <v>14585</v>
      </c>
      <c r="F2283" s="372" t="s">
        <v>1793</v>
      </c>
      <c r="G2283" s="375" t="s">
        <v>2794</v>
      </c>
      <c r="H2283" s="375" t="s">
        <v>858</v>
      </c>
      <c r="I2283" s="375" t="s">
        <v>859</v>
      </c>
      <c r="J2283" s="375">
        <v>36633.803140000004</v>
      </c>
      <c r="K2283" s="375">
        <v>-3627.5649699999999</v>
      </c>
      <c r="L2283" s="375">
        <v>-25972.836500000001</v>
      </c>
      <c r="M2283" s="375">
        <v>24669.89446</v>
      </c>
      <c r="N2283" s="372">
        <v>0.96</v>
      </c>
      <c r="O2283" s="704">
        <v>270.78464786824395</v>
      </c>
      <c r="P2283" s="563" t="s">
        <v>619</v>
      </c>
      <c r="Q2283" s="372" t="s">
        <v>619</v>
      </c>
      <c r="R2283" s="696">
        <v>20100601</v>
      </c>
      <c r="S2283" s="372" t="s">
        <v>14586</v>
      </c>
      <c r="T2283" s="697" t="s">
        <v>768</v>
      </c>
      <c r="U2283" s="372" t="s">
        <v>14587</v>
      </c>
      <c r="V2283" s="722">
        <v>71.3</v>
      </c>
      <c r="W2283" s="722">
        <v>0.41</v>
      </c>
      <c r="X2283" s="722">
        <v>0.33</v>
      </c>
      <c r="Y2283" s="722" t="s">
        <v>770</v>
      </c>
      <c r="Z2283" s="382" t="s">
        <v>924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14588</v>
      </c>
      <c r="B2284" s="372" t="s">
        <v>14589</v>
      </c>
      <c r="C2284" s="372" t="s">
        <v>14590</v>
      </c>
      <c r="D2284" s="374">
        <v>1314110346786</v>
      </c>
      <c r="E2284" s="372" t="s">
        <v>14591</v>
      </c>
      <c r="F2284" s="372" t="s">
        <v>11044</v>
      </c>
      <c r="G2284" s="375" t="s">
        <v>11044</v>
      </c>
      <c r="H2284" s="375" t="s">
        <v>858</v>
      </c>
      <c r="I2284" s="375" t="s">
        <v>859</v>
      </c>
      <c r="J2284" s="375">
        <v>27816.983270000001</v>
      </c>
      <c r="K2284" s="375">
        <v>3057.1152999999999</v>
      </c>
      <c r="L2284" s="375">
        <v>2755.8627700000002</v>
      </c>
      <c r="M2284" s="375">
        <v>45145.284140000003</v>
      </c>
      <c r="N2284" s="372" t="s">
        <v>1023</v>
      </c>
      <c r="O2284" s="704">
        <v>17.106696874184497</v>
      </c>
      <c r="P2284" s="563" t="s">
        <v>619</v>
      </c>
      <c r="Q2284" s="372" t="s">
        <v>619</v>
      </c>
      <c r="R2284" s="696">
        <v>20230420</v>
      </c>
      <c r="S2284" s="372" t="s">
        <v>14592</v>
      </c>
      <c r="T2284" s="697">
        <v>0.20900000000000002</v>
      </c>
      <c r="U2284" s="372" t="s">
        <v>14593</v>
      </c>
      <c r="V2284" s="722">
        <v>6.18</v>
      </c>
      <c r="W2284" s="722">
        <v>0.63</v>
      </c>
      <c r="X2284" s="722">
        <v>1.07</v>
      </c>
      <c r="Y2284" s="722">
        <v>21.07</v>
      </c>
      <c r="Z2284" s="382" t="s">
        <v>924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14594</v>
      </c>
      <c r="B2285" s="372" t="s">
        <v>14595</v>
      </c>
      <c r="C2285" s="372" t="s">
        <v>14596</v>
      </c>
      <c r="D2285" s="374">
        <v>1101110569074</v>
      </c>
      <c r="E2285" s="372" t="s">
        <v>14597</v>
      </c>
      <c r="F2285" s="372" t="s">
        <v>14598</v>
      </c>
      <c r="G2285" s="375" t="s">
        <v>14598</v>
      </c>
      <c r="H2285" s="375" t="s">
        <v>858</v>
      </c>
      <c r="I2285" s="375" t="s">
        <v>859</v>
      </c>
      <c r="J2285" s="375">
        <v>74664.901889999994</v>
      </c>
      <c r="K2285" s="375">
        <v>-1475.2688499999999</v>
      </c>
      <c r="L2285" s="375">
        <v>-1548.4106400000001</v>
      </c>
      <c r="M2285" s="375">
        <v>41206.271379999998</v>
      </c>
      <c r="N2285" s="372">
        <v>0.91300000000000003</v>
      </c>
      <c r="O2285" s="704">
        <v>6.3468374102555973</v>
      </c>
      <c r="P2285" s="563" t="s">
        <v>619</v>
      </c>
      <c r="Q2285" s="372" t="s">
        <v>619</v>
      </c>
      <c r="R2285" s="696">
        <v>19991218</v>
      </c>
      <c r="S2285" s="372" t="s">
        <v>14599</v>
      </c>
      <c r="T2285" s="697" t="s">
        <v>768</v>
      </c>
      <c r="U2285" s="372" t="s">
        <v>14600</v>
      </c>
      <c r="V2285" s="722">
        <v>0</v>
      </c>
      <c r="W2285" s="722">
        <v>0</v>
      </c>
      <c r="X2285" s="722">
        <v>0</v>
      </c>
      <c r="Y2285" s="722">
        <v>0</v>
      </c>
      <c r="Z2285" s="382" t="s">
        <v>924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14601</v>
      </c>
      <c r="B2286" s="372" t="s">
        <v>14602</v>
      </c>
      <c r="C2286" s="372" t="s">
        <v>14603</v>
      </c>
      <c r="D2286" s="374">
        <v>1101117189544</v>
      </c>
      <c r="E2286" s="372" t="s">
        <v>14604</v>
      </c>
      <c r="F2286" s="372" t="s">
        <v>1367</v>
      </c>
      <c r="G2286" s="375" t="s">
        <v>1367</v>
      </c>
      <c r="H2286" s="375" t="s">
        <v>858</v>
      </c>
      <c r="I2286" s="375" t="s">
        <v>859</v>
      </c>
      <c r="J2286" s="375">
        <v>26450.996660000001</v>
      </c>
      <c r="K2286" s="375">
        <v>1421.47138</v>
      </c>
      <c r="L2286" s="375">
        <v>2159.7847299999999</v>
      </c>
      <c r="M2286" s="375">
        <v>20514.29075</v>
      </c>
      <c r="N2286" s="372">
        <v>0.69399999999999995</v>
      </c>
      <c r="O2286" s="704">
        <v>0.90193114833854815</v>
      </c>
      <c r="P2286" s="563" t="s">
        <v>619</v>
      </c>
      <c r="Q2286" s="372" t="s">
        <v>619</v>
      </c>
      <c r="R2286" s="696">
        <v>20191031</v>
      </c>
      <c r="S2286" s="372" t="s">
        <v>14605</v>
      </c>
      <c r="T2286" s="697">
        <v>0.20900000000000002</v>
      </c>
      <c r="U2286" s="372" t="s">
        <v>14606</v>
      </c>
      <c r="V2286" s="722">
        <v>0</v>
      </c>
      <c r="W2286" s="722">
        <v>0</v>
      </c>
      <c r="X2286" s="722">
        <v>0</v>
      </c>
      <c r="Y2286" s="722">
        <v>0</v>
      </c>
      <c r="Z2286" s="382" t="s">
        <v>924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14607</v>
      </c>
      <c r="B2287" s="372" t="s">
        <v>14608</v>
      </c>
      <c r="C2287" s="372" t="s">
        <v>14609</v>
      </c>
      <c r="D2287" s="374">
        <v>1313110020308</v>
      </c>
      <c r="E2287" s="372" t="s">
        <v>14610</v>
      </c>
      <c r="F2287" s="372" t="s">
        <v>1860</v>
      </c>
      <c r="G2287" s="375" t="s">
        <v>1861</v>
      </c>
      <c r="H2287" s="375" t="s">
        <v>858</v>
      </c>
      <c r="I2287" s="375" t="s">
        <v>859</v>
      </c>
      <c r="J2287" s="375">
        <v>185942.54969000001</v>
      </c>
      <c r="K2287" s="375">
        <v>4715.0946400000003</v>
      </c>
      <c r="L2287" s="375">
        <v>5018.1390000000001</v>
      </c>
      <c r="M2287" s="375">
        <v>58701.456259999999</v>
      </c>
      <c r="N2287" s="372">
        <v>0.89100000000000001</v>
      </c>
      <c r="O2287" s="704">
        <v>139.03676384579893</v>
      </c>
      <c r="P2287" s="563" t="s">
        <v>619</v>
      </c>
      <c r="Q2287" s="372" t="s">
        <v>619</v>
      </c>
      <c r="R2287" s="696">
        <v>20061103</v>
      </c>
      <c r="S2287" s="372" t="s">
        <v>14611</v>
      </c>
      <c r="T2287" s="697">
        <v>0.20900000000000002</v>
      </c>
      <c r="U2287" s="372" t="s">
        <v>14612</v>
      </c>
      <c r="V2287" s="722">
        <v>5.79</v>
      </c>
      <c r="W2287" s="722">
        <v>0.61</v>
      </c>
      <c r="X2287" s="722">
        <v>0.17</v>
      </c>
      <c r="Y2287" s="722">
        <v>6</v>
      </c>
      <c r="Z2287" s="382" t="s">
        <v>924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14613</v>
      </c>
      <c r="B2288" s="372" t="s">
        <v>14614</v>
      </c>
      <c r="C2288" s="372" t="s">
        <v>14615</v>
      </c>
      <c r="D2288" s="374">
        <v>1648110035910</v>
      </c>
      <c r="E2288" s="372" t="s">
        <v>14616</v>
      </c>
      <c r="F2288" s="372" t="s">
        <v>1860</v>
      </c>
      <c r="G2288" s="375" t="s">
        <v>1861</v>
      </c>
      <c r="H2288" s="375" t="s">
        <v>858</v>
      </c>
      <c r="I2288" s="375" t="s">
        <v>859</v>
      </c>
      <c r="J2288" s="375">
        <v>83674.934139999998</v>
      </c>
      <c r="K2288" s="375">
        <v>3801.9185299999999</v>
      </c>
      <c r="L2288" s="375">
        <v>3621.4431199999999</v>
      </c>
      <c r="M2288" s="375">
        <v>21545.48632</v>
      </c>
      <c r="N2288" s="372">
        <v>0.88400000000000001</v>
      </c>
      <c r="O2288" s="704">
        <v>59.487102868766016</v>
      </c>
      <c r="P2288" s="563" t="s">
        <v>619</v>
      </c>
      <c r="Q2288" s="372" t="s">
        <v>619</v>
      </c>
      <c r="R2288" s="696">
        <v>20121122</v>
      </c>
      <c r="S2288" s="372" t="s">
        <v>14617</v>
      </c>
      <c r="T2288" s="697">
        <v>0.20900000000000002</v>
      </c>
      <c r="U2288" s="372" t="s">
        <v>14618</v>
      </c>
      <c r="V2288" s="722">
        <v>5.51</v>
      </c>
      <c r="W2288" s="722">
        <v>1.27</v>
      </c>
      <c r="X2288" s="722">
        <v>0.33</v>
      </c>
      <c r="Y2288" s="722">
        <v>6.99</v>
      </c>
      <c r="Z2288" s="382" t="s">
        <v>924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14619</v>
      </c>
      <c r="B2289" s="372" t="s">
        <v>14620</v>
      </c>
      <c r="C2289" s="372" t="s">
        <v>14621</v>
      </c>
      <c r="D2289" s="374">
        <v>1243110031007</v>
      </c>
      <c r="E2289" s="372" t="s">
        <v>14622</v>
      </c>
      <c r="F2289" s="372" t="s">
        <v>842</v>
      </c>
      <c r="G2289" s="375" t="s">
        <v>842</v>
      </c>
      <c r="H2289" s="375" t="s">
        <v>3096</v>
      </c>
      <c r="I2289" s="375" t="s">
        <v>859</v>
      </c>
      <c r="J2289" s="375">
        <v>18404.559689999998</v>
      </c>
      <c r="K2289" s="375">
        <v>-4804.4310100000002</v>
      </c>
      <c r="L2289" s="375">
        <v>-13812.82836</v>
      </c>
      <c r="M2289" s="375">
        <v>28359.358929999999</v>
      </c>
      <c r="N2289" s="372">
        <v>0.71399999999999997</v>
      </c>
      <c r="O2289" s="704">
        <v>24.53003993672969</v>
      </c>
      <c r="P2289" s="563" t="s">
        <v>619</v>
      </c>
      <c r="Q2289" s="372" t="s">
        <v>619</v>
      </c>
      <c r="R2289" s="696">
        <v>20020709</v>
      </c>
      <c r="S2289" s="372" t="s">
        <v>14623</v>
      </c>
      <c r="T2289" s="697" t="s">
        <v>768</v>
      </c>
      <c r="U2289" s="372" t="s">
        <v>14624</v>
      </c>
      <c r="V2289" s="722" t="s">
        <v>770</v>
      </c>
      <c r="W2289" s="722">
        <v>1.21</v>
      </c>
      <c r="X2289" s="722">
        <v>1.87</v>
      </c>
      <c r="Y2289" s="722" t="s">
        <v>770</v>
      </c>
      <c r="Z2289" s="382" t="s">
        <v>924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14625</v>
      </c>
      <c r="B2290" s="372" t="s">
        <v>14626</v>
      </c>
      <c r="C2290" s="372" t="s">
        <v>14627</v>
      </c>
      <c r="D2290" s="374">
        <v>1243110020000</v>
      </c>
      <c r="E2290" s="372" t="s">
        <v>14628</v>
      </c>
      <c r="F2290" s="372" t="s">
        <v>2831</v>
      </c>
      <c r="G2290" s="375" t="s">
        <v>2831</v>
      </c>
      <c r="H2290" s="375" t="s">
        <v>858</v>
      </c>
      <c r="I2290" s="375" t="s">
        <v>859</v>
      </c>
      <c r="J2290" s="375">
        <v>138927.61817</v>
      </c>
      <c r="K2290" s="375">
        <v>-7187.8668299999999</v>
      </c>
      <c r="L2290" s="375">
        <v>-3378.6250700000001</v>
      </c>
      <c r="M2290" s="375">
        <v>103964.9803</v>
      </c>
      <c r="N2290" s="372">
        <v>0.88</v>
      </c>
      <c r="O2290" s="704">
        <v>31.267303126768219</v>
      </c>
      <c r="P2290" s="563" t="s">
        <v>619</v>
      </c>
      <c r="Q2290" s="372" t="s">
        <v>619</v>
      </c>
      <c r="R2290" s="696">
        <v>20071012</v>
      </c>
      <c r="S2290" s="372" t="s">
        <v>14629</v>
      </c>
      <c r="T2290" s="697" t="s">
        <v>768</v>
      </c>
      <c r="U2290" s="372" t="s">
        <v>14630</v>
      </c>
      <c r="V2290" s="722" t="s">
        <v>770</v>
      </c>
      <c r="W2290" s="722">
        <v>0.71</v>
      </c>
      <c r="X2290" s="722">
        <v>0.52</v>
      </c>
      <c r="Y2290" s="722" t="s">
        <v>770</v>
      </c>
      <c r="Z2290" s="382" t="s">
        <v>924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14631</v>
      </c>
      <c r="B2291" s="372" t="s">
        <v>14632</v>
      </c>
      <c r="C2291" s="372" t="s">
        <v>14633</v>
      </c>
      <c r="D2291" s="374">
        <v>1243110014409</v>
      </c>
      <c r="E2291" s="372" t="s">
        <v>14634</v>
      </c>
      <c r="F2291" s="372" t="s">
        <v>4635</v>
      </c>
      <c r="G2291" s="375" t="s">
        <v>4635</v>
      </c>
      <c r="H2291" s="375" t="s">
        <v>858</v>
      </c>
      <c r="I2291" s="375" t="s">
        <v>859</v>
      </c>
      <c r="J2291" s="375">
        <v>58639.504280000001</v>
      </c>
      <c r="K2291" s="375">
        <v>1925.2697599999999</v>
      </c>
      <c r="L2291" s="375">
        <v>1145.6474800000001</v>
      </c>
      <c r="M2291" s="375">
        <v>76333.988100000002</v>
      </c>
      <c r="N2291" s="372">
        <v>0.60299999999999998</v>
      </c>
      <c r="O2291" s="704">
        <v>107.5941701845327</v>
      </c>
      <c r="P2291" s="563" t="s">
        <v>619</v>
      </c>
      <c r="Q2291" s="372" t="s">
        <v>619</v>
      </c>
      <c r="R2291" s="696">
        <v>20080520</v>
      </c>
      <c r="S2291" s="372" t="s">
        <v>14635</v>
      </c>
      <c r="T2291" s="697">
        <v>0.20900000000000002</v>
      </c>
      <c r="U2291" s="372" t="s">
        <v>14636</v>
      </c>
      <c r="V2291" s="722">
        <v>14.28</v>
      </c>
      <c r="W2291" s="722">
        <v>0.86</v>
      </c>
      <c r="X2291" s="722">
        <v>0.51</v>
      </c>
      <c r="Y2291" s="722">
        <v>24.26</v>
      </c>
      <c r="Z2291" s="382" t="s">
        <v>924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14637</v>
      </c>
      <c r="B2292" s="372" t="s">
        <v>14638</v>
      </c>
      <c r="C2292" s="372" t="s">
        <v>14639</v>
      </c>
      <c r="D2292" s="374">
        <v>1101110171168</v>
      </c>
      <c r="E2292" s="372" t="s">
        <v>14640</v>
      </c>
      <c r="F2292" s="372" t="s">
        <v>3233</v>
      </c>
      <c r="G2292" s="375" t="s">
        <v>3233</v>
      </c>
      <c r="H2292" s="375" t="s">
        <v>858</v>
      </c>
      <c r="I2292" s="375" t="s">
        <v>859</v>
      </c>
      <c r="J2292" s="375">
        <v>28903.576099999998</v>
      </c>
      <c r="K2292" s="375">
        <v>-8655.3178000000007</v>
      </c>
      <c r="L2292" s="375">
        <v>-6873.8538600000002</v>
      </c>
      <c r="M2292" s="375">
        <v>36445.292229999999</v>
      </c>
      <c r="N2292" s="372">
        <v>0.63600000000000001</v>
      </c>
      <c r="O2292" s="704">
        <v>57.06051209481118</v>
      </c>
      <c r="P2292" s="563" t="s">
        <v>619</v>
      </c>
      <c r="Q2292" s="372" t="s">
        <v>619</v>
      </c>
      <c r="R2292" s="696">
        <v>20011218</v>
      </c>
      <c r="S2292" s="372" t="s">
        <v>14641</v>
      </c>
      <c r="T2292" s="697" t="s">
        <v>768</v>
      </c>
      <c r="U2292" s="372" t="s">
        <v>14642</v>
      </c>
      <c r="V2292" s="722" t="s">
        <v>770</v>
      </c>
      <c r="W2292" s="722">
        <v>0.56000000000000005</v>
      </c>
      <c r="X2292" s="722">
        <v>0.73</v>
      </c>
      <c r="Y2292" s="722" t="s">
        <v>770</v>
      </c>
      <c r="Z2292" s="382" t="s">
        <v>924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14643</v>
      </c>
      <c r="B2293" s="372" t="s">
        <v>14644</v>
      </c>
      <c r="C2293" s="372" t="s">
        <v>14645</v>
      </c>
      <c r="D2293" s="374">
        <v>1311110005114</v>
      </c>
      <c r="E2293" s="372" t="s">
        <v>14646</v>
      </c>
      <c r="F2293" s="372" t="s">
        <v>1273</v>
      </c>
      <c r="G2293" s="375" t="s">
        <v>1715</v>
      </c>
      <c r="H2293" s="375" t="s">
        <v>750</v>
      </c>
      <c r="I2293" s="375" t="s">
        <v>751</v>
      </c>
      <c r="J2293" s="375">
        <v>51509.149100000002</v>
      </c>
      <c r="K2293" s="375">
        <v>1170.54422</v>
      </c>
      <c r="L2293" s="375">
        <v>2022.40345</v>
      </c>
      <c r="M2293" s="375">
        <v>38868.096689999998</v>
      </c>
      <c r="N2293" s="372">
        <v>0.85199999999999998</v>
      </c>
      <c r="O2293" s="704">
        <v>78.217102057783123</v>
      </c>
      <c r="P2293" s="563" t="s">
        <v>619</v>
      </c>
      <c r="Q2293" s="372" t="s">
        <v>619</v>
      </c>
      <c r="R2293" s="696">
        <v>19900324</v>
      </c>
      <c r="S2293" s="372" t="s">
        <v>14647</v>
      </c>
      <c r="T2293" s="697">
        <v>0.20900000000000002</v>
      </c>
      <c r="U2293" s="372" t="s">
        <v>14648</v>
      </c>
      <c r="V2293" s="722">
        <v>16.190000000000001</v>
      </c>
      <c r="W2293" s="722">
        <v>0.72</v>
      </c>
      <c r="X2293" s="722">
        <v>0.56000000000000005</v>
      </c>
      <c r="Y2293" s="722">
        <v>15.99</v>
      </c>
      <c r="Z2293" s="382" t="s">
        <v>924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14649</v>
      </c>
      <c r="B2294" s="372" t="s">
        <v>14650</v>
      </c>
      <c r="C2294" s="372" t="s">
        <v>14651</v>
      </c>
      <c r="D2294" s="374">
        <v>1101118365862</v>
      </c>
      <c r="E2294" s="372" t="s">
        <v>14652</v>
      </c>
      <c r="F2294" s="372" t="s">
        <v>1140</v>
      </c>
      <c r="G2294" s="375" t="s">
        <v>1141</v>
      </c>
      <c r="H2294" s="375" t="s">
        <v>892</v>
      </c>
      <c r="I2294" s="375" t="s">
        <v>859</v>
      </c>
      <c r="J2294" s="375">
        <v>0</v>
      </c>
      <c r="K2294" s="375">
        <v>-66.311790000000002</v>
      </c>
      <c r="L2294" s="375">
        <v>1155.56819</v>
      </c>
      <c r="M2294" s="375">
        <v>34238.083709999999</v>
      </c>
      <c r="N2294" s="372">
        <v>0.38300000000000001</v>
      </c>
      <c r="O2294" s="704">
        <v>8.5250954863117023</v>
      </c>
      <c r="P2294" s="563" t="s">
        <v>619</v>
      </c>
      <c r="Q2294" s="372" t="s">
        <v>619</v>
      </c>
      <c r="R2294" s="696">
        <v>20221026</v>
      </c>
      <c r="S2294" s="372" t="s">
        <v>9015</v>
      </c>
      <c r="T2294" s="697">
        <v>0.20900000000000002</v>
      </c>
      <c r="U2294" s="372">
        <v>0</v>
      </c>
      <c r="V2294" s="722">
        <v>0</v>
      </c>
      <c r="W2294" s="722">
        <v>0</v>
      </c>
      <c r="X2294" s="722">
        <v>0</v>
      </c>
      <c r="Y2294" s="722">
        <v>0</v>
      </c>
      <c r="Z2294" s="382" t="s">
        <v>770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14653</v>
      </c>
      <c r="B2295" s="372" t="s">
        <v>14654</v>
      </c>
      <c r="C2295" s="372" t="s">
        <v>14655</v>
      </c>
      <c r="D2295" s="374">
        <v>1350110096608</v>
      </c>
      <c r="E2295" s="372" t="s">
        <v>14656</v>
      </c>
      <c r="F2295" s="372" t="s">
        <v>1300</v>
      </c>
      <c r="G2295" s="375" t="s">
        <v>1300</v>
      </c>
      <c r="H2295" s="375" t="s">
        <v>858</v>
      </c>
      <c r="I2295" s="375" t="s">
        <v>859</v>
      </c>
      <c r="J2295" s="375">
        <v>31237.307779999999</v>
      </c>
      <c r="K2295" s="375">
        <v>-414.03904999999997</v>
      </c>
      <c r="L2295" s="375">
        <v>7.84138</v>
      </c>
      <c r="M2295" s="375">
        <v>14328.996440000001</v>
      </c>
      <c r="N2295" s="372">
        <v>0.69499999999999995</v>
      </c>
      <c r="O2295" s="704">
        <v>9.9442845240265143</v>
      </c>
      <c r="P2295" s="563" t="s">
        <v>619</v>
      </c>
      <c r="Q2295" s="372" t="s">
        <v>619</v>
      </c>
      <c r="R2295" s="696">
        <v>20080918</v>
      </c>
      <c r="S2295" s="372" t="s">
        <v>14657</v>
      </c>
      <c r="T2295" s="697">
        <v>9.9000000000000005E-2</v>
      </c>
      <c r="U2295" s="372" t="s">
        <v>14658</v>
      </c>
      <c r="V2295" s="722">
        <v>97.93</v>
      </c>
      <c r="W2295" s="722">
        <v>2.06</v>
      </c>
      <c r="X2295" s="722">
        <v>0.94</v>
      </c>
      <c r="Y2295" s="722">
        <v>127.68</v>
      </c>
      <c r="Z2295" s="382" t="s">
        <v>924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14659</v>
      </c>
      <c r="B2296" s="372" t="s">
        <v>14660</v>
      </c>
      <c r="C2296" s="372" t="s">
        <v>14661</v>
      </c>
      <c r="D2296" s="374">
        <v>1101114481282</v>
      </c>
      <c r="E2296" s="372" t="s">
        <v>14662</v>
      </c>
      <c r="F2296" s="372" t="s">
        <v>16098</v>
      </c>
      <c r="G2296" s="375" t="s">
        <v>16098</v>
      </c>
      <c r="H2296" s="375" t="s">
        <v>858</v>
      </c>
      <c r="I2296" s="375" t="s">
        <v>859</v>
      </c>
      <c r="J2296" s="375">
        <v>6012.1251300000004</v>
      </c>
      <c r="K2296" s="375">
        <v>-2844.8323599999999</v>
      </c>
      <c r="L2296" s="375">
        <v>21911.102350000001</v>
      </c>
      <c r="M2296" s="375">
        <v>37496.173519999997</v>
      </c>
      <c r="N2296" s="372">
        <v>1.53</v>
      </c>
      <c r="O2296" s="704">
        <v>1.8836748805761301</v>
      </c>
      <c r="P2296" s="563" t="s">
        <v>619</v>
      </c>
      <c r="Q2296" s="372" t="s">
        <v>619</v>
      </c>
      <c r="R2296" s="696">
        <v>20200821</v>
      </c>
      <c r="S2296" s="372" t="s">
        <v>14663</v>
      </c>
      <c r="T2296" s="697">
        <v>0.23100000000000001</v>
      </c>
      <c r="U2296" s="372" t="s">
        <v>14664</v>
      </c>
      <c r="V2296" s="722" t="s">
        <v>770</v>
      </c>
      <c r="W2296" s="722">
        <v>0.93</v>
      </c>
      <c r="X2296" s="722">
        <v>5.82</v>
      </c>
      <c r="Y2296" s="722">
        <v>1.6</v>
      </c>
      <c r="Z2296" s="382" t="s">
        <v>924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14665</v>
      </c>
      <c r="B2297" s="372" t="s">
        <v>14666</v>
      </c>
      <c r="C2297" s="372" t="s">
        <v>14667</v>
      </c>
      <c r="D2297" s="374">
        <v>0</v>
      </c>
      <c r="E2297" s="372" t="s">
        <v>14668</v>
      </c>
      <c r="F2297" s="372" t="s">
        <v>890</v>
      </c>
      <c r="G2297" s="375" t="s">
        <v>891</v>
      </c>
      <c r="H2297" s="375">
        <v>0</v>
      </c>
      <c r="I2297" s="375" t="s">
        <v>859</v>
      </c>
      <c r="J2297" s="375">
        <v>66658.553</v>
      </c>
      <c r="K2297" s="375">
        <v>16906.359</v>
      </c>
      <c r="L2297" s="375">
        <v>21096.665000000001</v>
      </c>
      <c r="M2297" s="375">
        <v>448054.73700000002</v>
      </c>
      <c r="N2297" s="372">
        <v>0.85399999999999998</v>
      </c>
      <c r="O2297" s="704">
        <v>0.54165536819370808</v>
      </c>
      <c r="P2297" s="563" t="s">
        <v>619</v>
      </c>
      <c r="Q2297" s="372" t="s">
        <v>619</v>
      </c>
      <c r="R2297" s="696">
        <v>20100331</v>
      </c>
      <c r="S2297" s="372" t="s">
        <v>14669</v>
      </c>
      <c r="T2297" s="697">
        <v>0.23100000000000001</v>
      </c>
      <c r="U2297" s="372" t="s">
        <v>14670</v>
      </c>
      <c r="V2297" s="722">
        <v>0.8</v>
      </c>
      <c r="W2297" s="722">
        <v>7.0000000000000007E-2</v>
      </c>
      <c r="X2297" s="722">
        <v>0.38</v>
      </c>
      <c r="Y2297" s="722">
        <v>1.21</v>
      </c>
      <c r="Z2297" s="382" t="s">
        <v>924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14671</v>
      </c>
      <c r="B2298" s="372" t="s">
        <v>14672</v>
      </c>
      <c r="C2298" s="372" t="s">
        <v>14673</v>
      </c>
      <c r="D2298" s="374">
        <v>2043110000419</v>
      </c>
      <c r="E2298" s="372" t="s">
        <v>14674</v>
      </c>
      <c r="F2298" s="372" t="s">
        <v>1272</v>
      </c>
      <c r="G2298" s="375" t="s">
        <v>1272</v>
      </c>
      <c r="H2298" s="375" t="s">
        <v>858</v>
      </c>
      <c r="I2298" s="375" t="s">
        <v>859</v>
      </c>
      <c r="J2298" s="375">
        <v>27486.60629</v>
      </c>
      <c r="K2298" s="375">
        <v>-4702.6798399999998</v>
      </c>
      <c r="L2298" s="375">
        <v>-3417.4503500000001</v>
      </c>
      <c r="M2298" s="375">
        <v>17337.807079999999</v>
      </c>
      <c r="N2298" s="372" t="s">
        <v>1023</v>
      </c>
      <c r="O2298" s="704">
        <v>43.977539641399879</v>
      </c>
      <c r="P2298" s="563" t="s">
        <v>16112</v>
      </c>
      <c r="Q2298" s="372" t="s">
        <v>16113</v>
      </c>
      <c r="R2298" s="696">
        <v>20011120</v>
      </c>
      <c r="S2298" s="372" t="s">
        <v>14675</v>
      </c>
      <c r="T2298" s="697" t="s">
        <v>768</v>
      </c>
      <c r="U2298" s="372" t="s">
        <v>15964</v>
      </c>
      <c r="V2298" s="722" t="s">
        <v>770</v>
      </c>
      <c r="W2298" s="722">
        <v>2.2999999999999998</v>
      </c>
      <c r="X2298" s="722">
        <v>1.29</v>
      </c>
      <c r="Y2298" s="722" t="s">
        <v>770</v>
      </c>
      <c r="Z2298" s="382" t="s">
        <v>924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14676</v>
      </c>
      <c r="B2299" s="372" t="s">
        <v>14677</v>
      </c>
      <c r="C2299" s="372" t="s">
        <v>14678</v>
      </c>
      <c r="D2299" s="374">
        <v>1101116902393</v>
      </c>
      <c r="E2299" s="372" t="s">
        <v>14679</v>
      </c>
      <c r="F2299" s="372" t="s">
        <v>877</v>
      </c>
      <c r="G2299" s="375" t="s">
        <v>877</v>
      </c>
      <c r="H2299" s="375" t="s">
        <v>858</v>
      </c>
      <c r="I2299" s="375" t="s">
        <v>859</v>
      </c>
      <c r="J2299" s="375">
        <v>104506.07966</v>
      </c>
      <c r="K2299" s="375">
        <v>5279.0678600000001</v>
      </c>
      <c r="L2299" s="375">
        <v>1721.18714</v>
      </c>
      <c r="M2299" s="375">
        <v>51741.385249999999</v>
      </c>
      <c r="N2299" s="372">
        <v>0.64400000000000002</v>
      </c>
      <c r="O2299" s="704">
        <v>111.35437600659314</v>
      </c>
      <c r="P2299" s="563" t="s">
        <v>619</v>
      </c>
      <c r="Q2299" s="372" t="s">
        <v>619</v>
      </c>
      <c r="R2299" s="696">
        <v>20181220</v>
      </c>
      <c r="S2299" s="372" t="s">
        <v>14680</v>
      </c>
      <c r="T2299" s="697">
        <v>0.20900000000000002</v>
      </c>
      <c r="U2299" s="372" t="s">
        <v>14681</v>
      </c>
      <c r="V2299" s="722">
        <v>4.95</v>
      </c>
      <c r="W2299" s="722">
        <v>0.45</v>
      </c>
      <c r="X2299" s="722">
        <v>0.22</v>
      </c>
      <c r="Y2299" s="722">
        <v>14.38</v>
      </c>
      <c r="Z2299" s="382" t="s">
        <v>924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14682</v>
      </c>
      <c r="B2300" s="372" t="s">
        <v>14683</v>
      </c>
      <c r="C2300" s="372" t="s">
        <v>14684</v>
      </c>
      <c r="D2300" s="374">
        <v>1101111487267</v>
      </c>
      <c r="E2300" s="372" t="s">
        <v>14685</v>
      </c>
      <c r="F2300" s="372" t="s">
        <v>1367</v>
      </c>
      <c r="G2300" s="375" t="s">
        <v>1367</v>
      </c>
      <c r="H2300" s="375" t="s">
        <v>858</v>
      </c>
      <c r="I2300" s="375" t="s">
        <v>859</v>
      </c>
      <c r="J2300" s="375">
        <v>32533.060270000002</v>
      </c>
      <c r="K2300" s="375">
        <v>-2246.88051</v>
      </c>
      <c r="L2300" s="375">
        <v>-2594.7341099999999</v>
      </c>
      <c r="M2300" s="375">
        <v>35882.336719999999</v>
      </c>
      <c r="N2300" s="372">
        <v>0.73299999999999998</v>
      </c>
      <c r="O2300" s="704">
        <v>1.1195409163054852</v>
      </c>
      <c r="P2300" s="563" t="s">
        <v>619</v>
      </c>
      <c r="Q2300" s="372" t="s">
        <v>619</v>
      </c>
      <c r="R2300" s="696">
        <v>20011009</v>
      </c>
      <c r="S2300" s="372" t="s">
        <v>14686</v>
      </c>
      <c r="T2300" s="697" t="s">
        <v>768</v>
      </c>
      <c r="U2300" s="372" t="s">
        <v>14687</v>
      </c>
      <c r="V2300" s="722">
        <v>0</v>
      </c>
      <c r="W2300" s="722">
        <v>0</v>
      </c>
      <c r="X2300" s="722">
        <v>0</v>
      </c>
      <c r="Y2300" s="722">
        <v>0</v>
      </c>
      <c r="Z2300" s="382" t="s">
        <v>924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14688</v>
      </c>
      <c r="B2301" s="372" t="s">
        <v>14689</v>
      </c>
      <c r="C2301" s="372" t="s">
        <v>14690</v>
      </c>
      <c r="D2301" s="374">
        <v>1101113197088</v>
      </c>
      <c r="E2301" s="372" t="s">
        <v>14691</v>
      </c>
      <c r="F2301" s="372" t="s">
        <v>14692</v>
      </c>
      <c r="G2301" s="375" t="s">
        <v>14692</v>
      </c>
      <c r="H2301" s="375" t="s">
        <v>858</v>
      </c>
      <c r="I2301" s="375" t="s">
        <v>859</v>
      </c>
      <c r="J2301" s="375">
        <v>38482.804219999998</v>
      </c>
      <c r="K2301" s="375">
        <v>-7253.3887599999998</v>
      </c>
      <c r="L2301" s="375">
        <v>-10782.720960000001</v>
      </c>
      <c r="M2301" s="375">
        <v>35950.807070000003</v>
      </c>
      <c r="N2301" s="372">
        <v>0.52700000000000002</v>
      </c>
      <c r="O2301" s="704">
        <v>154.6272098852636</v>
      </c>
      <c r="P2301" s="563" t="s">
        <v>619</v>
      </c>
      <c r="Q2301" s="372" t="s">
        <v>619</v>
      </c>
      <c r="R2301" s="696">
        <v>20220224</v>
      </c>
      <c r="S2301" s="372" t="s">
        <v>14693</v>
      </c>
      <c r="T2301" s="697" t="s">
        <v>768</v>
      </c>
      <c r="U2301" s="372" t="s">
        <v>14694</v>
      </c>
      <c r="V2301" s="722" t="s">
        <v>770</v>
      </c>
      <c r="W2301" s="722">
        <v>0.7</v>
      </c>
      <c r="X2301" s="722">
        <v>0.67</v>
      </c>
      <c r="Y2301" s="722" t="s">
        <v>770</v>
      </c>
      <c r="Z2301" s="382" t="s">
        <v>924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14695</v>
      </c>
      <c r="B2302" s="372" t="s">
        <v>14696</v>
      </c>
      <c r="C2302" s="372" t="s">
        <v>14697</v>
      </c>
      <c r="D2302" s="374">
        <v>1601110031099</v>
      </c>
      <c r="E2302" s="372" t="s">
        <v>14698</v>
      </c>
      <c r="F2302" s="372" t="s">
        <v>2861</v>
      </c>
      <c r="G2302" s="375" t="s">
        <v>12567</v>
      </c>
      <c r="H2302" s="375" t="s">
        <v>858</v>
      </c>
      <c r="I2302" s="375" t="s">
        <v>859</v>
      </c>
      <c r="J2302" s="375">
        <v>28577.43115</v>
      </c>
      <c r="K2302" s="375">
        <v>1497.7645199999999</v>
      </c>
      <c r="L2302" s="375">
        <v>1614.8258499999999</v>
      </c>
      <c r="M2302" s="375">
        <v>38837.471429999998</v>
      </c>
      <c r="N2302" s="372">
        <v>0.751</v>
      </c>
      <c r="O2302" s="704">
        <v>1.9737463924425886</v>
      </c>
      <c r="P2302" s="563" t="s">
        <v>619</v>
      </c>
      <c r="Q2302" s="372" t="s">
        <v>619</v>
      </c>
      <c r="R2302" s="696">
        <v>20020111</v>
      </c>
      <c r="S2302" s="372" t="s">
        <v>14699</v>
      </c>
      <c r="T2302" s="697">
        <v>0.20900000000000002</v>
      </c>
      <c r="U2302" s="372" t="s">
        <v>14700</v>
      </c>
      <c r="V2302" s="722">
        <v>14.36</v>
      </c>
      <c r="W2302" s="722">
        <v>0.67</v>
      </c>
      <c r="X2302" s="722">
        <v>0.98</v>
      </c>
      <c r="Y2302" s="722">
        <v>21.15</v>
      </c>
      <c r="Z2302" s="382" t="s">
        <v>924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14701</v>
      </c>
      <c r="B2303" s="372" t="s">
        <v>14702</v>
      </c>
      <c r="C2303" s="372" t="s">
        <v>14703</v>
      </c>
      <c r="D2303" s="374">
        <v>1801110145953</v>
      </c>
      <c r="E2303" s="372" t="s">
        <v>14704</v>
      </c>
      <c r="F2303" s="372" t="s">
        <v>14705</v>
      </c>
      <c r="G2303" s="375" t="s">
        <v>14706</v>
      </c>
      <c r="H2303" s="375" t="s">
        <v>858</v>
      </c>
      <c r="I2303" s="375" t="s">
        <v>859</v>
      </c>
      <c r="J2303" s="375">
        <v>35484.135179999997</v>
      </c>
      <c r="K2303" s="375">
        <v>891.73907999999994</v>
      </c>
      <c r="L2303" s="375">
        <v>-2038.0272</v>
      </c>
      <c r="M2303" s="375">
        <v>109316.5733</v>
      </c>
      <c r="N2303" s="372">
        <v>0.90800000000000003</v>
      </c>
      <c r="O2303" s="704">
        <v>29.507471015719698</v>
      </c>
      <c r="P2303" s="563" t="s">
        <v>619</v>
      </c>
      <c r="Q2303" s="372" t="s">
        <v>619</v>
      </c>
      <c r="R2303" s="696">
        <v>20001024</v>
      </c>
      <c r="S2303" s="372" t="s">
        <v>14707</v>
      </c>
      <c r="T2303" s="697" t="s">
        <v>768</v>
      </c>
      <c r="U2303" s="372" t="s">
        <v>14708</v>
      </c>
      <c r="V2303" s="722">
        <v>0</v>
      </c>
      <c r="W2303" s="722">
        <v>0</v>
      </c>
      <c r="X2303" s="722">
        <v>0</v>
      </c>
      <c r="Y2303" s="722">
        <v>0</v>
      </c>
      <c r="Z2303" s="382" t="s">
        <v>924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14709</v>
      </c>
      <c r="B2304" s="372" t="s">
        <v>14710</v>
      </c>
      <c r="C2304" s="372" t="s">
        <v>14711</v>
      </c>
      <c r="D2304" s="374">
        <v>1101110522311</v>
      </c>
      <c r="E2304" s="372" t="s">
        <v>14712</v>
      </c>
      <c r="F2304" s="372" t="s">
        <v>2278</v>
      </c>
      <c r="G2304" s="375" t="s">
        <v>5093</v>
      </c>
      <c r="H2304" s="375" t="s">
        <v>858</v>
      </c>
      <c r="I2304" s="375" t="s">
        <v>859</v>
      </c>
      <c r="J2304" s="375">
        <v>61871.257819999999</v>
      </c>
      <c r="K2304" s="375">
        <v>36.17436</v>
      </c>
      <c r="L2304" s="375">
        <v>421.45776000000001</v>
      </c>
      <c r="M2304" s="375">
        <v>44367.960749999998</v>
      </c>
      <c r="N2304" s="372">
        <v>0.68200000000000005</v>
      </c>
      <c r="O2304" s="704">
        <v>15.604424324625707</v>
      </c>
      <c r="P2304" s="563" t="s">
        <v>619</v>
      </c>
      <c r="Q2304" s="372" t="s">
        <v>619</v>
      </c>
      <c r="R2304" s="696">
        <v>20001010</v>
      </c>
      <c r="S2304" s="372" t="s">
        <v>14713</v>
      </c>
      <c r="T2304" s="697">
        <v>0.20900000000000002</v>
      </c>
      <c r="U2304" s="372" t="s">
        <v>14714</v>
      </c>
      <c r="V2304" s="722">
        <v>4.3600000000000003</v>
      </c>
      <c r="W2304" s="722">
        <v>0.52</v>
      </c>
      <c r="X2304" s="722">
        <v>0.37</v>
      </c>
      <c r="Y2304" s="722" t="s">
        <v>770</v>
      </c>
      <c r="Z2304" s="382" t="s">
        <v>924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14715</v>
      </c>
      <c r="B2305" s="372" t="s">
        <v>14716</v>
      </c>
      <c r="C2305" s="372" t="s">
        <v>14717</v>
      </c>
      <c r="D2305" s="374">
        <v>1101110922214</v>
      </c>
      <c r="E2305" s="372" t="s">
        <v>14718</v>
      </c>
      <c r="F2305" s="372" t="s">
        <v>1354</v>
      </c>
      <c r="G2305" s="375" t="s">
        <v>1354</v>
      </c>
      <c r="H2305" s="375" t="s">
        <v>858</v>
      </c>
      <c r="I2305" s="375" t="s">
        <v>859</v>
      </c>
      <c r="J2305" s="375">
        <v>78351.278149999998</v>
      </c>
      <c r="K2305" s="375">
        <v>4049.8204900000001</v>
      </c>
      <c r="L2305" s="375">
        <v>3718.8230400000002</v>
      </c>
      <c r="M2305" s="375">
        <v>53915.440029999998</v>
      </c>
      <c r="N2305" s="372">
        <v>0.751</v>
      </c>
      <c r="O2305" s="704">
        <v>22.598778679570206</v>
      </c>
      <c r="P2305" s="563" t="s">
        <v>619</v>
      </c>
      <c r="Q2305" s="372" t="s">
        <v>619</v>
      </c>
      <c r="R2305" s="696">
        <v>19970818</v>
      </c>
      <c r="S2305" s="372" t="s">
        <v>14719</v>
      </c>
      <c r="T2305" s="697">
        <v>0.20900000000000002</v>
      </c>
      <c r="U2305" s="372" t="s">
        <v>14720</v>
      </c>
      <c r="V2305" s="722">
        <v>3.99</v>
      </c>
      <c r="W2305" s="722">
        <v>0.55000000000000004</v>
      </c>
      <c r="X2305" s="722">
        <v>0.39</v>
      </c>
      <c r="Y2305" s="722">
        <v>10.220000000000001</v>
      </c>
      <c r="Z2305" s="382" t="s">
        <v>924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14721</v>
      </c>
      <c r="B2306" s="372" t="s">
        <v>14722</v>
      </c>
      <c r="C2306" s="372" t="s">
        <v>14723</v>
      </c>
      <c r="D2306" s="374">
        <v>1101114969189</v>
      </c>
      <c r="E2306" s="372" t="s">
        <v>14724</v>
      </c>
      <c r="F2306" s="372" t="s">
        <v>1793</v>
      </c>
      <c r="G2306" s="375" t="s">
        <v>1794</v>
      </c>
      <c r="H2306" s="375" t="s">
        <v>858</v>
      </c>
      <c r="I2306" s="375" t="s">
        <v>859</v>
      </c>
      <c r="J2306" s="375">
        <v>6928.3530000000001</v>
      </c>
      <c r="K2306" s="375">
        <v>-10126.191709999999</v>
      </c>
      <c r="L2306" s="375">
        <v>-11072.314270000001</v>
      </c>
      <c r="M2306" s="375">
        <v>8918.82798</v>
      </c>
      <c r="N2306" s="372">
        <v>0.48099999999999998</v>
      </c>
      <c r="O2306" s="704">
        <v>5.0091630159403273</v>
      </c>
      <c r="P2306" s="563" t="s">
        <v>619</v>
      </c>
      <c r="Q2306" s="372" t="s">
        <v>619</v>
      </c>
      <c r="R2306" s="696">
        <v>20210323</v>
      </c>
      <c r="S2306" s="372" t="s">
        <v>14725</v>
      </c>
      <c r="T2306" s="697" t="s">
        <v>768</v>
      </c>
      <c r="U2306" s="372" t="s">
        <v>14726</v>
      </c>
      <c r="V2306" s="722" t="s">
        <v>770</v>
      </c>
      <c r="W2306" s="722">
        <v>6.47</v>
      </c>
      <c r="X2306" s="722">
        <v>6.4</v>
      </c>
      <c r="Y2306" s="722" t="s">
        <v>770</v>
      </c>
      <c r="Z2306" s="382" t="s">
        <v>924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14727</v>
      </c>
      <c r="B2307" s="372" t="s">
        <v>14728</v>
      </c>
      <c r="C2307" s="372" t="s">
        <v>14729</v>
      </c>
      <c r="D2307" s="374">
        <v>1243110006042</v>
      </c>
      <c r="E2307" s="372" t="s">
        <v>14730</v>
      </c>
      <c r="F2307" s="372" t="s">
        <v>3240</v>
      </c>
      <c r="G2307" s="375" t="s">
        <v>14731</v>
      </c>
      <c r="H2307" s="375" t="s">
        <v>814</v>
      </c>
      <c r="I2307" s="375" t="s">
        <v>751</v>
      </c>
      <c r="J2307" s="375">
        <v>10721.12707</v>
      </c>
      <c r="K2307" s="375">
        <v>-3270.9807500000002</v>
      </c>
      <c r="L2307" s="375">
        <v>-4875.1053499999998</v>
      </c>
      <c r="M2307" s="375">
        <v>39036.33279</v>
      </c>
      <c r="N2307" s="372">
        <v>0.72899999999999998</v>
      </c>
      <c r="O2307" s="704">
        <v>97.539523267281197</v>
      </c>
      <c r="P2307" s="563" t="s">
        <v>619</v>
      </c>
      <c r="Q2307" s="372" t="s">
        <v>619</v>
      </c>
      <c r="R2307" s="696">
        <v>19881223</v>
      </c>
      <c r="S2307" s="372" t="s">
        <v>14732</v>
      </c>
      <c r="T2307" s="697" t="s">
        <v>768</v>
      </c>
      <c r="U2307" s="372" t="s">
        <v>14733</v>
      </c>
      <c r="V2307" s="722">
        <v>0</v>
      </c>
      <c r="W2307" s="722">
        <v>0</v>
      </c>
      <c r="X2307" s="722">
        <v>0</v>
      </c>
      <c r="Y2307" s="722">
        <v>0</v>
      </c>
      <c r="Z2307" s="382" t="s">
        <v>924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14734</v>
      </c>
      <c r="B2308" s="372" t="s">
        <v>14735</v>
      </c>
      <c r="C2308" s="372" t="s">
        <v>14736</v>
      </c>
      <c r="D2308" s="374">
        <v>1101111643736</v>
      </c>
      <c r="E2308" s="372" t="s">
        <v>14737</v>
      </c>
      <c r="F2308" s="372" t="s">
        <v>1793</v>
      </c>
      <c r="G2308" s="375" t="s">
        <v>1794</v>
      </c>
      <c r="H2308" s="375" t="s">
        <v>858</v>
      </c>
      <c r="I2308" s="375" t="s">
        <v>859</v>
      </c>
      <c r="J2308" s="375">
        <v>5936.3463499999998</v>
      </c>
      <c r="K2308" s="375">
        <v>-3864.0918700000002</v>
      </c>
      <c r="L2308" s="375">
        <v>-15365.730079999999</v>
      </c>
      <c r="M2308" s="375">
        <v>10941.4643</v>
      </c>
      <c r="N2308" s="372">
        <v>1.1499999999999999</v>
      </c>
      <c r="O2308" s="704">
        <v>55.257422728865492</v>
      </c>
      <c r="P2308" s="563" t="s">
        <v>619</v>
      </c>
      <c r="Q2308" s="372" t="s">
        <v>619</v>
      </c>
      <c r="R2308" s="696">
        <v>20131206</v>
      </c>
      <c r="S2308" s="372" t="s">
        <v>14738</v>
      </c>
      <c r="T2308" s="697" t="s">
        <v>768</v>
      </c>
      <c r="U2308" s="372" t="s">
        <v>14739</v>
      </c>
      <c r="V2308" s="722" t="s">
        <v>770</v>
      </c>
      <c r="W2308" s="722">
        <v>2.4300000000000002</v>
      </c>
      <c r="X2308" s="722">
        <v>6.79</v>
      </c>
      <c r="Y2308" s="722" t="s">
        <v>770</v>
      </c>
      <c r="Z2308" s="382" t="s">
        <v>924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14740</v>
      </c>
      <c r="B2309" s="372" t="s">
        <v>14741</v>
      </c>
      <c r="C2309" s="372" t="s">
        <v>14742</v>
      </c>
      <c r="D2309" s="374">
        <v>1101115551646</v>
      </c>
      <c r="E2309" s="372" t="s">
        <v>14743</v>
      </c>
      <c r="F2309" s="372" t="s">
        <v>2029</v>
      </c>
      <c r="G2309" s="375" t="s">
        <v>14744</v>
      </c>
      <c r="H2309" s="375" t="s">
        <v>1528</v>
      </c>
      <c r="I2309" s="375" t="s">
        <v>859</v>
      </c>
      <c r="J2309" s="375">
        <v>6139.0352300000004</v>
      </c>
      <c r="K2309" s="375">
        <v>-3765.3212199999998</v>
      </c>
      <c r="L2309" s="375">
        <v>-4444.3887500000001</v>
      </c>
      <c r="M2309" s="375">
        <v>3483.8319900000001</v>
      </c>
      <c r="N2309" s="372">
        <v>0.80100000000000005</v>
      </c>
      <c r="O2309" s="704">
        <v>19.01383680972663</v>
      </c>
      <c r="P2309" s="563" t="s">
        <v>619</v>
      </c>
      <c r="Q2309" s="372" t="s">
        <v>619</v>
      </c>
      <c r="R2309" s="696">
        <v>20191029</v>
      </c>
      <c r="S2309" s="372" t="s">
        <v>14745</v>
      </c>
      <c r="T2309" s="697" t="s">
        <v>768</v>
      </c>
      <c r="U2309" s="372" t="s">
        <v>14746</v>
      </c>
      <c r="V2309" s="722" t="s">
        <v>770</v>
      </c>
      <c r="W2309" s="722">
        <v>5.81</v>
      </c>
      <c r="X2309" s="722">
        <v>4.07</v>
      </c>
      <c r="Y2309" s="722" t="s">
        <v>770</v>
      </c>
      <c r="Z2309" s="382" t="s">
        <v>924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14747</v>
      </c>
      <c r="B2310" s="372" t="s">
        <v>14748</v>
      </c>
      <c r="C2310" s="372" t="s">
        <v>14749</v>
      </c>
      <c r="D2310" s="374">
        <v>1101110100951</v>
      </c>
      <c r="E2310" s="372" t="s">
        <v>14750</v>
      </c>
      <c r="F2310" s="372" t="s">
        <v>5766</v>
      </c>
      <c r="G2310" s="375" t="s">
        <v>5766</v>
      </c>
      <c r="H2310" s="375" t="s">
        <v>814</v>
      </c>
      <c r="I2310" s="375" t="s">
        <v>751</v>
      </c>
      <c r="J2310" s="375">
        <v>10679.358410000001</v>
      </c>
      <c r="K2310" s="375">
        <v>1447.6464800000001</v>
      </c>
      <c r="L2310" s="375">
        <v>-10404.62595</v>
      </c>
      <c r="M2310" s="375">
        <v>60688.158060000002</v>
      </c>
      <c r="N2310" s="372">
        <v>1.073</v>
      </c>
      <c r="O2310" s="704">
        <v>61.627493843706084</v>
      </c>
      <c r="P2310" s="563" t="s">
        <v>619</v>
      </c>
      <c r="Q2310" s="372" t="s">
        <v>619</v>
      </c>
      <c r="R2310" s="696">
        <v>19991126</v>
      </c>
      <c r="S2310" s="372" t="s">
        <v>14751</v>
      </c>
      <c r="T2310" s="697" t="s">
        <v>768</v>
      </c>
      <c r="U2310" s="372" t="s">
        <v>14752</v>
      </c>
      <c r="V2310" s="722">
        <v>0</v>
      </c>
      <c r="W2310" s="722">
        <v>0</v>
      </c>
      <c r="X2310" s="722">
        <v>0</v>
      </c>
      <c r="Y2310" s="722">
        <v>0</v>
      </c>
      <c r="Z2310" s="382" t="s">
        <v>924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14753</v>
      </c>
      <c r="B2311" s="372" t="s">
        <v>14754</v>
      </c>
      <c r="C2311" s="372" t="s">
        <v>14755</v>
      </c>
      <c r="D2311" s="374">
        <v>1412110004279</v>
      </c>
      <c r="E2311" s="372" t="s">
        <v>14756</v>
      </c>
      <c r="F2311" s="372" t="s">
        <v>2861</v>
      </c>
      <c r="G2311" s="375" t="s">
        <v>12567</v>
      </c>
      <c r="H2311" s="375" t="s">
        <v>858</v>
      </c>
      <c r="I2311" s="375" t="s">
        <v>859</v>
      </c>
      <c r="J2311" s="375">
        <v>44052.634050000001</v>
      </c>
      <c r="K2311" s="375">
        <v>326.68198999999998</v>
      </c>
      <c r="L2311" s="375">
        <v>-2078.7562600000001</v>
      </c>
      <c r="M2311" s="375">
        <v>21786.501899999999</v>
      </c>
      <c r="N2311" s="372">
        <v>0.51600000000000001</v>
      </c>
      <c r="O2311" s="704">
        <v>129.4383442013042</v>
      </c>
      <c r="P2311" s="563" t="s">
        <v>619</v>
      </c>
      <c r="Q2311" s="372" t="s">
        <v>619</v>
      </c>
      <c r="R2311" s="696">
        <v>20020201</v>
      </c>
      <c r="S2311" s="372" t="s">
        <v>14757</v>
      </c>
      <c r="T2311" s="697" t="s">
        <v>768</v>
      </c>
      <c r="U2311" s="372" t="s">
        <v>14758</v>
      </c>
      <c r="V2311" s="722">
        <v>12.93</v>
      </c>
      <c r="W2311" s="722">
        <v>0.77</v>
      </c>
      <c r="X2311" s="722">
        <v>0.26</v>
      </c>
      <c r="Y2311" s="722" t="s">
        <v>770</v>
      </c>
      <c r="Z2311" s="382" t="s">
        <v>924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14759</v>
      </c>
      <c r="B2312" s="372" t="s">
        <v>14760</v>
      </c>
      <c r="C2312" s="372" t="s">
        <v>14761</v>
      </c>
      <c r="D2312" s="374">
        <v>1243110017841</v>
      </c>
      <c r="E2312" s="372" t="s">
        <v>14762</v>
      </c>
      <c r="F2312" s="372" t="s">
        <v>5622</v>
      </c>
      <c r="G2312" s="375" t="s">
        <v>5622</v>
      </c>
      <c r="H2312" s="375" t="s">
        <v>750</v>
      </c>
      <c r="I2312" s="375" t="s">
        <v>751</v>
      </c>
      <c r="J2312" s="375">
        <v>5186.3860800000002</v>
      </c>
      <c r="K2312" s="375">
        <v>-7636.4330900000004</v>
      </c>
      <c r="L2312" s="375">
        <v>-10178.030479999999</v>
      </c>
      <c r="M2312" s="375">
        <v>1740.5665899999999</v>
      </c>
      <c r="N2312" s="372" t="s">
        <v>1023</v>
      </c>
      <c r="O2312" s="704">
        <v>28.767929687541905</v>
      </c>
      <c r="P2312" s="563" t="s">
        <v>619</v>
      </c>
      <c r="Q2312" s="372" t="s">
        <v>619</v>
      </c>
      <c r="R2312" s="696">
        <v>19981104</v>
      </c>
      <c r="S2312" s="372" t="s">
        <v>14763</v>
      </c>
      <c r="T2312" s="697" t="s">
        <v>768</v>
      </c>
      <c r="U2312" s="372" t="s">
        <v>14764</v>
      </c>
      <c r="V2312" s="722">
        <v>0</v>
      </c>
      <c r="W2312" s="722">
        <v>0</v>
      </c>
      <c r="X2312" s="722">
        <v>0</v>
      </c>
      <c r="Y2312" s="722">
        <v>0</v>
      </c>
      <c r="Z2312" s="382" t="s">
        <v>924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14765</v>
      </c>
      <c r="B2313" s="372" t="s">
        <v>14766</v>
      </c>
      <c r="C2313" s="372" t="s">
        <v>14767</v>
      </c>
      <c r="D2313" s="374">
        <v>1101111790834</v>
      </c>
      <c r="E2313" s="372" t="s">
        <v>14768</v>
      </c>
      <c r="F2313" s="372" t="s">
        <v>2181</v>
      </c>
      <c r="G2313" s="375" t="s">
        <v>3520</v>
      </c>
      <c r="H2313" s="375" t="s">
        <v>858</v>
      </c>
      <c r="I2313" s="375" t="s">
        <v>859</v>
      </c>
      <c r="J2313" s="375">
        <v>19051.374400000001</v>
      </c>
      <c r="K2313" s="375">
        <v>-5799.5243700000001</v>
      </c>
      <c r="L2313" s="375">
        <v>-5410.3990400000002</v>
      </c>
      <c r="M2313" s="375">
        <v>60946.91403</v>
      </c>
      <c r="N2313" s="372">
        <v>0.85399999999999998</v>
      </c>
      <c r="O2313" s="704">
        <v>17.123663453037526</v>
      </c>
      <c r="P2313" s="563" t="s">
        <v>619</v>
      </c>
      <c r="Q2313" s="372" t="s">
        <v>619</v>
      </c>
      <c r="R2313" s="696">
        <v>20150428</v>
      </c>
      <c r="S2313" s="372" t="s">
        <v>14769</v>
      </c>
      <c r="T2313" s="697" t="s">
        <v>768</v>
      </c>
      <c r="U2313" s="372" t="s">
        <v>14770</v>
      </c>
      <c r="V2313" s="722" t="s">
        <v>770</v>
      </c>
      <c r="W2313" s="722">
        <v>0.33</v>
      </c>
      <c r="X2313" s="722">
        <v>1.22</v>
      </c>
      <c r="Y2313" s="722" t="s">
        <v>770</v>
      </c>
      <c r="Z2313" s="382" t="s">
        <v>924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14771</v>
      </c>
      <c r="B2314" s="372" t="s">
        <v>14772</v>
      </c>
      <c r="C2314" s="372" t="s">
        <v>16089</v>
      </c>
      <c r="D2314" s="374">
        <v>1101111005879</v>
      </c>
      <c r="E2314" s="372" t="s">
        <v>14773</v>
      </c>
      <c r="F2314" s="372" t="s">
        <v>1959</v>
      </c>
      <c r="G2314" s="375" t="s">
        <v>1959</v>
      </c>
      <c r="H2314" s="375" t="s">
        <v>858</v>
      </c>
      <c r="I2314" s="375" t="s">
        <v>4410</v>
      </c>
      <c r="J2314" s="375">
        <v>24064.364119999998</v>
      </c>
      <c r="K2314" s="375">
        <v>-2408.2145500000001</v>
      </c>
      <c r="L2314" s="375">
        <v>-9546.1228699999992</v>
      </c>
      <c r="M2314" s="375">
        <v>57654.16936</v>
      </c>
      <c r="N2314" s="372" t="s">
        <v>1023</v>
      </c>
      <c r="O2314" s="704" t="e">
        <v>#DIV/0!</v>
      </c>
      <c r="P2314" s="563" t="s">
        <v>619</v>
      </c>
      <c r="Q2314" s="372" t="s">
        <v>619</v>
      </c>
      <c r="R2314" s="696">
        <v>20020201</v>
      </c>
      <c r="S2314" s="372" t="e">
        <v>#N/A</v>
      </c>
      <c r="T2314" s="697" t="s">
        <v>768</v>
      </c>
      <c r="U2314" s="372" t="s">
        <v>14774</v>
      </c>
      <c r="V2314" s="722" t="s">
        <v>770</v>
      </c>
      <c r="W2314" s="722">
        <v>0</v>
      </c>
      <c r="X2314" s="722">
        <v>0</v>
      </c>
      <c r="Y2314" s="722">
        <v>0</v>
      </c>
      <c r="Z2314" s="382" t="s">
        <v>924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14775</v>
      </c>
      <c r="B2315" s="372" t="s">
        <v>14776</v>
      </c>
      <c r="C2315" s="372" t="s">
        <v>14777</v>
      </c>
      <c r="D2315" s="374">
        <v>1615110031686</v>
      </c>
      <c r="E2315" s="372" t="s">
        <v>14778</v>
      </c>
      <c r="F2315" s="372" t="s">
        <v>1182</v>
      </c>
      <c r="G2315" s="375" t="s">
        <v>1183</v>
      </c>
      <c r="H2315" s="375" t="s">
        <v>858</v>
      </c>
      <c r="I2315" s="375" t="s">
        <v>859</v>
      </c>
      <c r="J2315" s="375">
        <v>32611.04981</v>
      </c>
      <c r="K2315" s="375">
        <v>-6717.8865500000002</v>
      </c>
      <c r="L2315" s="375">
        <v>-11868.90605</v>
      </c>
      <c r="M2315" s="375">
        <v>27767.616279999998</v>
      </c>
      <c r="N2315" s="372">
        <v>0.82499999999999996</v>
      </c>
      <c r="O2315" s="704">
        <v>249.36910813961111</v>
      </c>
      <c r="P2315" s="563" t="s">
        <v>619</v>
      </c>
      <c r="Q2315" s="372" t="s">
        <v>619</v>
      </c>
      <c r="R2315" s="696">
        <v>20151229</v>
      </c>
      <c r="S2315" s="372" t="s">
        <v>14779</v>
      </c>
      <c r="T2315" s="697" t="s">
        <v>768</v>
      </c>
      <c r="U2315" s="372" t="s">
        <v>15965</v>
      </c>
      <c r="V2315" s="722" t="s">
        <v>770</v>
      </c>
      <c r="W2315" s="722">
        <v>0.54</v>
      </c>
      <c r="X2315" s="722">
        <v>0.77</v>
      </c>
      <c r="Y2315" s="722" t="s">
        <v>770</v>
      </c>
      <c r="Z2315" s="382" t="s">
        <v>924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14780</v>
      </c>
      <c r="B2316" s="372" t="s">
        <v>14781</v>
      </c>
      <c r="C2316" s="372" t="s">
        <v>14782</v>
      </c>
      <c r="D2316" s="374">
        <v>1746110001096</v>
      </c>
      <c r="E2316" s="372" t="s">
        <v>14783</v>
      </c>
      <c r="F2316" s="372" t="s">
        <v>1182</v>
      </c>
      <c r="G2316" s="375" t="s">
        <v>1183</v>
      </c>
      <c r="H2316" s="375" t="s">
        <v>1040</v>
      </c>
      <c r="I2316" s="375" t="s">
        <v>751</v>
      </c>
      <c r="J2316" s="375">
        <v>70305.841159999996</v>
      </c>
      <c r="K2316" s="375">
        <v>-28524.224149999998</v>
      </c>
      <c r="L2316" s="375">
        <v>-29231.955450000001</v>
      </c>
      <c r="M2316" s="375">
        <v>83752.397100000002</v>
      </c>
      <c r="N2316" s="372">
        <v>0.51800000000000002</v>
      </c>
      <c r="O2316" s="704">
        <v>72.067447063971755</v>
      </c>
      <c r="P2316" s="563" t="s">
        <v>619</v>
      </c>
      <c r="Q2316" s="372" t="s">
        <v>619</v>
      </c>
      <c r="R2316" s="696">
        <v>19871112</v>
      </c>
      <c r="S2316" s="372" t="s">
        <v>14784</v>
      </c>
      <c r="T2316" s="697" t="s">
        <v>768</v>
      </c>
      <c r="U2316" s="372" t="s">
        <v>14785</v>
      </c>
      <c r="V2316" s="722" t="s">
        <v>770</v>
      </c>
      <c r="W2316" s="722">
        <v>0.48</v>
      </c>
      <c r="X2316" s="722">
        <v>0.5</v>
      </c>
      <c r="Y2316" s="722" t="s">
        <v>770</v>
      </c>
      <c r="Z2316" s="382" t="s">
        <v>924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14786</v>
      </c>
      <c r="B2317" s="372" t="s">
        <v>14787</v>
      </c>
      <c r="C2317" s="372" t="s">
        <v>16054</v>
      </c>
      <c r="D2317" s="374">
        <v>1101115131886</v>
      </c>
      <c r="E2317" s="372" t="s">
        <v>16055</v>
      </c>
      <c r="F2317" s="372" t="s">
        <v>1003</v>
      </c>
      <c r="G2317" s="375" t="s">
        <v>1003</v>
      </c>
      <c r="H2317" s="375" t="s">
        <v>858</v>
      </c>
      <c r="I2317" s="375" t="s">
        <v>859</v>
      </c>
      <c r="J2317" s="375">
        <v>11835.85658</v>
      </c>
      <c r="K2317" s="375">
        <v>-4364.2910499999998</v>
      </c>
      <c r="L2317" s="375">
        <v>-3360.47885</v>
      </c>
      <c r="M2317" s="375">
        <v>695.52772000000004</v>
      </c>
      <c r="N2317" s="372" t="s">
        <v>1023</v>
      </c>
      <c r="O2317" s="704">
        <v>4.9641909850024657</v>
      </c>
      <c r="P2317" s="563" t="s">
        <v>16112</v>
      </c>
      <c r="Q2317" s="372" t="s">
        <v>16113</v>
      </c>
      <c r="R2317" s="696">
        <v>20181203</v>
      </c>
      <c r="S2317" s="372" t="s">
        <v>2502</v>
      </c>
      <c r="T2317" s="697" t="s">
        <v>768</v>
      </c>
      <c r="U2317" s="372" t="s">
        <v>14788</v>
      </c>
      <c r="V2317" s="722" t="s">
        <v>770</v>
      </c>
      <c r="W2317" s="722">
        <v>46.7</v>
      </c>
      <c r="X2317" s="722">
        <v>2.2200000000000002</v>
      </c>
      <c r="Y2317" s="722" t="s">
        <v>770</v>
      </c>
      <c r="Z2317" s="382" t="s">
        <v>924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14789</v>
      </c>
      <c r="B2318" s="372" t="s">
        <v>14790</v>
      </c>
      <c r="C2318" s="372" t="s">
        <v>14791</v>
      </c>
      <c r="D2318" s="374">
        <v>1201110059410</v>
      </c>
      <c r="E2318" s="372" t="s">
        <v>14792</v>
      </c>
      <c r="F2318" s="372" t="s">
        <v>1868</v>
      </c>
      <c r="G2318" s="375" t="s">
        <v>5820</v>
      </c>
      <c r="H2318" s="375" t="s">
        <v>858</v>
      </c>
      <c r="I2318" s="375" t="s">
        <v>859</v>
      </c>
      <c r="J2318" s="375">
        <v>55666.5671</v>
      </c>
      <c r="K2318" s="375">
        <v>-2535.77115</v>
      </c>
      <c r="L2318" s="375">
        <v>-2618.42931</v>
      </c>
      <c r="M2318" s="375">
        <v>58157.632290000001</v>
      </c>
      <c r="N2318" s="372">
        <v>0.63400000000000001</v>
      </c>
      <c r="O2318" s="704">
        <v>58.387845168531825</v>
      </c>
      <c r="P2318" s="563" t="s">
        <v>619</v>
      </c>
      <c r="Q2318" s="372" t="s">
        <v>619</v>
      </c>
      <c r="R2318" s="696">
        <v>20000905</v>
      </c>
      <c r="S2318" s="372" t="s">
        <v>14793</v>
      </c>
      <c r="T2318" s="697" t="s">
        <v>768</v>
      </c>
      <c r="U2318" s="372" t="s">
        <v>14794</v>
      </c>
      <c r="V2318" s="722" t="s">
        <v>770</v>
      </c>
      <c r="W2318" s="722">
        <v>0.42</v>
      </c>
      <c r="X2318" s="722">
        <v>0.44</v>
      </c>
      <c r="Y2318" s="722" t="s">
        <v>770</v>
      </c>
      <c r="Z2318" s="382" t="s">
        <v>924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14795</v>
      </c>
      <c r="B2319" s="372" t="s">
        <v>14796</v>
      </c>
      <c r="C2319" s="372" t="s">
        <v>14797</v>
      </c>
      <c r="D2319" s="374">
        <v>1101110046204</v>
      </c>
      <c r="E2319" s="372" t="s">
        <v>14798</v>
      </c>
      <c r="F2319" s="372" t="s">
        <v>6164</v>
      </c>
      <c r="G2319" s="375" t="s">
        <v>6165</v>
      </c>
      <c r="H2319" s="375">
        <v>0</v>
      </c>
      <c r="I2319" s="375" t="s">
        <v>751</v>
      </c>
      <c r="J2319" s="375">
        <v>179659.32333000001</v>
      </c>
      <c r="K2319" s="375">
        <v>-2363.0913999999998</v>
      </c>
      <c r="L2319" s="375">
        <v>-1365.1704099999999</v>
      </c>
      <c r="M2319" s="375">
        <v>47119.784019999999</v>
      </c>
      <c r="N2319" s="372">
        <v>0.73799999999999999</v>
      </c>
      <c r="O2319" s="704">
        <v>135.57932476890906</v>
      </c>
      <c r="P2319" s="563" t="s">
        <v>619</v>
      </c>
      <c r="Q2319" s="372" t="s">
        <v>619</v>
      </c>
      <c r="R2319" s="696">
        <v>19961122</v>
      </c>
      <c r="S2319" s="372" t="s">
        <v>14799</v>
      </c>
      <c r="T2319" s="697" t="s">
        <v>768</v>
      </c>
      <c r="U2319" s="372" t="s">
        <v>14800</v>
      </c>
      <c r="V2319" s="722" t="s">
        <v>770</v>
      </c>
      <c r="W2319" s="722">
        <v>0.59</v>
      </c>
      <c r="X2319" s="722">
        <v>0.15</v>
      </c>
      <c r="Y2319" s="722" t="s">
        <v>770</v>
      </c>
      <c r="Z2319" s="382" t="s">
        <v>924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14801</v>
      </c>
      <c r="B2320" s="372" t="s">
        <v>14802</v>
      </c>
      <c r="C2320" s="372" t="s">
        <v>14803</v>
      </c>
      <c r="D2320" s="374">
        <v>1101111293119</v>
      </c>
      <c r="E2320" s="372" t="s">
        <v>14804</v>
      </c>
      <c r="F2320" s="372" t="s">
        <v>14805</v>
      </c>
      <c r="G2320" s="375" t="s">
        <v>14805</v>
      </c>
      <c r="H2320" s="375" t="s">
        <v>1334</v>
      </c>
      <c r="I2320" s="375" t="s">
        <v>859</v>
      </c>
      <c r="J2320" s="375">
        <v>42854.50144</v>
      </c>
      <c r="K2320" s="375">
        <v>2159.85698</v>
      </c>
      <c r="L2320" s="375">
        <v>2316.1267699999999</v>
      </c>
      <c r="M2320" s="375">
        <v>17868.70624</v>
      </c>
      <c r="N2320" s="372">
        <v>0.86099999999999999</v>
      </c>
      <c r="O2320" s="704">
        <v>9.1310321380435813</v>
      </c>
      <c r="P2320" s="563" t="s">
        <v>619</v>
      </c>
      <c r="Q2320" s="372" t="s">
        <v>619</v>
      </c>
      <c r="R2320" s="696">
        <v>20150729</v>
      </c>
      <c r="S2320" s="372" t="s">
        <v>14806</v>
      </c>
      <c r="T2320" s="697">
        <v>0.20900000000000002</v>
      </c>
      <c r="U2320" s="372" t="s">
        <v>14807</v>
      </c>
      <c r="V2320" s="722">
        <v>0</v>
      </c>
      <c r="W2320" s="722">
        <v>0</v>
      </c>
      <c r="X2320" s="722">
        <v>0</v>
      </c>
      <c r="Y2320" s="722">
        <v>0</v>
      </c>
      <c r="Z2320" s="382" t="s">
        <v>924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14808</v>
      </c>
      <c r="B2321" s="372" t="s">
        <v>14809</v>
      </c>
      <c r="C2321" s="372" t="s">
        <v>14810</v>
      </c>
      <c r="D2321" s="374">
        <v>1101113036096</v>
      </c>
      <c r="E2321" s="372" t="s">
        <v>14811</v>
      </c>
      <c r="F2321" s="372" t="s">
        <v>14812</v>
      </c>
      <c r="G2321" s="375" t="s">
        <v>14812</v>
      </c>
      <c r="H2321" s="375">
        <v>0</v>
      </c>
      <c r="I2321" s="375" t="s">
        <v>859</v>
      </c>
      <c r="J2321" s="375">
        <v>25048.47207</v>
      </c>
      <c r="K2321" s="375">
        <v>-1972.1749</v>
      </c>
      <c r="L2321" s="375">
        <v>-2502.9999200000002</v>
      </c>
      <c r="M2321" s="375">
        <v>21153.758249999999</v>
      </c>
      <c r="N2321" s="372">
        <v>0.53</v>
      </c>
      <c r="O2321" s="704">
        <v>54.602911477271562</v>
      </c>
      <c r="P2321" s="563" t="s">
        <v>619</v>
      </c>
      <c r="Q2321" s="372" t="s">
        <v>619</v>
      </c>
      <c r="R2321" s="696">
        <v>20140708</v>
      </c>
      <c r="S2321" s="372" t="s">
        <v>14813</v>
      </c>
      <c r="T2321" s="697" t="s">
        <v>768</v>
      </c>
      <c r="U2321" s="372" t="s">
        <v>14814</v>
      </c>
      <c r="V2321" s="722" t="s">
        <v>770</v>
      </c>
      <c r="W2321" s="722">
        <v>1.39</v>
      </c>
      <c r="X2321" s="722">
        <v>1.18</v>
      </c>
      <c r="Y2321" s="722" t="s">
        <v>770</v>
      </c>
      <c r="Z2321" s="382" t="s">
        <v>924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14815</v>
      </c>
      <c r="B2322" s="372" t="s">
        <v>14816</v>
      </c>
      <c r="C2322" s="372" t="s">
        <v>14817</v>
      </c>
      <c r="D2322" s="374">
        <v>1101110574164</v>
      </c>
      <c r="E2322" s="372" t="s">
        <v>14818</v>
      </c>
      <c r="F2322" s="372" t="s">
        <v>9165</v>
      </c>
      <c r="G2322" s="375" t="s">
        <v>9165</v>
      </c>
      <c r="H2322" s="375" t="s">
        <v>750</v>
      </c>
      <c r="I2322" s="375" t="s">
        <v>751</v>
      </c>
      <c r="J2322" s="375">
        <v>49687.483269999997</v>
      </c>
      <c r="K2322" s="375">
        <v>-3517.4014999999999</v>
      </c>
      <c r="L2322" s="375">
        <v>-3147.52639</v>
      </c>
      <c r="M2322" s="375">
        <v>35826.50965</v>
      </c>
      <c r="N2322" s="372">
        <v>0.54400000000000004</v>
      </c>
      <c r="O2322" s="704">
        <v>19.83603144687817</v>
      </c>
      <c r="P2322" s="563" t="s">
        <v>619</v>
      </c>
      <c r="Q2322" s="372" t="s">
        <v>619</v>
      </c>
      <c r="R2322" s="696">
        <v>20061115</v>
      </c>
      <c r="S2322" s="372" t="s">
        <v>14819</v>
      </c>
      <c r="T2322" s="697" t="s">
        <v>768</v>
      </c>
      <c r="U2322" s="372" t="s">
        <v>14820</v>
      </c>
      <c r="V2322" s="722" t="s">
        <v>770</v>
      </c>
      <c r="W2322" s="722">
        <v>0.55000000000000004</v>
      </c>
      <c r="X2322" s="722">
        <v>0.43</v>
      </c>
      <c r="Y2322" s="722" t="s">
        <v>770</v>
      </c>
      <c r="Z2322" s="382" t="s">
        <v>924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14821</v>
      </c>
      <c r="B2323" s="372" t="s">
        <v>14822</v>
      </c>
      <c r="C2323" s="372" t="s">
        <v>14823</v>
      </c>
      <c r="D2323" s="374">
        <v>1101118251277</v>
      </c>
      <c r="E2323" s="372" t="s">
        <v>14824</v>
      </c>
      <c r="F2323" s="372" t="s">
        <v>1140</v>
      </c>
      <c r="G2323" s="375" t="s">
        <v>1141</v>
      </c>
      <c r="H2323" s="375" t="s">
        <v>892</v>
      </c>
      <c r="I2323" s="375" t="s">
        <v>4410</v>
      </c>
      <c r="J2323" s="375">
        <v>0</v>
      </c>
      <c r="K2323" s="375">
        <v>0</v>
      </c>
      <c r="L2323" s="375">
        <v>0</v>
      </c>
      <c r="M2323" s="375">
        <v>0</v>
      </c>
      <c r="N2323" s="372" t="s">
        <v>1023</v>
      </c>
      <c r="O2323" s="704" t="s">
        <v>16298</v>
      </c>
      <c r="P2323" s="563" t="s">
        <v>619</v>
      </c>
      <c r="Q2323" s="372" t="s">
        <v>619</v>
      </c>
      <c r="R2323" s="696">
        <v>20220826</v>
      </c>
      <c r="S2323" s="372" t="e">
        <v>#N/A</v>
      </c>
      <c r="T2323" s="697" t="s">
        <v>768</v>
      </c>
      <c r="U2323" s="372">
        <v>0</v>
      </c>
      <c r="V2323" s="722">
        <v>0</v>
      </c>
      <c r="W2323" s="722">
        <v>0</v>
      </c>
      <c r="X2323" s="722">
        <v>0</v>
      </c>
      <c r="Y2323" s="722">
        <v>0</v>
      </c>
      <c r="Z2323" s="382" t="s">
        <v>770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14825</v>
      </c>
      <c r="B2324" s="372" t="s">
        <v>14826</v>
      </c>
      <c r="C2324" s="372" t="s">
        <v>16090</v>
      </c>
      <c r="D2324" s="374">
        <v>1101110226327</v>
      </c>
      <c r="E2324" s="372" t="s">
        <v>16091</v>
      </c>
      <c r="F2324" s="372" t="s">
        <v>2508</v>
      </c>
      <c r="G2324" s="375" t="s">
        <v>2508</v>
      </c>
      <c r="H2324" s="375" t="s">
        <v>858</v>
      </c>
      <c r="I2324" s="375" t="s">
        <v>859</v>
      </c>
      <c r="J2324" s="375">
        <v>15288.7233</v>
      </c>
      <c r="K2324" s="375">
        <v>-6696.2049900000002</v>
      </c>
      <c r="L2324" s="375">
        <v>-5242.4408700000004</v>
      </c>
      <c r="M2324" s="375">
        <v>26696.876670000001</v>
      </c>
      <c r="N2324" s="372">
        <v>1.3220000000000001</v>
      </c>
      <c r="O2324" s="704">
        <v>45.21679889836323</v>
      </c>
      <c r="P2324" s="563" t="s">
        <v>619</v>
      </c>
      <c r="Q2324" s="372" t="s">
        <v>619</v>
      </c>
      <c r="R2324" s="696">
        <v>20020115</v>
      </c>
      <c r="S2324" s="372" t="s">
        <v>14827</v>
      </c>
      <c r="T2324" s="697" t="s">
        <v>768</v>
      </c>
      <c r="U2324" s="372" t="s">
        <v>14828</v>
      </c>
      <c r="V2324" s="722" t="s">
        <v>770</v>
      </c>
      <c r="W2324" s="722">
        <v>1.34</v>
      </c>
      <c r="X2324" s="722">
        <v>2.04</v>
      </c>
      <c r="Y2324" s="722" t="s">
        <v>770</v>
      </c>
      <c r="Z2324" s="382" t="s">
        <v>924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14829</v>
      </c>
      <c r="B2325" s="372" t="s">
        <v>14830</v>
      </c>
      <c r="C2325" s="372" t="s">
        <v>14831</v>
      </c>
      <c r="D2325" s="374">
        <v>1746110001244</v>
      </c>
      <c r="E2325" s="372" t="s">
        <v>14832</v>
      </c>
      <c r="F2325" s="372" t="s">
        <v>1456</v>
      </c>
      <c r="G2325" s="375" t="s">
        <v>4116</v>
      </c>
      <c r="H2325" s="375" t="s">
        <v>8015</v>
      </c>
      <c r="I2325" s="375" t="s">
        <v>859</v>
      </c>
      <c r="J2325" s="375">
        <v>102924.50212999999</v>
      </c>
      <c r="K2325" s="375">
        <v>2499.96956</v>
      </c>
      <c r="L2325" s="375">
        <v>1539.80215</v>
      </c>
      <c r="M2325" s="375">
        <v>63718.825270000001</v>
      </c>
      <c r="N2325" s="372">
        <v>0.60599999999999998</v>
      </c>
      <c r="O2325" s="704">
        <v>123.01154277788055</v>
      </c>
      <c r="P2325" s="563" t="s">
        <v>619</v>
      </c>
      <c r="Q2325" s="372" t="s">
        <v>619</v>
      </c>
      <c r="R2325" s="696">
        <v>19970315</v>
      </c>
      <c r="S2325" s="372" t="s">
        <v>14833</v>
      </c>
      <c r="T2325" s="697">
        <v>0.20900000000000002</v>
      </c>
      <c r="U2325" s="372" t="s">
        <v>14834</v>
      </c>
      <c r="V2325" s="722">
        <v>0</v>
      </c>
      <c r="W2325" s="722">
        <v>0</v>
      </c>
      <c r="X2325" s="722">
        <v>0</v>
      </c>
      <c r="Y2325" s="722">
        <v>0</v>
      </c>
      <c r="Z2325" s="382" t="s">
        <v>924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14835</v>
      </c>
      <c r="B2326" s="372" t="s">
        <v>14836</v>
      </c>
      <c r="C2326" s="372" t="s">
        <v>14837</v>
      </c>
      <c r="D2326" s="374">
        <v>1601110007032</v>
      </c>
      <c r="E2326" s="372" t="s">
        <v>14838</v>
      </c>
      <c r="F2326" s="372" t="s">
        <v>16136</v>
      </c>
      <c r="G2326" s="375" t="s">
        <v>14839</v>
      </c>
      <c r="H2326" s="375" t="s">
        <v>789</v>
      </c>
      <c r="I2326" s="375" t="s">
        <v>751</v>
      </c>
      <c r="J2326" s="375">
        <v>69259.158599999995</v>
      </c>
      <c r="K2326" s="375">
        <v>-16787.04751</v>
      </c>
      <c r="L2326" s="375">
        <v>-12003.9609</v>
      </c>
      <c r="M2326" s="375">
        <v>29463.702160000001</v>
      </c>
      <c r="N2326" s="372">
        <v>0.53400000000000003</v>
      </c>
      <c r="O2326" s="704">
        <v>244.05825867270846</v>
      </c>
      <c r="P2326" s="563" t="s">
        <v>619</v>
      </c>
      <c r="Q2326" s="372" t="s">
        <v>619</v>
      </c>
      <c r="R2326" s="696">
        <v>19760525</v>
      </c>
      <c r="S2326" s="372" t="s">
        <v>14840</v>
      </c>
      <c r="T2326" s="697" t="s">
        <v>768</v>
      </c>
      <c r="U2326" s="372" t="s">
        <v>14841</v>
      </c>
      <c r="V2326" s="722" t="s">
        <v>770</v>
      </c>
      <c r="W2326" s="722">
        <v>1.08</v>
      </c>
      <c r="X2326" s="722">
        <v>0.36</v>
      </c>
      <c r="Y2326" s="722" t="s">
        <v>770</v>
      </c>
      <c r="Z2326" s="382" t="s">
        <v>924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14842</v>
      </c>
      <c r="B2327" s="372" t="s">
        <v>14843</v>
      </c>
      <c r="C2327" s="372" t="s">
        <v>14844</v>
      </c>
      <c r="D2327" s="374">
        <v>1101115782473</v>
      </c>
      <c r="E2327" s="372" t="s">
        <v>14845</v>
      </c>
      <c r="F2327" s="372" t="s">
        <v>10060</v>
      </c>
      <c r="G2327" s="375" t="s">
        <v>10060</v>
      </c>
      <c r="H2327" s="375" t="s">
        <v>858</v>
      </c>
      <c r="I2327" s="375" t="s">
        <v>859</v>
      </c>
      <c r="J2327" s="375">
        <v>103099.72616000001</v>
      </c>
      <c r="K2327" s="375">
        <v>5963.4363599999997</v>
      </c>
      <c r="L2327" s="375">
        <v>5168.67911</v>
      </c>
      <c r="M2327" s="375">
        <v>78243.989619999993</v>
      </c>
      <c r="N2327" s="372">
        <v>0.72499999999999998</v>
      </c>
      <c r="O2327" s="704">
        <v>57.091482779711257</v>
      </c>
      <c r="P2327" s="563" t="s">
        <v>619</v>
      </c>
      <c r="Q2327" s="372" t="s">
        <v>619</v>
      </c>
      <c r="R2327" s="696">
        <v>20151005</v>
      </c>
      <c r="S2327" s="372" t="s">
        <v>14846</v>
      </c>
      <c r="T2327" s="697">
        <v>0.20900000000000002</v>
      </c>
      <c r="U2327" s="372" t="s">
        <v>14847</v>
      </c>
      <c r="V2327" s="722">
        <v>2.86</v>
      </c>
      <c r="W2327" s="722">
        <v>0.31</v>
      </c>
      <c r="X2327" s="722">
        <v>0.24</v>
      </c>
      <c r="Y2327" s="722">
        <v>6.4</v>
      </c>
      <c r="Z2327" s="382" t="s">
        <v>924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14848</v>
      </c>
      <c r="B2328" s="372" t="s">
        <v>14849</v>
      </c>
      <c r="C2328" s="372" t="s">
        <v>14850</v>
      </c>
      <c r="D2328" s="374">
        <v>1351110065750</v>
      </c>
      <c r="E2328" s="372" t="s">
        <v>14851</v>
      </c>
      <c r="F2328" s="372" t="s">
        <v>1273</v>
      </c>
      <c r="G2328" s="375" t="s">
        <v>1449</v>
      </c>
      <c r="H2328" s="375" t="s">
        <v>858</v>
      </c>
      <c r="I2328" s="375" t="s">
        <v>859</v>
      </c>
      <c r="J2328" s="375">
        <v>34528.216869999997</v>
      </c>
      <c r="K2328" s="375">
        <v>870.08771999999999</v>
      </c>
      <c r="L2328" s="375">
        <v>4385.4407199999996</v>
      </c>
      <c r="M2328" s="375">
        <v>59526.669430000002</v>
      </c>
      <c r="N2328" s="372">
        <v>0.55300000000000005</v>
      </c>
      <c r="O2328" s="704">
        <v>131.32627180466122</v>
      </c>
      <c r="P2328" s="563" t="s">
        <v>619</v>
      </c>
      <c r="Q2328" s="372" t="s">
        <v>619</v>
      </c>
      <c r="R2328" s="696">
        <v>20131227</v>
      </c>
      <c r="S2328" s="372" t="s">
        <v>14852</v>
      </c>
      <c r="T2328" s="697">
        <v>0.20900000000000002</v>
      </c>
      <c r="U2328" s="372" t="s">
        <v>14853</v>
      </c>
      <c r="V2328" s="722">
        <v>0</v>
      </c>
      <c r="W2328" s="722">
        <v>0</v>
      </c>
      <c r="X2328" s="722">
        <v>0</v>
      </c>
      <c r="Y2328" s="722">
        <v>0</v>
      </c>
      <c r="Z2328" s="382" t="s">
        <v>924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14854</v>
      </c>
      <c r="B2329" s="372" t="s">
        <v>14855</v>
      </c>
      <c r="C2329" s="372" t="s">
        <v>14856</v>
      </c>
      <c r="D2329" s="374">
        <v>1201110001769</v>
      </c>
      <c r="E2329" s="372" t="s">
        <v>14857</v>
      </c>
      <c r="F2329" s="372" t="s">
        <v>1534</v>
      </c>
      <c r="G2329" s="375" t="s">
        <v>1535</v>
      </c>
      <c r="H2329" s="375" t="s">
        <v>858</v>
      </c>
      <c r="I2329" s="375" t="s">
        <v>859</v>
      </c>
      <c r="J2329" s="375">
        <v>26542.830010000001</v>
      </c>
      <c r="K2329" s="375">
        <v>-3370.1878999999999</v>
      </c>
      <c r="L2329" s="375">
        <v>-4370.7695599999997</v>
      </c>
      <c r="M2329" s="375">
        <v>20627.67236</v>
      </c>
      <c r="N2329" s="372">
        <v>0.65300000000000002</v>
      </c>
      <c r="O2329" s="704">
        <v>80.766022764074521</v>
      </c>
      <c r="P2329" s="563" t="s">
        <v>619</v>
      </c>
      <c r="Q2329" s="372" t="s">
        <v>619</v>
      </c>
      <c r="R2329" s="696">
        <v>19970718</v>
      </c>
      <c r="S2329" s="372" t="s">
        <v>14858</v>
      </c>
      <c r="T2329" s="697" t="s">
        <v>768</v>
      </c>
      <c r="U2329" s="372" t="s">
        <v>14859</v>
      </c>
      <c r="V2329" s="722">
        <v>0</v>
      </c>
      <c r="W2329" s="722">
        <v>0</v>
      </c>
      <c r="X2329" s="722">
        <v>0</v>
      </c>
      <c r="Y2329" s="722">
        <v>0</v>
      </c>
      <c r="Z2329" s="382" t="s">
        <v>924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14860</v>
      </c>
      <c r="B2330" s="372" t="s">
        <v>14861</v>
      </c>
      <c r="C2330" s="372" t="s">
        <v>14862</v>
      </c>
      <c r="D2330" s="374">
        <v>1101111551608</v>
      </c>
      <c r="E2330" s="372" t="s">
        <v>14863</v>
      </c>
      <c r="F2330" s="372" t="s">
        <v>2831</v>
      </c>
      <c r="G2330" s="375" t="s">
        <v>8392</v>
      </c>
      <c r="H2330" s="375" t="s">
        <v>858</v>
      </c>
      <c r="I2330" s="375" t="s">
        <v>859</v>
      </c>
      <c r="J2330" s="375">
        <v>35961.774790000003</v>
      </c>
      <c r="K2330" s="375">
        <v>-4314.3103899999996</v>
      </c>
      <c r="L2330" s="375">
        <v>-5567.12608</v>
      </c>
      <c r="M2330" s="375">
        <v>19029.45451</v>
      </c>
      <c r="N2330" s="372">
        <v>1.238</v>
      </c>
      <c r="O2330" s="704">
        <v>35.873796121952651</v>
      </c>
      <c r="P2330" s="563" t="s">
        <v>619</v>
      </c>
      <c r="Q2330" s="372" t="s">
        <v>619</v>
      </c>
      <c r="R2330" s="696">
        <v>20051129</v>
      </c>
      <c r="S2330" s="372" t="s">
        <v>14864</v>
      </c>
      <c r="T2330" s="697" t="s">
        <v>768</v>
      </c>
      <c r="U2330" s="372" t="s">
        <v>14865</v>
      </c>
      <c r="V2330" s="722" t="s">
        <v>770</v>
      </c>
      <c r="W2330" s="722">
        <v>1.21</v>
      </c>
      <c r="X2330" s="722">
        <v>0.66</v>
      </c>
      <c r="Y2330" s="722" t="s">
        <v>770</v>
      </c>
      <c r="Z2330" s="382" t="s">
        <v>924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14866</v>
      </c>
      <c r="B2331" s="372" t="s">
        <v>14867</v>
      </c>
      <c r="C2331" s="372" t="s">
        <v>14868</v>
      </c>
      <c r="D2331" s="374">
        <v>1101110192635</v>
      </c>
      <c r="E2331" s="372" t="s">
        <v>14869</v>
      </c>
      <c r="F2331" s="372" t="s">
        <v>4188</v>
      </c>
      <c r="G2331" s="375" t="s">
        <v>14870</v>
      </c>
      <c r="H2331" s="375" t="s">
        <v>965</v>
      </c>
      <c r="I2331" s="375" t="s">
        <v>751</v>
      </c>
      <c r="J2331" s="375">
        <v>263085.65784</v>
      </c>
      <c r="K2331" s="375">
        <v>2073.1256699999999</v>
      </c>
      <c r="L2331" s="375">
        <v>-8456.5783499999998</v>
      </c>
      <c r="M2331" s="375">
        <v>42289.740949999999</v>
      </c>
      <c r="N2331" s="372">
        <v>0.63300000000000001</v>
      </c>
      <c r="O2331" s="704">
        <v>104.80278908770384</v>
      </c>
      <c r="P2331" s="563" t="s">
        <v>619</v>
      </c>
      <c r="Q2331" s="372" t="s">
        <v>619</v>
      </c>
      <c r="R2331" s="696">
        <v>19950708</v>
      </c>
      <c r="S2331" s="372" t="s">
        <v>14871</v>
      </c>
      <c r="T2331" s="697" t="s">
        <v>768</v>
      </c>
      <c r="U2331" s="372" t="s">
        <v>14872</v>
      </c>
      <c r="V2331" s="722">
        <v>10.39</v>
      </c>
      <c r="W2331" s="722">
        <v>0.83</v>
      </c>
      <c r="X2331" s="722">
        <v>0.14000000000000001</v>
      </c>
      <c r="Y2331" s="722" t="s">
        <v>770</v>
      </c>
      <c r="Z2331" s="382" t="s">
        <v>924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14873</v>
      </c>
      <c r="B2332" s="372" t="s">
        <v>14874</v>
      </c>
      <c r="C2332" s="372" t="s">
        <v>14875</v>
      </c>
      <c r="D2332" s="374">
        <v>1845110001541</v>
      </c>
      <c r="E2332" s="372" t="s">
        <v>14876</v>
      </c>
      <c r="F2332" s="372" t="s">
        <v>1860</v>
      </c>
      <c r="G2332" s="375" t="s">
        <v>1861</v>
      </c>
      <c r="H2332" s="375" t="s">
        <v>858</v>
      </c>
      <c r="I2332" s="375" t="s">
        <v>859</v>
      </c>
      <c r="J2332" s="375">
        <v>164037.28466</v>
      </c>
      <c r="K2332" s="375">
        <v>6988.9821400000001</v>
      </c>
      <c r="L2332" s="375">
        <v>-4204.8107200000004</v>
      </c>
      <c r="M2332" s="375">
        <v>34031.430950000002</v>
      </c>
      <c r="N2332" s="372">
        <v>0.751</v>
      </c>
      <c r="O2332" s="704">
        <v>163.83091479832481</v>
      </c>
      <c r="P2332" s="563" t="s">
        <v>619</v>
      </c>
      <c r="Q2332" s="372" t="s">
        <v>619</v>
      </c>
      <c r="R2332" s="696">
        <v>20010814</v>
      </c>
      <c r="S2332" s="372" t="s">
        <v>14877</v>
      </c>
      <c r="T2332" s="697" t="s">
        <v>768</v>
      </c>
      <c r="U2332" s="372" t="s">
        <v>14878</v>
      </c>
      <c r="V2332" s="722">
        <v>2.89</v>
      </c>
      <c r="W2332" s="722">
        <v>0.56000000000000005</v>
      </c>
      <c r="X2332" s="722">
        <v>0.12</v>
      </c>
      <c r="Y2332" s="722" t="s">
        <v>770</v>
      </c>
      <c r="Z2332" s="382" t="s">
        <v>924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14879</v>
      </c>
      <c r="B2333" s="372" t="s">
        <v>14880</v>
      </c>
      <c r="C2333" s="372" t="s">
        <v>14881</v>
      </c>
      <c r="D2333" s="374">
        <v>1741110002630</v>
      </c>
      <c r="E2333" s="372" t="s">
        <v>14882</v>
      </c>
      <c r="F2333" s="372" t="s">
        <v>10603</v>
      </c>
      <c r="G2333" s="375" t="s">
        <v>10604</v>
      </c>
      <c r="H2333" s="375" t="s">
        <v>858</v>
      </c>
      <c r="I2333" s="375" t="s">
        <v>859</v>
      </c>
      <c r="J2333" s="375">
        <v>102767.72888</v>
      </c>
      <c r="K2333" s="375">
        <v>-6189.1426199999996</v>
      </c>
      <c r="L2333" s="375">
        <v>-6880.6073699999997</v>
      </c>
      <c r="M2333" s="375">
        <v>46271.985769999999</v>
      </c>
      <c r="N2333" s="372">
        <v>1.113</v>
      </c>
      <c r="O2333" s="704">
        <v>114.43080579969912</v>
      </c>
      <c r="P2333" s="563" t="s">
        <v>619</v>
      </c>
      <c r="Q2333" s="372" t="s">
        <v>619</v>
      </c>
      <c r="R2333" s="696">
        <v>19930723</v>
      </c>
      <c r="S2333" s="372" t="s">
        <v>14883</v>
      </c>
      <c r="T2333" s="697" t="s">
        <v>768</v>
      </c>
      <c r="U2333" s="372" t="s">
        <v>14884</v>
      </c>
      <c r="V2333" s="722">
        <v>0</v>
      </c>
      <c r="W2333" s="722">
        <v>0</v>
      </c>
      <c r="X2333" s="722">
        <v>0</v>
      </c>
      <c r="Y2333" s="722">
        <v>0</v>
      </c>
      <c r="Z2333" s="382" t="s">
        <v>924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14885</v>
      </c>
      <c r="B2334" s="372" t="s">
        <v>14886</v>
      </c>
      <c r="C2334" s="372" t="s">
        <v>14887</v>
      </c>
      <c r="D2334" s="374">
        <v>1101118233415</v>
      </c>
      <c r="E2334" s="372" t="s">
        <v>14888</v>
      </c>
      <c r="F2334" s="372" t="s">
        <v>5766</v>
      </c>
      <c r="G2334" s="375" t="s">
        <v>5766</v>
      </c>
      <c r="H2334" s="375" t="s">
        <v>1334</v>
      </c>
      <c r="I2334" s="375" t="s">
        <v>859</v>
      </c>
      <c r="J2334" s="375">
        <v>26040.140790000001</v>
      </c>
      <c r="K2334" s="375">
        <v>-2155.6460000000002</v>
      </c>
      <c r="L2334" s="375">
        <v>-1756.3344300000001</v>
      </c>
      <c r="M2334" s="375">
        <v>24320.520659999998</v>
      </c>
      <c r="N2334" s="372">
        <v>0.72399999999999998</v>
      </c>
      <c r="O2334" s="704">
        <v>8.0302974962030849</v>
      </c>
      <c r="P2334" s="563" t="s">
        <v>619</v>
      </c>
      <c r="Q2334" s="372" t="s">
        <v>619</v>
      </c>
      <c r="R2334" s="696">
        <v>20220722</v>
      </c>
      <c r="S2334" s="372" t="s">
        <v>14889</v>
      </c>
      <c r="T2334" s="697" t="s">
        <v>768</v>
      </c>
      <c r="U2334" s="372" t="s">
        <v>14890</v>
      </c>
      <c r="V2334" s="722">
        <v>0</v>
      </c>
      <c r="W2334" s="722">
        <v>0</v>
      </c>
      <c r="X2334" s="722">
        <v>0</v>
      </c>
      <c r="Y2334" s="722">
        <v>0</v>
      </c>
      <c r="Z2334" s="382" t="s">
        <v>924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14891</v>
      </c>
      <c r="B2335" s="372" t="s">
        <v>14892</v>
      </c>
      <c r="C2335" s="372" t="s">
        <v>14893</v>
      </c>
      <c r="D2335" s="374">
        <v>1943110000537</v>
      </c>
      <c r="E2335" s="372" t="s">
        <v>14894</v>
      </c>
      <c r="F2335" s="372" t="s">
        <v>1959</v>
      </c>
      <c r="G2335" s="375" t="s">
        <v>1959</v>
      </c>
      <c r="H2335" s="375" t="s">
        <v>1040</v>
      </c>
      <c r="I2335" s="375" t="s">
        <v>751</v>
      </c>
      <c r="J2335" s="375">
        <v>49691.90324</v>
      </c>
      <c r="K2335" s="375">
        <v>736.92489999999998</v>
      </c>
      <c r="L2335" s="375">
        <v>275.93758000000003</v>
      </c>
      <c r="M2335" s="375">
        <v>33014.329579999998</v>
      </c>
      <c r="N2335" s="372">
        <v>0.96099999999999997</v>
      </c>
      <c r="O2335" s="704">
        <v>19.938909868172573</v>
      </c>
      <c r="P2335" s="563" t="s">
        <v>619</v>
      </c>
      <c r="Q2335" s="372" t="s">
        <v>619</v>
      </c>
      <c r="R2335" s="696">
        <v>19970718</v>
      </c>
      <c r="S2335" s="372" t="s">
        <v>14895</v>
      </c>
      <c r="T2335" s="697">
        <v>0.20900000000000002</v>
      </c>
      <c r="U2335" s="372" t="s">
        <v>14896</v>
      </c>
      <c r="V2335" s="722">
        <v>0</v>
      </c>
      <c r="W2335" s="722">
        <v>0</v>
      </c>
      <c r="X2335" s="722">
        <v>0</v>
      </c>
      <c r="Y2335" s="722">
        <v>0</v>
      </c>
      <c r="Z2335" s="382" t="s">
        <v>924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14897</v>
      </c>
      <c r="B2336" s="372" t="s">
        <v>14898</v>
      </c>
      <c r="C2336" s="372" t="s">
        <v>14899</v>
      </c>
      <c r="D2336" s="374">
        <v>1101111848675</v>
      </c>
      <c r="E2336" s="372" t="s">
        <v>14900</v>
      </c>
      <c r="F2336" s="372" t="s">
        <v>1367</v>
      </c>
      <c r="G2336" s="375" t="s">
        <v>1367</v>
      </c>
      <c r="H2336" s="375" t="s">
        <v>858</v>
      </c>
      <c r="I2336" s="375" t="s">
        <v>859</v>
      </c>
      <c r="J2336" s="375">
        <v>31250.659769999998</v>
      </c>
      <c r="K2336" s="375">
        <v>-2656.3098</v>
      </c>
      <c r="L2336" s="375">
        <v>-3232.0066099999999</v>
      </c>
      <c r="M2336" s="375">
        <v>7407.1518900000001</v>
      </c>
      <c r="N2336" s="372">
        <v>0.443</v>
      </c>
      <c r="O2336" s="704">
        <v>4.2437106830889721</v>
      </c>
      <c r="P2336" s="563" t="s">
        <v>619</v>
      </c>
      <c r="Q2336" s="372" t="s">
        <v>619</v>
      </c>
      <c r="R2336" s="696">
        <v>20140121</v>
      </c>
      <c r="S2336" s="372" t="s">
        <v>14901</v>
      </c>
      <c r="T2336" s="697" t="s">
        <v>768</v>
      </c>
      <c r="U2336" s="372" t="s">
        <v>14902</v>
      </c>
      <c r="V2336" s="722" t="s">
        <v>770</v>
      </c>
      <c r="W2336" s="722">
        <v>2.67</v>
      </c>
      <c r="X2336" s="722">
        <v>0.62</v>
      </c>
      <c r="Y2336" s="722" t="s">
        <v>770</v>
      </c>
      <c r="Z2336" s="382" t="s">
        <v>924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14903</v>
      </c>
      <c r="B2337" s="372" t="s">
        <v>14904</v>
      </c>
      <c r="C2337" s="372" t="s">
        <v>16056</v>
      </c>
      <c r="D2337" s="374">
        <v>1101110527767</v>
      </c>
      <c r="E2337" s="372" t="s">
        <v>15966</v>
      </c>
      <c r="F2337" s="372" t="s">
        <v>842</v>
      </c>
      <c r="G2337" s="375" t="s">
        <v>842</v>
      </c>
      <c r="H2337" s="375" t="s">
        <v>3096</v>
      </c>
      <c r="I2337" s="375" t="s">
        <v>859</v>
      </c>
      <c r="J2337" s="375">
        <v>13691.627119999999</v>
      </c>
      <c r="K2337" s="375">
        <v>-5004.8292799999999</v>
      </c>
      <c r="L2337" s="375">
        <v>-19355.953679999999</v>
      </c>
      <c r="M2337" s="375">
        <v>37632.130140000001</v>
      </c>
      <c r="N2337" s="372">
        <v>0.45800000000000002</v>
      </c>
      <c r="O2337" s="704">
        <v>20.794849777958426</v>
      </c>
      <c r="P2337" s="563" t="s">
        <v>619</v>
      </c>
      <c r="Q2337" s="372" t="s">
        <v>619</v>
      </c>
      <c r="R2337" s="696">
        <v>20011009</v>
      </c>
      <c r="S2337" s="372" t="s">
        <v>14905</v>
      </c>
      <c r="T2337" s="697" t="s">
        <v>768</v>
      </c>
      <c r="U2337" s="372" t="s">
        <v>15967</v>
      </c>
      <c r="V2337" s="722" t="s">
        <v>770</v>
      </c>
      <c r="W2337" s="722">
        <v>1.1499999999999999</v>
      </c>
      <c r="X2337" s="722">
        <v>3.05</v>
      </c>
      <c r="Y2337" s="722" t="s">
        <v>770</v>
      </c>
      <c r="Z2337" s="382" t="s">
        <v>924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14906</v>
      </c>
      <c r="B2338" s="372" t="s">
        <v>14907</v>
      </c>
      <c r="C2338" s="372" t="s">
        <v>14908</v>
      </c>
      <c r="D2338" s="374">
        <v>1101113301944</v>
      </c>
      <c r="E2338" s="372" t="s">
        <v>14909</v>
      </c>
      <c r="F2338" s="372" t="s">
        <v>1093</v>
      </c>
      <c r="G2338" s="375" t="s">
        <v>1094</v>
      </c>
      <c r="H2338" s="375" t="s">
        <v>858</v>
      </c>
      <c r="I2338" s="375" t="s">
        <v>859</v>
      </c>
      <c r="J2338" s="375">
        <v>10317.645780000001</v>
      </c>
      <c r="K2338" s="375">
        <v>1028.47066</v>
      </c>
      <c r="L2338" s="375">
        <v>1488.9969699999999</v>
      </c>
      <c r="M2338" s="375">
        <v>16460.46225</v>
      </c>
      <c r="N2338" s="372">
        <v>0.439</v>
      </c>
      <c r="O2338" s="704">
        <v>0.51792469156607723</v>
      </c>
      <c r="P2338" s="563" t="s">
        <v>619</v>
      </c>
      <c r="Q2338" s="372" t="s">
        <v>619</v>
      </c>
      <c r="R2338" s="696">
        <v>20200427</v>
      </c>
      <c r="S2338" s="372" t="s">
        <v>14910</v>
      </c>
      <c r="T2338" s="697">
        <v>0.20900000000000002</v>
      </c>
      <c r="U2338" s="372" t="s">
        <v>14911</v>
      </c>
      <c r="V2338" s="722">
        <v>0</v>
      </c>
      <c r="W2338" s="722">
        <v>0</v>
      </c>
      <c r="X2338" s="722">
        <v>0</v>
      </c>
      <c r="Y2338" s="722">
        <v>0</v>
      </c>
      <c r="Z2338" s="382" t="s">
        <v>924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14912</v>
      </c>
      <c r="B2339" s="372" t="s">
        <v>14913</v>
      </c>
      <c r="C2339" s="372" t="s">
        <v>16057</v>
      </c>
      <c r="D2339" s="374">
        <v>1101110511588</v>
      </c>
      <c r="E2339" s="372" t="s">
        <v>16058</v>
      </c>
      <c r="F2339" s="372" t="s">
        <v>3882</v>
      </c>
      <c r="G2339" s="375" t="s">
        <v>7791</v>
      </c>
      <c r="H2339" s="375" t="s">
        <v>892</v>
      </c>
      <c r="I2339" s="375" t="s">
        <v>859</v>
      </c>
      <c r="J2339" s="375">
        <v>0</v>
      </c>
      <c r="K2339" s="375">
        <v>0</v>
      </c>
      <c r="L2339" s="375">
        <v>0</v>
      </c>
      <c r="M2339" s="375">
        <v>0</v>
      </c>
      <c r="N2339" s="372">
        <v>0.70199999999999996</v>
      </c>
      <c r="O2339" s="704" t="s">
        <v>16298</v>
      </c>
      <c r="P2339" s="563" t="s">
        <v>619</v>
      </c>
      <c r="Q2339" s="372" t="s">
        <v>619</v>
      </c>
      <c r="R2339" s="696">
        <v>19890307</v>
      </c>
      <c r="S2339" s="372" t="s">
        <v>14914</v>
      </c>
      <c r="T2339" s="697" t="s">
        <v>768</v>
      </c>
      <c r="U2339" s="372" t="s">
        <v>14915</v>
      </c>
      <c r="V2339" s="722">
        <v>0</v>
      </c>
      <c r="W2339" s="722">
        <v>0</v>
      </c>
      <c r="X2339" s="722">
        <v>0</v>
      </c>
      <c r="Y2339" s="722">
        <v>0</v>
      </c>
      <c r="Z2339" s="382" t="s">
        <v>924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14916</v>
      </c>
      <c r="B2340" s="372" t="s">
        <v>14917</v>
      </c>
      <c r="C2340" s="372" t="s">
        <v>14918</v>
      </c>
      <c r="D2340" s="374">
        <v>1101110224727</v>
      </c>
      <c r="E2340" s="372" t="s">
        <v>14919</v>
      </c>
      <c r="F2340" s="372" t="s">
        <v>9925</v>
      </c>
      <c r="G2340" s="375" t="s">
        <v>9925</v>
      </c>
      <c r="H2340" s="375" t="s">
        <v>3096</v>
      </c>
      <c r="I2340" s="375" t="s">
        <v>859</v>
      </c>
      <c r="J2340" s="375">
        <v>91597.728210000001</v>
      </c>
      <c r="K2340" s="375">
        <v>539.16057000000001</v>
      </c>
      <c r="L2340" s="375">
        <v>-461.70166</v>
      </c>
      <c r="M2340" s="375">
        <v>17319.80127</v>
      </c>
      <c r="N2340" s="372">
        <v>0.66400000000000003</v>
      </c>
      <c r="O2340" s="704">
        <v>79.253954274193546</v>
      </c>
      <c r="P2340" s="563" t="s">
        <v>619</v>
      </c>
      <c r="Q2340" s="372" t="s">
        <v>619</v>
      </c>
      <c r="R2340" s="696">
        <v>19950630</v>
      </c>
      <c r="S2340" s="372" t="s">
        <v>14920</v>
      </c>
      <c r="T2340" s="697" t="s">
        <v>768</v>
      </c>
      <c r="U2340" s="372" t="s">
        <v>14921</v>
      </c>
      <c r="V2340" s="722">
        <v>26.4</v>
      </c>
      <c r="W2340" s="722">
        <v>1.44</v>
      </c>
      <c r="X2340" s="722">
        <v>0.27</v>
      </c>
      <c r="Y2340" s="722" t="s">
        <v>770</v>
      </c>
      <c r="Z2340" s="382" t="s">
        <v>924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14922</v>
      </c>
      <c r="B2341" s="372" t="s">
        <v>14923</v>
      </c>
      <c r="C2341" s="372" t="s">
        <v>14924</v>
      </c>
      <c r="D2341" s="374">
        <v>2042110000370</v>
      </c>
      <c r="E2341" s="372" t="s">
        <v>14925</v>
      </c>
      <c r="F2341" s="372" t="s">
        <v>2702</v>
      </c>
      <c r="G2341" s="375" t="s">
        <v>5192</v>
      </c>
      <c r="H2341" s="375" t="s">
        <v>858</v>
      </c>
      <c r="I2341" s="375" t="s">
        <v>859</v>
      </c>
      <c r="J2341" s="375">
        <v>40402.365270000002</v>
      </c>
      <c r="K2341" s="375">
        <v>-1948.82906</v>
      </c>
      <c r="L2341" s="375">
        <v>1853.0146</v>
      </c>
      <c r="M2341" s="375">
        <v>107214.71662000001</v>
      </c>
      <c r="N2341" s="372">
        <v>0.53400000000000003</v>
      </c>
      <c r="O2341" s="704">
        <v>0</v>
      </c>
      <c r="P2341" s="563" t="s">
        <v>619</v>
      </c>
      <c r="Q2341" s="372" t="s">
        <v>619</v>
      </c>
      <c r="R2341" s="696">
        <v>20050119</v>
      </c>
      <c r="S2341" s="372" t="s">
        <v>14926</v>
      </c>
      <c r="T2341" s="697">
        <v>0.20900000000000002</v>
      </c>
      <c r="U2341" s="372" t="s">
        <v>14927</v>
      </c>
      <c r="V2341" s="722">
        <v>258.13</v>
      </c>
      <c r="W2341" s="722">
        <v>0.34</v>
      </c>
      <c r="X2341" s="722">
        <v>0.6</v>
      </c>
      <c r="Y2341" s="722">
        <v>14.57</v>
      </c>
      <c r="Z2341" s="382" t="s">
        <v>924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14928</v>
      </c>
      <c r="B2342" s="372" t="s">
        <v>14929</v>
      </c>
      <c r="C2342" s="372" t="s">
        <v>14930</v>
      </c>
      <c r="D2342" s="374">
        <v>1951110010951</v>
      </c>
      <c r="E2342" s="372" t="s">
        <v>14931</v>
      </c>
      <c r="F2342" s="372" t="s">
        <v>2744</v>
      </c>
      <c r="G2342" s="375" t="s">
        <v>9395</v>
      </c>
      <c r="H2342" s="375" t="s">
        <v>809</v>
      </c>
      <c r="I2342" s="375" t="s">
        <v>751</v>
      </c>
      <c r="J2342" s="375">
        <v>112759.99546000001</v>
      </c>
      <c r="K2342" s="375">
        <v>-22937.374739999999</v>
      </c>
      <c r="L2342" s="375">
        <v>-23161.531709999999</v>
      </c>
      <c r="M2342" s="375">
        <v>47592.552049999998</v>
      </c>
      <c r="N2342" s="372">
        <v>0.97099999999999997</v>
      </c>
      <c r="O2342" s="704">
        <v>331.76170605838882</v>
      </c>
      <c r="P2342" s="563" t="s">
        <v>619</v>
      </c>
      <c r="Q2342" s="372" t="s">
        <v>619</v>
      </c>
      <c r="R2342" s="696">
        <v>20140722</v>
      </c>
      <c r="S2342" s="372" t="s">
        <v>14932</v>
      </c>
      <c r="T2342" s="697" t="s">
        <v>768</v>
      </c>
      <c r="U2342" s="372" t="s">
        <v>14933</v>
      </c>
      <c r="V2342" s="722" t="s">
        <v>770</v>
      </c>
      <c r="W2342" s="722">
        <v>0.6</v>
      </c>
      <c r="X2342" s="722">
        <v>0.24</v>
      </c>
      <c r="Y2342" s="722" t="s">
        <v>770</v>
      </c>
      <c r="Z2342" s="382" t="s">
        <v>924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14934</v>
      </c>
      <c r="B2343" s="372" t="s">
        <v>14935</v>
      </c>
      <c r="C2343" s="372" t="s">
        <v>14936</v>
      </c>
      <c r="D2343" s="374">
        <v>1345110037710</v>
      </c>
      <c r="E2343" s="372" t="s">
        <v>14937</v>
      </c>
      <c r="F2343" s="372" t="s">
        <v>3718</v>
      </c>
      <c r="G2343" s="375" t="s">
        <v>3719</v>
      </c>
      <c r="H2343" s="375" t="s">
        <v>858</v>
      </c>
      <c r="I2343" s="375" t="s">
        <v>859</v>
      </c>
      <c r="J2343" s="375">
        <v>52786.53241</v>
      </c>
      <c r="K2343" s="375">
        <v>-1939.38681</v>
      </c>
      <c r="L2343" s="375">
        <v>729.33536000000004</v>
      </c>
      <c r="M2343" s="375">
        <v>33067.649460000001</v>
      </c>
      <c r="N2343" s="372" t="s">
        <v>1023</v>
      </c>
      <c r="O2343" s="704">
        <v>108.07838165527022</v>
      </c>
      <c r="P2343" s="563" t="s">
        <v>619</v>
      </c>
      <c r="Q2343" s="372" t="s">
        <v>619</v>
      </c>
      <c r="R2343" s="696">
        <v>20070130</v>
      </c>
      <c r="S2343" s="372" t="s">
        <v>14938</v>
      </c>
      <c r="T2343" s="697">
        <v>0.20900000000000002</v>
      </c>
      <c r="U2343" s="372" t="s">
        <v>14939</v>
      </c>
      <c r="V2343" s="722" t="s">
        <v>770</v>
      </c>
      <c r="W2343" s="722">
        <v>0.66</v>
      </c>
      <c r="X2343" s="722">
        <v>0.5</v>
      </c>
      <c r="Y2343" s="722" t="s">
        <v>770</v>
      </c>
      <c r="Z2343" s="382" t="s">
        <v>924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14940</v>
      </c>
      <c r="B2344" s="372" t="s">
        <v>14941</v>
      </c>
      <c r="C2344" s="372" t="s">
        <v>14942</v>
      </c>
      <c r="D2344" s="374">
        <v>1101114422103</v>
      </c>
      <c r="E2344" s="372" t="s">
        <v>14943</v>
      </c>
      <c r="F2344" s="372" t="s">
        <v>1367</v>
      </c>
      <c r="G2344" s="375" t="s">
        <v>1367</v>
      </c>
      <c r="H2344" s="375" t="s">
        <v>858</v>
      </c>
      <c r="I2344" s="375" t="s">
        <v>859</v>
      </c>
      <c r="J2344" s="375">
        <v>0</v>
      </c>
      <c r="K2344" s="375">
        <v>0</v>
      </c>
      <c r="L2344" s="375">
        <v>0</v>
      </c>
      <c r="M2344" s="375">
        <v>27033.472180000001</v>
      </c>
      <c r="N2344" s="372">
        <v>0.73</v>
      </c>
      <c r="O2344" s="704">
        <v>5.4653660220428311</v>
      </c>
      <c r="P2344" s="563" t="s">
        <v>619</v>
      </c>
      <c r="Q2344" s="372" t="s">
        <v>619</v>
      </c>
      <c r="R2344" s="696">
        <v>20180806</v>
      </c>
      <c r="S2344" s="372" t="s">
        <v>14944</v>
      </c>
      <c r="T2344" s="697" t="s">
        <v>768</v>
      </c>
      <c r="U2344" s="372" t="s">
        <v>14945</v>
      </c>
      <c r="V2344" s="722">
        <v>0</v>
      </c>
      <c r="W2344" s="722">
        <v>0.69</v>
      </c>
      <c r="X2344" s="722">
        <v>0</v>
      </c>
      <c r="Y2344" s="722">
        <v>0</v>
      </c>
      <c r="Z2344" s="382" t="s">
        <v>924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14946</v>
      </c>
      <c r="B2345" s="372" t="s">
        <v>14947</v>
      </c>
      <c r="C2345" s="372" t="s">
        <v>14948</v>
      </c>
      <c r="D2345" s="374">
        <v>1701110141812</v>
      </c>
      <c r="E2345" s="372" t="s">
        <v>14949</v>
      </c>
      <c r="F2345" s="372" t="s">
        <v>1273</v>
      </c>
      <c r="G2345" s="375" t="s">
        <v>16106</v>
      </c>
      <c r="H2345" s="375" t="s">
        <v>858</v>
      </c>
      <c r="I2345" s="375" t="s">
        <v>859</v>
      </c>
      <c r="J2345" s="375">
        <v>34797.509579999998</v>
      </c>
      <c r="K2345" s="375">
        <v>1455.22272</v>
      </c>
      <c r="L2345" s="375">
        <v>-2723.42238</v>
      </c>
      <c r="M2345" s="375">
        <v>20193.927479999998</v>
      </c>
      <c r="N2345" s="372">
        <v>0.435</v>
      </c>
      <c r="O2345" s="704">
        <v>14.913241824895639</v>
      </c>
      <c r="P2345" s="563" t="s">
        <v>16112</v>
      </c>
      <c r="Q2345" s="372" t="s">
        <v>16113</v>
      </c>
      <c r="R2345" s="696">
        <v>20101019</v>
      </c>
      <c r="S2345" s="372" t="s">
        <v>14950</v>
      </c>
      <c r="T2345" s="697" t="s">
        <v>768</v>
      </c>
      <c r="U2345" s="372" t="s">
        <v>15968</v>
      </c>
      <c r="V2345" s="722">
        <v>11.38</v>
      </c>
      <c r="W2345" s="722">
        <v>1.4</v>
      </c>
      <c r="X2345" s="722">
        <v>0.86</v>
      </c>
      <c r="Y2345" s="722" t="s">
        <v>770</v>
      </c>
      <c r="Z2345" s="382" t="s">
        <v>924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14951</v>
      </c>
      <c r="B2346" s="372" t="s">
        <v>14952</v>
      </c>
      <c r="C2346" s="372" t="s">
        <v>14953</v>
      </c>
      <c r="D2346" s="374">
        <v>1941110002884</v>
      </c>
      <c r="E2346" s="372" t="s">
        <v>14954</v>
      </c>
      <c r="F2346" s="372" t="s">
        <v>1133</v>
      </c>
      <c r="G2346" s="375" t="s">
        <v>3125</v>
      </c>
      <c r="H2346" s="375" t="s">
        <v>858</v>
      </c>
      <c r="I2346" s="375" t="s">
        <v>859</v>
      </c>
      <c r="J2346" s="375">
        <v>30642.868170000002</v>
      </c>
      <c r="K2346" s="375">
        <v>3882.7713600000002</v>
      </c>
      <c r="L2346" s="375">
        <v>3831.7388999999998</v>
      </c>
      <c r="M2346" s="375">
        <v>37542.561229999999</v>
      </c>
      <c r="N2346" s="372">
        <v>0.59799999999999998</v>
      </c>
      <c r="O2346" s="704">
        <v>34.43782628078818</v>
      </c>
      <c r="P2346" s="563" t="s">
        <v>619</v>
      </c>
      <c r="Q2346" s="372" t="s">
        <v>619</v>
      </c>
      <c r="R2346" s="696">
        <v>20091110</v>
      </c>
      <c r="S2346" s="372" t="s">
        <v>14955</v>
      </c>
      <c r="T2346" s="697">
        <v>0.20900000000000002</v>
      </c>
      <c r="U2346" s="372" t="s">
        <v>14956</v>
      </c>
      <c r="V2346" s="722">
        <v>0</v>
      </c>
      <c r="W2346" s="722">
        <v>0</v>
      </c>
      <c r="X2346" s="722">
        <v>0</v>
      </c>
      <c r="Y2346" s="722">
        <v>0</v>
      </c>
      <c r="Z2346" s="382" t="s">
        <v>924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14957</v>
      </c>
      <c r="B2347" s="372" t="s">
        <v>14958</v>
      </c>
      <c r="C2347" s="372" t="s">
        <v>14959</v>
      </c>
      <c r="D2347" s="374">
        <v>1101116136877</v>
      </c>
      <c r="E2347" s="372" t="s">
        <v>14960</v>
      </c>
      <c r="F2347" s="372" t="s">
        <v>3195</v>
      </c>
      <c r="G2347" s="375" t="s">
        <v>3195</v>
      </c>
      <c r="H2347" s="375" t="s">
        <v>3096</v>
      </c>
      <c r="I2347" s="375" t="s">
        <v>859</v>
      </c>
      <c r="J2347" s="375">
        <v>47330.853139999999</v>
      </c>
      <c r="K2347" s="375">
        <v>-3377.8196800000001</v>
      </c>
      <c r="L2347" s="375">
        <v>-5335.93768</v>
      </c>
      <c r="M2347" s="375">
        <v>55258.287539999998</v>
      </c>
      <c r="N2347" s="372">
        <v>0.64700000000000002</v>
      </c>
      <c r="O2347" s="704">
        <v>145.61992604203019</v>
      </c>
      <c r="P2347" s="563" t="s">
        <v>619</v>
      </c>
      <c r="Q2347" s="372" t="s">
        <v>619</v>
      </c>
      <c r="R2347" s="696">
        <v>20190610</v>
      </c>
      <c r="S2347" s="372" t="s">
        <v>14961</v>
      </c>
      <c r="T2347" s="697" t="s">
        <v>768</v>
      </c>
      <c r="U2347" s="372" t="s">
        <v>14962</v>
      </c>
      <c r="V2347" s="722" t="s">
        <v>770</v>
      </c>
      <c r="W2347" s="722">
        <v>0.39</v>
      </c>
      <c r="X2347" s="722">
        <v>0.48</v>
      </c>
      <c r="Y2347" s="722" t="s">
        <v>770</v>
      </c>
      <c r="Z2347" s="382" t="s">
        <v>924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14963</v>
      </c>
      <c r="B2348" s="372" t="s">
        <v>14964</v>
      </c>
      <c r="C2348" s="372" t="s">
        <v>14965</v>
      </c>
      <c r="D2348" s="374">
        <v>1101110340979</v>
      </c>
      <c r="E2348" s="372" t="s">
        <v>14966</v>
      </c>
      <c r="F2348" s="372" t="s">
        <v>842</v>
      </c>
      <c r="G2348" s="375" t="s">
        <v>842</v>
      </c>
      <c r="H2348" s="375" t="s">
        <v>3096</v>
      </c>
      <c r="I2348" s="375" t="s">
        <v>859</v>
      </c>
      <c r="J2348" s="375">
        <v>25297.265380000001</v>
      </c>
      <c r="K2348" s="375">
        <v>-372.46543000000003</v>
      </c>
      <c r="L2348" s="375">
        <v>4281.4160899999997</v>
      </c>
      <c r="M2348" s="375">
        <v>65091.294779999997</v>
      </c>
      <c r="N2348" s="372">
        <v>1.1299999999999999</v>
      </c>
      <c r="O2348" s="704">
        <v>8.9645569234473097</v>
      </c>
      <c r="P2348" s="563" t="s">
        <v>619</v>
      </c>
      <c r="Q2348" s="372" t="s">
        <v>619</v>
      </c>
      <c r="R2348" s="696">
        <v>19930414</v>
      </c>
      <c r="S2348" s="372" t="s">
        <v>14967</v>
      </c>
      <c r="T2348" s="697">
        <v>0.20900000000000002</v>
      </c>
      <c r="U2348" s="372" t="s">
        <v>15969</v>
      </c>
      <c r="V2348" s="722">
        <v>23.91</v>
      </c>
      <c r="W2348" s="722">
        <v>0.37</v>
      </c>
      <c r="X2348" s="722">
        <v>0.72</v>
      </c>
      <c r="Y2348" s="722">
        <v>4.24</v>
      </c>
      <c r="Z2348" s="382" t="s">
        <v>924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14968</v>
      </c>
      <c r="B2349" s="372" t="s">
        <v>14969</v>
      </c>
      <c r="C2349" s="372" t="s">
        <v>14970</v>
      </c>
      <c r="D2349" s="374">
        <v>1101110111825</v>
      </c>
      <c r="E2349" s="372" t="s">
        <v>14971</v>
      </c>
      <c r="F2349" s="372" t="s">
        <v>821</v>
      </c>
      <c r="G2349" s="375" t="s">
        <v>16105</v>
      </c>
      <c r="H2349" s="375" t="s">
        <v>823</v>
      </c>
      <c r="I2349" s="375" t="s">
        <v>751</v>
      </c>
      <c r="J2349" s="375">
        <v>10765.601619999999</v>
      </c>
      <c r="K2349" s="375">
        <v>-31048.82877</v>
      </c>
      <c r="L2349" s="375">
        <v>34969.603869999999</v>
      </c>
      <c r="M2349" s="375">
        <v>103500.6366</v>
      </c>
      <c r="N2349" s="372">
        <v>0.46800000000000003</v>
      </c>
      <c r="O2349" s="704">
        <v>16.286163285202946</v>
      </c>
      <c r="P2349" s="563" t="s">
        <v>16112</v>
      </c>
      <c r="Q2349" s="372" t="s">
        <v>619</v>
      </c>
      <c r="R2349" s="696">
        <v>19740528</v>
      </c>
      <c r="S2349" s="372" t="s">
        <v>14972</v>
      </c>
      <c r="T2349" s="697">
        <v>0.23100000000000001</v>
      </c>
      <c r="U2349" s="372" t="s">
        <v>14973</v>
      </c>
      <c r="V2349" s="722">
        <v>0</v>
      </c>
      <c r="W2349" s="722">
        <v>0</v>
      </c>
      <c r="X2349" s="722">
        <v>0</v>
      </c>
      <c r="Y2349" s="722">
        <v>0</v>
      </c>
      <c r="Z2349" s="382" t="s">
        <v>924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14974</v>
      </c>
      <c r="B2350" s="372" t="s">
        <v>14975</v>
      </c>
      <c r="C2350" s="372" t="s">
        <v>14976</v>
      </c>
      <c r="D2350" s="374">
        <v>1347110002644</v>
      </c>
      <c r="E2350" s="372" t="s">
        <v>14977</v>
      </c>
      <c r="F2350" s="372" t="s">
        <v>842</v>
      </c>
      <c r="G2350" s="375" t="s">
        <v>842</v>
      </c>
      <c r="H2350" s="375" t="s">
        <v>843</v>
      </c>
      <c r="I2350" s="375" t="s">
        <v>751</v>
      </c>
      <c r="J2350" s="375">
        <v>2057.0728399999998</v>
      </c>
      <c r="K2350" s="375">
        <v>-4159.7481500000004</v>
      </c>
      <c r="L2350" s="375">
        <v>-1096.86139</v>
      </c>
      <c r="M2350" s="375">
        <v>73748.239610000004</v>
      </c>
      <c r="N2350" s="372">
        <v>0.497</v>
      </c>
      <c r="O2350" s="704">
        <v>7.6277216196439293</v>
      </c>
      <c r="P2350" s="563" t="s">
        <v>619</v>
      </c>
      <c r="Q2350" s="372" t="s">
        <v>619</v>
      </c>
      <c r="R2350" s="696">
        <v>19760630</v>
      </c>
      <c r="S2350" s="372" t="s">
        <v>14978</v>
      </c>
      <c r="T2350" s="697" t="s">
        <v>768</v>
      </c>
      <c r="U2350" s="372" t="s">
        <v>15970</v>
      </c>
      <c r="V2350" s="722" t="s">
        <v>770</v>
      </c>
      <c r="W2350" s="722">
        <v>0.41</v>
      </c>
      <c r="X2350" s="722">
        <v>16.14</v>
      </c>
      <c r="Y2350" s="722" t="s">
        <v>770</v>
      </c>
      <c r="Z2350" s="382" t="s">
        <v>924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14979</v>
      </c>
      <c r="B2351" s="372" t="s">
        <v>14980</v>
      </c>
      <c r="C2351" s="372" t="s">
        <v>14981</v>
      </c>
      <c r="D2351" s="374">
        <v>1101111999444</v>
      </c>
      <c r="E2351" s="372" t="s">
        <v>14982</v>
      </c>
      <c r="F2351" s="372" t="s">
        <v>4635</v>
      </c>
      <c r="G2351" s="375" t="s">
        <v>4635</v>
      </c>
      <c r="H2351" s="375" t="s">
        <v>858</v>
      </c>
      <c r="I2351" s="375" t="s">
        <v>859</v>
      </c>
      <c r="J2351" s="375">
        <v>9437.7663699999994</v>
      </c>
      <c r="K2351" s="375">
        <v>-4436.88364</v>
      </c>
      <c r="L2351" s="375">
        <v>-11185.02418</v>
      </c>
      <c r="M2351" s="375">
        <v>2704.01181</v>
      </c>
      <c r="N2351" s="372">
        <v>0.67300000000000004</v>
      </c>
      <c r="O2351" s="704">
        <v>41.492819263539403</v>
      </c>
      <c r="P2351" s="563" t="s">
        <v>619</v>
      </c>
      <c r="Q2351" s="372" t="s">
        <v>619</v>
      </c>
      <c r="R2351" s="696">
        <v>20191224</v>
      </c>
      <c r="S2351" s="372" t="s">
        <v>14983</v>
      </c>
      <c r="T2351" s="697" t="s">
        <v>768</v>
      </c>
      <c r="U2351" s="372" t="s">
        <v>14984</v>
      </c>
      <c r="V2351" s="722" t="s">
        <v>770</v>
      </c>
      <c r="W2351" s="722">
        <v>7.25</v>
      </c>
      <c r="X2351" s="722">
        <v>3.4</v>
      </c>
      <c r="Y2351" s="722" t="s">
        <v>770</v>
      </c>
      <c r="Z2351" s="382" t="s">
        <v>924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14985</v>
      </c>
      <c r="B2352" s="372" t="s">
        <v>14986</v>
      </c>
      <c r="C2352" s="372" t="s">
        <v>14987</v>
      </c>
      <c r="D2352" s="374">
        <v>1201110040676</v>
      </c>
      <c r="E2352" s="372" t="s">
        <v>14988</v>
      </c>
      <c r="F2352" s="372" t="s">
        <v>8465</v>
      </c>
      <c r="G2352" s="375" t="s">
        <v>14989</v>
      </c>
      <c r="H2352" s="375" t="s">
        <v>858</v>
      </c>
      <c r="I2352" s="375" t="s">
        <v>859</v>
      </c>
      <c r="J2352" s="375">
        <v>23389.024430000001</v>
      </c>
      <c r="K2352" s="375">
        <v>-3141.7584099999999</v>
      </c>
      <c r="L2352" s="375">
        <v>-3069.7694299999998</v>
      </c>
      <c r="M2352" s="375">
        <v>14261.47127</v>
      </c>
      <c r="N2352" s="372">
        <v>0.68100000000000005</v>
      </c>
      <c r="O2352" s="704">
        <v>25.575721659677285</v>
      </c>
      <c r="P2352" s="563" t="s">
        <v>619</v>
      </c>
      <c r="Q2352" s="372" t="s">
        <v>619</v>
      </c>
      <c r="R2352" s="696">
        <v>20040204</v>
      </c>
      <c r="S2352" s="372" t="s">
        <v>14990</v>
      </c>
      <c r="T2352" s="697" t="s">
        <v>768</v>
      </c>
      <c r="U2352" s="372" t="s">
        <v>14991</v>
      </c>
      <c r="V2352" s="722">
        <v>0</v>
      </c>
      <c r="W2352" s="722">
        <v>0</v>
      </c>
      <c r="X2352" s="722">
        <v>0</v>
      </c>
      <c r="Y2352" s="722">
        <v>0</v>
      </c>
      <c r="Z2352" s="382" t="s">
        <v>924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14992</v>
      </c>
      <c r="B2353" s="372" t="s">
        <v>14993</v>
      </c>
      <c r="C2353" s="372" t="s">
        <v>14994</v>
      </c>
      <c r="D2353" s="374">
        <v>1760110025872</v>
      </c>
      <c r="E2353" s="372" t="s">
        <v>14995</v>
      </c>
      <c r="F2353" s="372" t="s">
        <v>1354</v>
      </c>
      <c r="G2353" s="375" t="s">
        <v>1354</v>
      </c>
      <c r="H2353" s="375" t="s">
        <v>858</v>
      </c>
      <c r="I2353" s="375" t="s">
        <v>859</v>
      </c>
      <c r="J2353" s="375">
        <v>9856.1570900000006</v>
      </c>
      <c r="K2353" s="375">
        <v>-6940.1712100000004</v>
      </c>
      <c r="L2353" s="375">
        <v>-16072.527749999999</v>
      </c>
      <c r="M2353" s="375">
        <v>25496.939289999998</v>
      </c>
      <c r="N2353" s="372">
        <v>0.77100000000000002</v>
      </c>
      <c r="O2353" s="704">
        <v>12.329147548850738</v>
      </c>
      <c r="P2353" s="563" t="s">
        <v>16112</v>
      </c>
      <c r="Q2353" s="372" t="s">
        <v>16113</v>
      </c>
      <c r="R2353" s="696">
        <v>20051005</v>
      </c>
      <c r="S2353" s="372" t="s">
        <v>2066</v>
      </c>
      <c r="T2353" s="697" t="s">
        <v>768</v>
      </c>
      <c r="U2353" s="372" t="s">
        <v>14996</v>
      </c>
      <c r="V2353" s="722" t="s">
        <v>770</v>
      </c>
      <c r="W2353" s="722">
        <v>1.88</v>
      </c>
      <c r="X2353" s="722">
        <v>4.55</v>
      </c>
      <c r="Y2353" s="722" t="s">
        <v>770</v>
      </c>
      <c r="Z2353" s="382" t="s">
        <v>924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14997</v>
      </c>
      <c r="B2354" s="372" t="s">
        <v>14998</v>
      </c>
      <c r="C2354" s="372" t="s">
        <v>14999</v>
      </c>
      <c r="D2354" s="374">
        <v>1101118519055</v>
      </c>
      <c r="E2354" s="372" t="s">
        <v>15000</v>
      </c>
      <c r="F2354" s="372" t="s">
        <v>1140</v>
      </c>
      <c r="G2354" s="375" t="s">
        <v>1141</v>
      </c>
      <c r="H2354" s="375" t="s">
        <v>892</v>
      </c>
      <c r="I2354" s="375" t="s">
        <v>859</v>
      </c>
      <c r="J2354" s="375">
        <v>0</v>
      </c>
      <c r="K2354" s="375">
        <v>-70.262649999999994</v>
      </c>
      <c r="L2354" s="375">
        <v>884.10735999999997</v>
      </c>
      <c r="M2354" s="375">
        <v>28130.9529</v>
      </c>
      <c r="N2354" s="372" t="s">
        <v>1023</v>
      </c>
      <c r="O2354" s="704">
        <v>8.5486620209059225</v>
      </c>
      <c r="P2354" s="563" t="s">
        <v>619</v>
      </c>
      <c r="Q2354" s="372" t="s">
        <v>619</v>
      </c>
      <c r="R2354" s="696">
        <v>20230623</v>
      </c>
      <c r="S2354" s="372" t="s">
        <v>5468</v>
      </c>
      <c r="T2354" s="697">
        <v>0.20900000000000002</v>
      </c>
      <c r="U2354" s="372">
        <v>0</v>
      </c>
      <c r="V2354" s="722">
        <v>0</v>
      </c>
      <c r="W2354" s="722">
        <v>0</v>
      </c>
      <c r="X2354" s="722">
        <v>0</v>
      </c>
      <c r="Y2354" s="722">
        <v>0</v>
      </c>
      <c r="Z2354" s="382" t="s">
        <v>770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15001</v>
      </c>
      <c r="B2355" s="372" t="s">
        <v>15002</v>
      </c>
      <c r="C2355" s="372" t="s">
        <v>15003</v>
      </c>
      <c r="D2355" s="374">
        <v>1243110009781</v>
      </c>
      <c r="E2355" s="372" t="s">
        <v>15004</v>
      </c>
      <c r="F2355" s="372" t="s">
        <v>1411</v>
      </c>
      <c r="G2355" s="375" t="s">
        <v>1411</v>
      </c>
      <c r="H2355" s="375" t="s">
        <v>858</v>
      </c>
      <c r="I2355" s="375" t="s">
        <v>859</v>
      </c>
      <c r="J2355" s="375">
        <v>34467.474549999999</v>
      </c>
      <c r="K2355" s="375">
        <v>-2640.5232700000001</v>
      </c>
      <c r="L2355" s="375">
        <v>-6267.7662099999998</v>
      </c>
      <c r="M2355" s="375">
        <v>30290.644840000001</v>
      </c>
      <c r="N2355" s="372">
        <v>0.67900000000000005</v>
      </c>
      <c r="O2355" s="704">
        <v>249.40665280870945</v>
      </c>
      <c r="P2355" s="563" t="s">
        <v>619</v>
      </c>
      <c r="Q2355" s="372" t="s">
        <v>619</v>
      </c>
      <c r="R2355" s="696">
        <v>19991201</v>
      </c>
      <c r="S2355" s="372" t="s">
        <v>15005</v>
      </c>
      <c r="T2355" s="697" t="s">
        <v>768</v>
      </c>
      <c r="U2355" s="372" t="s">
        <v>15006</v>
      </c>
      <c r="V2355" s="722" t="s">
        <v>770</v>
      </c>
      <c r="W2355" s="722">
        <v>0.64</v>
      </c>
      <c r="X2355" s="722">
        <v>0.56000000000000005</v>
      </c>
      <c r="Y2355" s="722" t="s">
        <v>770</v>
      </c>
      <c r="Z2355" s="382" t="s">
        <v>924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15007</v>
      </c>
      <c r="B2356" s="372" t="s">
        <v>15008</v>
      </c>
      <c r="C2356" s="372" t="s">
        <v>15009</v>
      </c>
      <c r="D2356" s="374">
        <v>1350110047883</v>
      </c>
      <c r="E2356" s="372" t="s">
        <v>15010</v>
      </c>
      <c r="F2356" s="372" t="s">
        <v>10460</v>
      </c>
      <c r="G2356" s="375" t="s">
        <v>15011</v>
      </c>
      <c r="H2356" s="375" t="s">
        <v>858</v>
      </c>
      <c r="I2356" s="375" t="s">
        <v>859</v>
      </c>
      <c r="J2356" s="375">
        <v>32472.73026</v>
      </c>
      <c r="K2356" s="375">
        <v>699.09560999999997</v>
      </c>
      <c r="L2356" s="375">
        <v>2166.8627900000001</v>
      </c>
      <c r="M2356" s="375">
        <v>48949.70132</v>
      </c>
      <c r="N2356" s="372">
        <v>0.56299999999999994</v>
      </c>
      <c r="O2356" s="704">
        <v>98.390905876376408</v>
      </c>
      <c r="P2356" s="563" t="s">
        <v>619</v>
      </c>
      <c r="Q2356" s="372" t="s">
        <v>619</v>
      </c>
      <c r="R2356" s="696">
        <v>20020423</v>
      </c>
      <c r="S2356" s="372" t="s">
        <v>15012</v>
      </c>
      <c r="T2356" s="697">
        <v>0.20900000000000002</v>
      </c>
      <c r="U2356" s="372" t="s">
        <v>15013</v>
      </c>
      <c r="V2356" s="722">
        <v>0</v>
      </c>
      <c r="W2356" s="722">
        <v>0</v>
      </c>
      <c r="X2356" s="722">
        <v>0</v>
      </c>
      <c r="Y2356" s="722">
        <v>0</v>
      </c>
      <c r="Z2356" s="382" t="s">
        <v>924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15014</v>
      </c>
      <c r="B2357" s="372" t="s">
        <v>15015</v>
      </c>
      <c r="C2357" s="372" t="s">
        <v>15016</v>
      </c>
      <c r="D2357" s="374">
        <v>1101110028541</v>
      </c>
      <c r="E2357" s="372" t="s">
        <v>15017</v>
      </c>
      <c r="F2357" s="372" t="s">
        <v>7383</v>
      </c>
      <c r="G2357" s="375" t="s">
        <v>7383</v>
      </c>
      <c r="H2357" s="375" t="s">
        <v>750</v>
      </c>
      <c r="I2357" s="375" t="s">
        <v>751</v>
      </c>
      <c r="J2357" s="375">
        <v>51955.367100000003</v>
      </c>
      <c r="K2357" s="375">
        <v>-7295.3359899999996</v>
      </c>
      <c r="L2357" s="375">
        <v>-17238.39169</v>
      </c>
      <c r="M2357" s="375">
        <v>4925.8532599999999</v>
      </c>
      <c r="N2357" s="372">
        <v>0.54900000000000004</v>
      </c>
      <c r="O2357" s="704">
        <v>74.131301062113437</v>
      </c>
      <c r="P2357" s="563" t="s">
        <v>619</v>
      </c>
      <c r="Q2357" s="372" t="s">
        <v>619</v>
      </c>
      <c r="R2357" s="696">
        <v>19731115</v>
      </c>
      <c r="S2357" s="372" t="s">
        <v>15018</v>
      </c>
      <c r="T2357" s="697" t="s">
        <v>768</v>
      </c>
      <c r="U2357" s="372" t="s">
        <v>15019</v>
      </c>
      <c r="V2357" s="722" t="s">
        <v>770</v>
      </c>
      <c r="W2357" s="722">
        <v>0.75</v>
      </c>
      <c r="X2357" s="722">
        <v>0.68</v>
      </c>
      <c r="Y2357" s="722" t="s">
        <v>770</v>
      </c>
      <c r="Z2357" s="382" t="s">
        <v>924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15020</v>
      </c>
      <c r="B2358" s="372" t="s">
        <v>15021</v>
      </c>
      <c r="C2358" s="372" t="s">
        <v>15022</v>
      </c>
      <c r="D2358" s="374">
        <v>1101110774376</v>
      </c>
      <c r="E2358" s="372" t="s">
        <v>15023</v>
      </c>
      <c r="F2358" s="372" t="s">
        <v>15024</v>
      </c>
      <c r="G2358" s="375" t="s">
        <v>15025</v>
      </c>
      <c r="H2358" s="375" t="s">
        <v>4844</v>
      </c>
      <c r="I2358" s="375" t="s">
        <v>859</v>
      </c>
      <c r="J2358" s="375">
        <v>179039.61079999999</v>
      </c>
      <c r="K2358" s="375">
        <v>6607.3744399999996</v>
      </c>
      <c r="L2358" s="375">
        <v>3883.5738500000002</v>
      </c>
      <c r="M2358" s="375">
        <v>77641.690069999997</v>
      </c>
      <c r="N2358" s="372">
        <v>0.77800000000000002</v>
      </c>
      <c r="O2358" s="704">
        <v>135.99538319279242</v>
      </c>
      <c r="P2358" s="563" t="s">
        <v>619</v>
      </c>
      <c r="Q2358" s="372" t="s">
        <v>619</v>
      </c>
      <c r="R2358" s="696">
        <v>20011211</v>
      </c>
      <c r="S2358" s="372" t="s">
        <v>15026</v>
      </c>
      <c r="T2358" s="697">
        <v>0.20900000000000002</v>
      </c>
      <c r="U2358" s="372" t="s">
        <v>15027</v>
      </c>
      <c r="V2358" s="722">
        <v>6.07</v>
      </c>
      <c r="W2358" s="722">
        <v>0.4</v>
      </c>
      <c r="X2358" s="722">
        <v>0.14000000000000001</v>
      </c>
      <c r="Y2358" s="722">
        <v>15.92</v>
      </c>
      <c r="Z2358" s="382" t="s">
        <v>924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15028</v>
      </c>
      <c r="B2359" s="372" t="s">
        <v>15029</v>
      </c>
      <c r="C2359" s="372" t="s">
        <v>15030</v>
      </c>
      <c r="D2359" s="374">
        <v>0</v>
      </c>
      <c r="E2359" s="372" t="s">
        <v>15031</v>
      </c>
      <c r="F2359" s="372" t="s">
        <v>890</v>
      </c>
      <c r="G2359" s="375" t="s">
        <v>891</v>
      </c>
      <c r="H2359" s="375">
        <v>0</v>
      </c>
      <c r="I2359" s="375" t="s">
        <v>859</v>
      </c>
      <c r="J2359" s="375">
        <v>121691.557</v>
      </c>
      <c r="K2359" s="375">
        <v>4213.9709999999995</v>
      </c>
      <c r="L2359" s="375">
        <v>4089.846</v>
      </c>
      <c r="M2359" s="375">
        <v>125155.736</v>
      </c>
      <c r="N2359" s="372">
        <v>0.72899999999999998</v>
      </c>
      <c r="O2359" s="704">
        <v>41.223303848800846</v>
      </c>
      <c r="P2359" s="563" t="s">
        <v>619</v>
      </c>
      <c r="Q2359" s="372" t="s">
        <v>619</v>
      </c>
      <c r="R2359" s="696">
        <v>20091223</v>
      </c>
      <c r="S2359" s="372" t="s">
        <v>15032</v>
      </c>
      <c r="T2359" s="697">
        <v>0.20900000000000002</v>
      </c>
      <c r="U2359" s="372" t="s">
        <v>15033</v>
      </c>
      <c r="V2359" s="722">
        <v>3.94</v>
      </c>
      <c r="W2359" s="722">
        <v>0.22</v>
      </c>
      <c r="X2359" s="722">
        <v>0.2</v>
      </c>
      <c r="Y2359" s="722">
        <v>24.06</v>
      </c>
      <c r="Z2359" s="382" t="s">
        <v>924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15034</v>
      </c>
      <c r="B2360" s="372" t="s">
        <v>15035</v>
      </c>
      <c r="C2360" s="372" t="s">
        <v>15036</v>
      </c>
      <c r="D2360" s="374">
        <v>1101110657275</v>
      </c>
      <c r="E2360" s="372" t="s">
        <v>15037</v>
      </c>
      <c r="F2360" s="372" t="s">
        <v>1753</v>
      </c>
      <c r="G2360" s="375" t="s">
        <v>6496</v>
      </c>
      <c r="H2360" s="375" t="s">
        <v>858</v>
      </c>
      <c r="I2360" s="375" t="s">
        <v>859</v>
      </c>
      <c r="J2360" s="375">
        <v>28330.428489999998</v>
      </c>
      <c r="K2360" s="375">
        <v>-5821.0803400000004</v>
      </c>
      <c r="L2360" s="375">
        <v>-8757.2081699999999</v>
      </c>
      <c r="M2360" s="375">
        <v>12608.144679999999</v>
      </c>
      <c r="N2360" s="372">
        <v>0.73299999999999998</v>
      </c>
      <c r="O2360" s="704">
        <v>65.927187619983712</v>
      </c>
      <c r="P2360" s="563" t="s">
        <v>619</v>
      </c>
      <c r="Q2360" s="372" t="s">
        <v>619</v>
      </c>
      <c r="R2360" s="696">
        <v>20011221</v>
      </c>
      <c r="S2360" s="372" t="s">
        <v>15038</v>
      </c>
      <c r="T2360" s="697" t="s">
        <v>768</v>
      </c>
      <c r="U2360" s="372" t="s">
        <v>15039</v>
      </c>
      <c r="V2360" s="722" t="s">
        <v>770</v>
      </c>
      <c r="W2360" s="722">
        <v>1.84</v>
      </c>
      <c r="X2360" s="722">
        <v>0.82</v>
      </c>
      <c r="Y2360" s="722" t="s">
        <v>770</v>
      </c>
      <c r="Z2360" s="382" t="s">
        <v>924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15040</v>
      </c>
      <c r="B2361" s="372" t="s">
        <v>15041</v>
      </c>
      <c r="C2361" s="372" t="s">
        <v>15042</v>
      </c>
      <c r="D2361" s="374">
        <v>1101115779909</v>
      </c>
      <c r="E2361" s="372" t="s">
        <v>15043</v>
      </c>
      <c r="F2361" s="372" t="s">
        <v>1354</v>
      </c>
      <c r="G2361" s="375" t="s">
        <v>1354</v>
      </c>
      <c r="H2361" s="375" t="s">
        <v>858</v>
      </c>
      <c r="I2361" s="375" t="s">
        <v>859</v>
      </c>
      <c r="J2361" s="375">
        <v>14545.452439999999</v>
      </c>
      <c r="K2361" s="375">
        <v>-3213.5978399999999</v>
      </c>
      <c r="L2361" s="375">
        <v>-3507.48452</v>
      </c>
      <c r="M2361" s="375">
        <v>32779.650829999999</v>
      </c>
      <c r="N2361" s="372">
        <v>0.53400000000000003</v>
      </c>
      <c r="O2361" s="704">
        <v>73.785521784950618</v>
      </c>
      <c r="P2361" s="563" t="s">
        <v>619</v>
      </c>
      <c r="Q2361" s="372" t="s">
        <v>619</v>
      </c>
      <c r="R2361" s="696">
        <v>20151008</v>
      </c>
      <c r="S2361" s="372" t="s">
        <v>15044</v>
      </c>
      <c r="T2361" s="697" t="s">
        <v>768</v>
      </c>
      <c r="U2361" s="372" t="s">
        <v>15045</v>
      </c>
      <c r="V2361" s="722">
        <v>0</v>
      </c>
      <c r="W2361" s="722">
        <v>0</v>
      </c>
      <c r="X2361" s="722">
        <v>0</v>
      </c>
      <c r="Y2361" s="722">
        <v>0</v>
      </c>
      <c r="Z2361" s="382" t="s">
        <v>924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15046</v>
      </c>
      <c r="B2362" s="372" t="s">
        <v>15047</v>
      </c>
      <c r="C2362" s="372" t="s">
        <v>15048</v>
      </c>
      <c r="D2362" s="374">
        <v>0</v>
      </c>
      <c r="E2362" s="372" t="s">
        <v>15049</v>
      </c>
      <c r="F2362" s="372" t="s">
        <v>890</v>
      </c>
      <c r="G2362" s="375" t="s">
        <v>891</v>
      </c>
      <c r="H2362" s="375">
        <v>0</v>
      </c>
      <c r="I2362" s="375" t="s">
        <v>859</v>
      </c>
      <c r="J2362" s="375">
        <v>125070.71799999999</v>
      </c>
      <c r="K2362" s="375">
        <v>6421.4570000000003</v>
      </c>
      <c r="L2362" s="375">
        <v>7166.9369999999999</v>
      </c>
      <c r="M2362" s="375">
        <v>342190.84600000002</v>
      </c>
      <c r="N2362" s="372">
        <v>0.17499999999999999</v>
      </c>
      <c r="O2362" s="704">
        <v>92.55688498590267</v>
      </c>
      <c r="P2362" s="563" t="s">
        <v>619</v>
      </c>
      <c r="Q2362" s="372" t="s">
        <v>619</v>
      </c>
      <c r="R2362" s="696">
        <v>20160818</v>
      </c>
      <c r="S2362" s="372" t="s">
        <v>15050</v>
      </c>
      <c r="T2362" s="697">
        <v>0.20900000000000002</v>
      </c>
      <c r="U2362" s="372" t="s">
        <v>15051</v>
      </c>
      <c r="V2362" s="722">
        <v>5.08</v>
      </c>
      <c r="W2362" s="722">
        <v>0.17</v>
      </c>
      <c r="X2362" s="722">
        <v>0.39</v>
      </c>
      <c r="Y2362" s="722">
        <v>8.7799999999999994</v>
      </c>
      <c r="Z2362" s="382" t="s">
        <v>924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15052</v>
      </c>
      <c r="B2363" s="372" t="s">
        <v>15053</v>
      </c>
      <c r="C2363" s="372" t="s">
        <v>15054</v>
      </c>
      <c r="D2363" s="374">
        <v>1101110514011</v>
      </c>
      <c r="E2363" s="372" t="s">
        <v>15055</v>
      </c>
      <c r="F2363" s="372" t="s">
        <v>1740</v>
      </c>
      <c r="G2363" s="375" t="s">
        <v>1740</v>
      </c>
      <c r="H2363" s="375" t="s">
        <v>3096</v>
      </c>
      <c r="I2363" s="375" t="s">
        <v>859</v>
      </c>
      <c r="J2363" s="375">
        <v>22521.287090000002</v>
      </c>
      <c r="K2363" s="375">
        <v>-612.19381999999996</v>
      </c>
      <c r="L2363" s="375">
        <v>-1773.6979799999999</v>
      </c>
      <c r="M2363" s="375">
        <v>10599.91236</v>
      </c>
      <c r="N2363" s="372">
        <v>0.77400000000000002</v>
      </c>
      <c r="O2363" s="704">
        <v>2.1031229073395852</v>
      </c>
      <c r="P2363" s="563" t="s">
        <v>619</v>
      </c>
      <c r="Q2363" s="372" t="s">
        <v>619</v>
      </c>
      <c r="R2363" s="696">
        <v>19920528</v>
      </c>
      <c r="S2363" s="372" t="s">
        <v>15056</v>
      </c>
      <c r="T2363" s="697" t="s">
        <v>768</v>
      </c>
      <c r="U2363" s="372" t="s">
        <v>15057</v>
      </c>
      <c r="V2363" s="722">
        <v>0</v>
      </c>
      <c r="W2363" s="722">
        <v>0</v>
      </c>
      <c r="X2363" s="722">
        <v>0</v>
      </c>
      <c r="Y2363" s="722">
        <v>0</v>
      </c>
      <c r="Z2363" s="382" t="s">
        <v>924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15058</v>
      </c>
      <c r="B2364" s="372" t="s">
        <v>15059</v>
      </c>
      <c r="C2364" s="372" t="s">
        <v>15060</v>
      </c>
      <c r="D2364" s="374">
        <v>2849110088798</v>
      </c>
      <c r="E2364" s="372" t="s">
        <v>15061</v>
      </c>
      <c r="F2364" s="372" t="s">
        <v>2121</v>
      </c>
      <c r="G2364" s="375" t="s">
        <v>4228</v>
      </c>
      <c r="H2364" s="375" t="s">
        <v>858</v>
      </c>
      <c r="I2364" s="375" t="s">
        <v>859</v>
      </c>
      <c r="J2364" s="375">
        <v>19309.37702</v>
      </c>
      <c r="K2364" s="375">
        <v>-3795.89057</v>
      </c>
      <c r="L2364" s="375">
        <v>-71141.520430000004</v>
      </c>
      <c r="M2364" s="375">
        <v>8617.7148699999998</v>
      </c>
      <c r="N2364" s="372">
        <v>0.80800000000000005</v>
      </c>
      <c r="O2364" s="704">
        <v>141.32346757399196</v>
      </c>
      <c r="P2364" s="563" t="s">
        <v>16112</v>
      </c>
      <c r="Q2364" s="372" t="s">
        <v>16113</v>
      </c>
      <c r="R2364" s="696">
        <v>20180529</v>
      </c>
      <c r="S2364" s="372" t="s">
        <v>15062</v>
      </c>
      <c r="T2364" s="697" t="s">
        <v>768</v>
      </c>
      <c r="U2364" s="372" t="s">
        <v>15063</v>
      </c>
      <c r="V2364" s="722" t="s">
        <v>770</v>
      </c>
      <c r="W2364" s="722">
        <v>2.64</v>
      </c>
      <c r="X2364" s="722">
        <v>1.19</v>
      </c>
      <c r="Y2364" s="722" t="s">
        <v>770</v>
      </c>
      <c r="Z2364" s="382" t="s">
        <v>924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15064</v>
      </c>
      <c r="B2365" s="372" t="s">
        <v>15065</v>
      </c>
      <c r="C2365" s="372" t="s">
        <v>15066</v>
      </c>
      <c r="D2365" s="374">
        <v>1101110735766</v>
      </c>
      <c r="E2365" s="372" t="s">
        <v>15067</v>
      </c>
      <c r="F2365" s="372" t="s">
        <v>842</v>
      </c>
      <c r="G2365" s="375" t="s">
        <v>842</v>
      </c>
      <c r="H2365" s="375" t="s">
        <v>3096</v>
      </c>
      <c r="I2365" s="375" t="s">
        <v>859</v>
      </c>
      <c r="J2365" s="375">
        <v>135891.80841999999</v>
      </c>
      <c r="K2365" s="375">
        <v>413.58638999999999</v>
      </c>
      <c r="L2365" s="375">
        <v>2867.1263399999998</v>
      </c>
      <c r="M2365" s="375">
        <v>47086.874340000002</v>
      </c>
      <c r="N2365" s="372">
        <v>0.88500000000000001</v>
      </c>
      <c r="O2365" s="704">
        <v>90.781396793834915</v>
      </c>
      <c r="P2365" s="563" t="s">
        <v>619</v>
      </c>
      <c r="Q2365" s="372" t="s">
        <v>619</v>
      </c>
      <c r="R2365" s="696">
        <v>20000704</v>
      </c>
      <c r="S2365" s="372" t="s">
        <v>15068</v>
      </c>
      <c r="T2365" s="697">
        <v>0.20900000000000002</v>
      </c>
      <c r="U2365" s="372" t="s">
        <v>15069</v>
      </c>
      <c r="V2365" s="722">
        <v>16.95</v>
      </c>
      <c r="W2365" s="722">
        <v>0.46</v>
      </c>
      <c r="X2365" s="722">
        <v>0.16</v>
      </c>
      <c r="Y2365" s="722">
        <v>7.95</v>
      </c>
      <c r="Z2365" s="382" t="s">
        <v>924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15070</v>
      </c>
      <c r="B2366" s="372" t="s">
        <v>15071</v>
      </c>
      <c r="C2366" s="372" t="s">
        <v>15072</v>
      </c>
      <c r="D2366" s="374">
        <v>1311110050086</v>
      </c>
      <c r="E2366" s="372" t="s">
        <v>15073</v>
      </c>
      <c r="F2366" s="372" t="s">
        <v>1273</v>
      </c>
      <c r="G2366" s="375" t="s">
        <v>1273</v>
      </c>
      <c r="H2366" s="375" t="s">
        <v>858</v>
      </c>
      <c r="I2366" s="375" t="s">
        <v>859</v>
      </c>
      <c r="J2366" s="375">
        <v>9206.2717799999991</v>
      </c>
      <c r="K2366" s="375">
        <v>-3375.7008799999999</v>
      </c>
      <c r="L2366" s="375">
        <v>-3074.6887000000002</v>
      </c>
      <c r="M2366" s="375">
        <v>21310.759480000001</v>
      </c>
      <c r="N2366" s="372">
        <v>0.85699999999999998</v>
      </c>
      <c r="O2366" s="704">
        <v>3.6462008165954991</v>
      </c>
      <c r="P2366" s="563" t="s">
        <v>619</v>
      </c>
      <c r="Q2366" s="372" t="s">
        <v>619</v>
      </c>
      <c r="R2366" s="696">
        <v>20210521</v>
      </c>
      <c r="S2366" s="372" t="s">
        <v>15074</v>
      </c>
      <c r="T2366" s="697" t="s">
        <v>768</v>
      </c>
      <c r="U2366" s="372" t="s">
        <v>15075</v>
      </c>
      <c r="V2366" s="722">
        <v>0</v>
      </c>
      <c r="W2366" s="722">
        <v>0</v>
      </c>
      <c r="X2366" s="722">
        <v>0</v>
      </c>
      <c r="Y2366" s="722">
        <v>0</v>
      </c>
      <c r="Z2366" s="382" t="s">
        <v>924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15076</v>
      </c>
      <c r="B2367" s="372" t="s">
        <v>15077</v>
      </c>
      <c r="C2367" s="372" t="s">
        <v>15078</v>
      </c>
      <c r="D2367" s="374">
        <v>1101118261911</v>
      </c>
      <c r="E2367" s="372" t="s">
        <v>15079</v>
      </c>
      <c r="F2367" s="372" t="s">
        <v>1140</v>
      </c>
      <c r="G2367" s="375" t="s">
        <v>1141</v>
      </c>
      <c r="H2367" s="375" t="s">
        <v>892</v>
      </c>
      <c r="I2367" s="375" t="s">
        <v>4410</v>
      </c>
      <c r="J2367" s="375">
        <v>0</v>
      </c>
      <c r="K2367" s="375">
        <v>0</v>
      </c>
      <c r="L2367" s="375">
        <v>0</v>
      </c>
      <c r="M2367" s="375">
        <v>0</v>
      </c>
      <c r="N2367" s="372" t="s">
        <v>1023</v>
      </c>
      <c r="O2367" s="704" t="s">
        <v>16298</v>
      </c>
      <c r="P2367" s="563" t="s">
        <v>619</v>
      </c>
      <c r="Q2367" s="372" t="s">
        <v>619</v>
      </c>
      <c r="R2367" s="696">
        <v>20220915</v>
      </c>
      <c r="S2367" s="372" t="e">
        <v>#N/A</v>
      </c>
      <c r="T2367" s="697" t="s">
        <v>768</v>
      </c>
      <c r="U2367" s="372">
        <v>0</v>
      </c>
      <c r="V2367" s="722">
        <v>0</v>
      </c>
      <c r="W2367" s="722">
        <v>0</v>
      </c>
      <c r="X2367" s="722">
        <v>0</v>
      </c>
      <c r="Y2367" s="722">
        <v>0</v>
      </c>
      <c r="Z2367" s="382" t="s">
        <v>770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15080</v>
      </c>
      <c r="B2368" s="372" t="s">
        <v>15081</v>
      </c>
      <c r="C2368" s="372" t="s">
        <v>15082</v>
      </c>
      <c r="D2368" s="374">
        <v>1201110082793</v>
      </c>
      <c r="E2368" s="372" t="s">
        <v>15083</v>
      </c>
      <c r="F2368" s="372" t="s">
        <v>2113</v>
      </c>
      <c r="G2368" s="375" t="s">
        <v>8336</v>
      </c>
      <c r="H2368" s="375" t="s">
        <v>858</v>
      </c>
      <c r="I2368" s="375" t="s">
        <v>859</v>
      </c>
      <c r="J2368" s="375">
        <v>29923.860909999999</v>
      </c>
      <c r="K2368" s="375">
        <v>-2216.0596300000002</v>
      </c>
      <c r="L2368" s="375">
        <v>-1677.61905</v>
      </c>
      <c r="M2368" s="375">
        <v>44689.487780000003</v>
      </c>
      <c r="N2368" s="372">
        <v>0.64600000000000002</v>
      </c>
      <c r="O2368" s="704">
        <v>0.29256226667652752</v>
      </c>
      <c r="P2368" s="563" t="s">
        <v>619</v>
      </c>
      <c r="Q2368" s="372" t="s">
        <v>619</v>
      </c>
      <c r="R2368" s="696">
        <v>20141229</v>
      </c>
      <c r="S2368" s="372" t="s">
        <v>15084</v>
      </c>
      <c r="T2368" s="697" t="s">
        <v>768</v>
      </c>
      <c r="U2368" s="372" t="s">
        <v>15085</v>
      </c>
      <c r="V2368" s="722">
        <v>0</v>
      </c>
      <c r="W2368" s="722">
        <v>0</v>
      </c>
      <c r="X2368" s="722">
        <v>0</v>
      </c>
      <c r="Y2368" s="722">
        <v>0</v>
      </c>
      <c r="Z2368" s="382" t="s">
        <v>924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15086</v>
      </c>
      <c r="B2369" s="372" t="s">
        <v>15087</v>
      </c>
      <c r="C2369" s="372" t="s">
        <v>15088</v>
      </c>
      <c r="D2369" s="374">
        <v>1101111430498</v>
      </c>
      <c r="E2369" s="372" t="s">
        <v>15089</v>
      </c>
      <c r="F2369" s="372" t="s">
        <v>1566</v>
      </c>
      <c r="G2369" s="375" t="s">
        <v>1566</v>
      </c>
      <c r="H2369" s="375" t="s">
        <v>3096</v>
      </c>
      <c r="I2369" s="375" t="s">
        <v>859</v>
      </c>
      <c r="J2369" s="375">
        <v>58854.171260000003</v>
      </c>
      <c r="K2369" s="375">
        <v>-493.14285000000001</v>
      </c>
      <c r="L2369" s="375">
        <v>3837.4028199999998</v>
      </c>
      <c r="M2369" s="375">
        <v>122751.00496999999</v>
      </c>
      <c r="N2369" s="372">
        <v>1.23</v>
      </c>
      <c r="O2369" s="704">
        <v>10.770946247436289</v>
      </c>
      <c r="P2369" s="563" t="s">
        <v>619</v>
      </c>
      <c r="Q2369" s="372" t="s">
        <v>619</v>
      </c>
      <c r="R2369" s="696">
        <v>20000607</v>
      </c>
      <c r="S2369" s="372" t="s">
        <v>15090</v>
      </c>
      <c r="T2369" s="697">
        <v>0.20900000000000002</v>
      </c>
      <c r="U2369" s="372" t="s">
        <v>15971</v>
      </c>
      <c r="V2369" s="722">
        <v>207.63</v>
      </c>
      <c r="W2369" s="722">
        <v>0.5</v>
      </c>
      <c r="X2369" s="722">
        <v>0.56999999999999995</v>
      </c>
      <c r="Y2369" s="722">
        <v>18.91</v>
      </c>
      <c r="Z2369" s="382" t="s">
        <v>924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15091</v>
      </c>
      <c r="B2370" s="372" t="s">
        <v>15092</v>
      </c>
      <c r="C2370" s="372" t="s">
        <v>15093</v>
      </c>
      <c r="D2370" s="374">
        <v>1355110151022</v>
      </c>
      <c r="E2370" s="372" t="s">
        <v>15094</v>
      </c>
      <c r="F2370" s="372" t="s">
        <v>1959</v>
      </c>
      <c r="G2370" s="375" t="s">
        <v>1959</v>
      </c>
      <c r="H2370" s="375" t="s">
        <v>858</v>
      </c>
      <c r="I2370" s="375" t="s">
        <v>859</v>
      </c>
      <c r="J2370" s="375">
        <v>19162.69209</v>
      </c>
      <c r="K2370" s="375">
        <v>-1508.50595</v>
      </c>
      <c r="L2370" s="375">
        <v>14031.17369</v>
      </c>
      <c r="M2370" s="375">
        <v>58769.57604</v>
      </c>
      <c r="N2370" s="372">
        <v>1.3580000000000001</v>
      </c>
      <c r="O2370" s="704">
        <v>17.695150449906336</v>
      </c>
      <c r="P2370" s="563" t="s">
        <v>619</v>
      </c>
      <c r="Q2370" s="372" t="s">
        <v>619</v>
      </c>
      <c r="R2370" s="696">
        <v>20131108</v>
      </c>
      <c r="S2370" s="372" t="s">
        <v>15095</v>
      </c>
      <c r="T2370" s="697">
        <v>0.20900000000000002</v>
      </c>
      <c r="U2370" s="372" t="s">
        <v>15972</v>
      </c>
      <c r="V2370" s="722">
        <v>0</v>
      </c>
      <c r="W2370" s="722">
        <v>0</v>
      </c>
      <c r="X2370" s="722">
        <v>0</v>
      </c>
      <c r="Y2370" s="722">
        <v>0</v>
      </c>
      <c r="Z2370" s="382" t="s">
        <v>924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15096</v>
      </c>
      <c r="B2371" s="372" t="s">
        <v>15097</v>
      </c>
      <c r="C2371" s="372" t="s">
        <v>16059</v>
      </c>
      <c r="D2371" s="374">
        <v>1101111651101</v>
      </c>
      <c r="E2371" s="372" t="s">
        <v>16092</v>
      </c>
      <c r="F2371" s="372" t="s">
        <v>1747</v>
      </c>
      <c r="G2371" s="375" t="s">
        <v>1747</v>
      </c>
      <c r="H2371" s="375" t="s">
        <v>858</v>
      </c>
      <c r="I2371" s="375" t="s">
        <v>859</v>
      </c>
      <c r="J2371" s="375">
        <v>1352.89176</v>
      </c>
      <c r="K2371" s="375">
        <v>-8850.8312299999998</v>
      </c>
      <c r="L2371" s="375">
        <v>-11359.691059999999</v>
      </c>
      <c r="M2371" s="375">
        <v>24857.087660000001</v>
      </c>
      <c r="N2371" s="372" t="s">
        <v>1023</v>
      </c>
      <c r="O2371" s="704">
        <v>12.641684117971961</v>
      </c>
      <c r="P2371" s="563" t="s">
        <v>16112</v>
      </c>
      <c r="Q2371" s="372" t="s">
        <v>16113</v>
      </c>
      <c r="R2371" s="696">
        <v>20150617</v>
      </c>
      <c r="S2371" s="372" t="s">
        <v>15098</v>
      </c>
      <c r="T2371" s="697" t="s">
        <v>768</v>
      </c>
      <c r="U2371" s="372" t="s">
        <v>15099</v>
      </c>
      <c r="V2371" s="722" t="s">
        <v>770</v>
      </c>
      <c r="W2371" s="722">
        <v>2.5</v>
      </c>
      <c r="X2371" s="722">
        <v>25.35</v>
      </c>
      <c r="Y2371" s="722" t="s">
        <v>770</v>
      </c>
      <c r="Z2371" s="382" t="s">
        <v>924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15100</v>
      </c>
      <c r="B2372" s="372" t="s">
        <v>15101</v>
      </c>
      <c r="C2372" s="372" t="s">
        <v>15102</v>
      </c>
      <c r="D2372" s="374">
        <v>1341110001672</v>
      </c>
      <c r="E2372" s="372" t="s">
        <v>15103</v>
      </c>
      <c r="F2372" s="372" t="s">
        <v>1354</v>
      </c>
      <c r="G2372" s="375" t="s">
        <v>1354</v>
      </c>
      <c r="H2372" s="375" t="s">
        <v>823</v>
      </c>
      <c r="I2372" s="375" t="s">
        <v>751</v>
      </c>
      <c r="J2372" s="375">
        <v>19924.027549999999</v>
      </c>
      <c r="K2372" s="375">
        <v>-5791.1721399999997</v>
      </c>
      <c r="L2372" s="375">
        <v>-6155.2811700000002</v>
      </c>
      <c r="M2372" s="375">
        <v>34019.349410000003</v>
      </c>
      <c r="N2372" s="372">
        <v>0.96299999999999997</v>
      </c>
      <c r="O2372" s="704">
        <v>10.590829166112805</v>
      </c>
      <c r="P2372" s="563" t="s">
        <v>619</v>
      </c>
      <c r="Q2372" s="372" t="s">
        <v>619</v>
      </c>
      <c r="R2372" s="696">
        <v>19950708</v>
      </c>
      <c r="S2372" s="372" t="s">
        <v>15104</v>
      </c>
      <c r="T2372" s="697" t="s">
        <v>768</v>
      </c>
      <c r="U2372" s="372" t="s">
        <v>15105</v>
      </c>
      <c r="V2372" s="722" t="s">
        <v>770</v>
      </c>
      <c r="W2372" s="722">
        <v>0.77</v>
      </c>
      <c r="X2372" s="722">
        <v>1.31</v>
      </c>
      <c r="Y2372" s="722" t="s">
        <v>770</v>
      </c>
      <c r="Z2372" s="382" t="s">
        <v>924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15106</v>
      </c>
      <c r="B2373" s="372" t="s">
        <v>15107</v>
      </c>
      <c r="C2373" s="372" t="s">
        <v>15108</v>
      </c>
      <c r="D2373" s="374">
        <v>1101113313254</v>
      </c>
      <c r="E2373" s="372" t="s">
        <v>15109</v>
      </c>
      <c r="F2373" s="372" t="s">
        <v>5511</v>
      </c>
      <c r="G2373" s="375" t="s">
        <v>5511</v>
      </c>
      <c r="H2373" s="375" t="s">
        <v>858</v>
      </c>
      <c r="I2373" s="375" t="s">
        <v>859</v>
      </c>
      <c r="J2373" s="375">
        <v>20944.118539999999</v>
      </c>
      <c r="K2373" s="375">
        <v>-6202.3906100000004</v>
      </c>
      <c r="L2373" s="375">
        <v>-8461.1244200000001</v>
      </c>
      <c r="M2373" s="375">
        <v>11248.958549999999</v>
      </c>
      <c r="N2373" s="372" t="s">
        <v>1023</v>
      </c>
      <c r="O2373" s="704">
        <v>11.131472084168212</v>
      </c>
      <c r="P2373" s="563" t="s">
        <v>619</v>
      </c>
      <c r="Q2373" s="372" t="s">
        <v>619</v>
      </c>
      <c r="R2373" s="696">
        <v>20231103</v>
      </c>
      <c r="S2373" s="372" t="s">
        <v>15110</v>
      </c>
      <c r="T2373" s="697" t="s">
        <v>768</v>
      </c>
      <c r="U2373" s="372" t="s">
        <v>15973</v>
      </c>
      <c r="V2373" s="722">
        <v>0</v>
      </c>
      <c r="W2373" s="722">
        <v>0</v>
      </c>
      <c r="X2373" s="722">
        <v>0</v>
      </c>
      <c r="Y2373" s="722">
        <v>0</v>
      </c>
      <c r="Z2373" s="382" t="s">
        <v>924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15111</v>
      </c>
      <c r="B2374" s="372" t="s">
        <v>15112</v>
      </c>
      <c r="C2374" s="372" t="s">
        <v>15113</v>
      </c>
      <c r="D2374" s="374">
        <v>1101110085541</v>
      </c>
      <c r="E2374" s="372" t="s">
        <v>15114</v>
      </c>
      <c r="F2374" s="372" t="s">
        <v>6607</v>
      </c>
      <c r="G2374" s="375" t="s">
        <v>6607</v>
      </c>
      <c r="H2374" s="375" t="s">
        <v>750</v>
      </c>
      <c r="I2374" s="375" t="s">
        <v>751</v>
      </c>
      <c r="J2374" s="375">
        <v>36619.833769999997</v>
      </c>
      <c r="K2374" s="375">
        <v>-22438.75188</v>
      </c>
      <c r="L2374" s="375">
        <v>-37723.330699999999</v>
      </c>
      <c r="M2374" s="375">
        <v>-136417.52692</v>
      </c>
      <c r="N2374" s="372">
        <v>0.66700000000000004</v>
      </c>
      <c r="O2374" s="704">
        <v>37.349393350282881</v>
      </c>
      <c r="P2374" s="563" t="s">
        <v>16112</v>
      </c>
      <c r="Q2374" s="372" t="s">
        <v>16113</v>
      </c>
      <c r="R2374" s="696">
        <v>19750609</v>
      </c>
      <c r="S2374" s="372" t="s">
        <v>15115</v>
      </c>
      <c r="T2374" s="697" t="s">
        <v>768</v>
      </c>
      <c r="U2374" s="372" t="s">
        <v>15116</v>
      </c>
      <c r="V2374" s="722" t="s">
        <v>770</v>
      </c>
      <c r="W2374" s="722" t="s">
        <v>770</v>
      </c>
      <c r="X2374" s="722">
        <v>0.17</v>
      </c>
      <c r="Y2374" s="722" t="s">
        <v>770</v>
      </c>
      <c r="Z2374" s="382" t="s">
        <v>924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15117</v>
      </c>
      <c r="B2375" s="372" t="s">
        <v>15118</v>
      </c>
      <c r="C2375" s="372" t="s">
        <v>15119</v>
      </c>
      <c r="D2375" s="374">
        <v>1101110260218</v>
      </c>
      <c r="E2375" s="372" t="s">
        <v>15120</v>
      </c>
      <c r="F2375" s="372" t="s">
        <v>1740</v>
      </c>
      <c r="G2375" s="375" t="s">
        <v>1740</v>
      </c>
      <c r="H2375" s="375" t="s">
        <v>3096</v>
      </c>
      <c r="I2375" s="375" t="s">
        <v>859</v>
      </c>
      <c r="J2375" s="375">
        <v>11642.990320000001</v>
      </c>
      <c r="K2375" s="375">
        <v>-13882.04184</v>
      </c>
      <c r="L2375" s="375">
        <v>-22546.143199999999</v>
      </c>
      <c r="M2375" s="375">
        <v>57304.223319999997</v>
      </c>
      <c r="N2375" s="372">
        <v>2.0710000000000002</v>
      </c>
      <c r="O2375" s="704">
        <v>5.8164471084594895</v>
      </c>
      <c r="P2375" s="563" t="s">
        <v>619</v>
      </c>
      <c r="Q2375" s="372" t="s">
        <v>619</v>
      </c>
      <c r="R2375" s="696">
        <v>19970107</v>
      </c>
      <c r="S2375" s="372" t="s">
        <v>15121</v>
      </c>
      <c r="T2375" s="697" t="s">
        <v>768</v>
      </c>
      <c r="U2375" s="372" t="s">
        <v>15122</v>
      </c>
      <c r="V2375" s="722" t="s">
        <v>770</v>
      </c>
      <c r="W2375" s="722">
        <v>0.33</v>
      </c>
      <c r="X2375" s="722">
        <v>1.56</v>
      </c>
      <c r="Y2375" s="722" t="s">
        <v>770</v>
      </c>
      <c r="Z2375" s="382" t="s">
        <v>924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15123</v>
      </c>
      <c r="B2376" s="372" t="s">
        <v>15124</v>
      </c>
      <c r="C2376" s="372" t="s">
        <v>15125</v>
      </c>
      <c r="D2376" s="374">
        <v>1101112090168</v>
      </c>
      <c r="E2376" s="372" t="s">
        <v>15126</v>
      </c>
      <c r="F2376" s="372" t="s">
        <v>2831</v>
      </c>
      <c r="G2376" s="375" t="s">
        <v>2831</v>
      </c>
      <c r="H2376" s="375" t="s">
        <v>858</v>
      </c>
      <c r="I2376" s="375" t="s">
        <v>859</v>
      </c>
      <c r="J2376" s="375">
        <v>32386.792369999999</v>
      </c>
      <c r="K2376" s="375">
        <v>-332.53598</v>
      </c>
      <c r="L2376" s="375">
        <v>-1564.0976900000001</v>
      </c>
      <c r="M2376" s="375">
        <v>58067.723449999998</v>
      </c>
      <c r="N2376" s="372">
        <v>1.1499999999999999</v>
      </c>
      <c r="O2376" s="704">
        <v>22.011509247926018</v>
      </c>
      <c r="P2376" s="563" t="s">
        <v>619</v>
      </c>
      <c r="Q2376" s="372" t="s">
        <v>619</v>
      </c>
      <c r="R2376" s="696">
        <v>20070518</v>
      </c>
      <c r="S2376" s="372" t="s">
        <v>15127</v>
      </c>
      <c r="T2376" s="697" t="s">
        <v>768</v>
      </c>
      <c r="U2376" s="372" t="s">
        <v>15128</v>
      </c>
      <c r="V2376" s="722">
        <v>96.02</v>
      </c>
      <c r="W2376" s="722">
        <v>0.26</v>
      </c>
      <c r="X2376" s="722">
        <v>0.46</v>
      </c>
      <c r="Y2376" s="722">
        <v>39.25</v>
      </c>
      <c r="Z2376" s="382" t="s">
        <v>924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15129</v>
      </c>
      <c r="B2377" s="372" t="s">
        <v>15130</v>
      </c>
      <c r="C2377" s="372" t="s">
        <v>15131</v>
      </c>
      <c r="D2377" s="374">
        <v>1101112915605</v>
      </c>
      <c r="E2377" s="372" t="s">
        <v>15132</v>
      </c>
      <c r="F2377" s="372" t="s">
        <v>10200</v>
      </c>
      <c r="G2377" s="375" t="s">
        <v>10200</v>
      </c>
      <c r="H2377" s="375" t="s">
        <v>1334</v>
      </c>
      <c r="I2377" s="375" t="s">
        <v>859</v>
      </c>
      <c r="J2377" s="375">
        <v>45006.555789999999</v>
      </c>
      <c r="K2377" s="375">
        <v>-3447.6271000000002</v>
      </c>
      <c r="L2377" s="375">
        <v>-3239.2387100000001</v>
      </c>
      <c r="M2377" s="375">
        <v>14014.576590000001</v>
      </c>
      <c r="N2377" s="372">
        <v>0.88</v>
      </c>
      <c r="O2377" s="704">
        <v>4.3045652715702225</v>
      </c>
      <c r="P2377" s="563" t="s">
        <v>619</v>
      </c>
      <c r="Q2377" s="372" t="s">
        <v>619</v>
      </c>
      <c r="R2377" s="696">
        <v>20040106</v>
      </c>
      <c r="S2377" s="372" t="s">
        <v>15133</v>
      </c>
      <c r="T2377" s="697" t="s">
        <v>768</v>
      </c>
      <c r="U2377" s="372" t="s">
        <v>15134</v>
      </c>
      <c r="V2377" s="722" t="s">
        <v>770</v>
      </c>
      <c r="W2377" s="722">
        <v>1.1399999999999999</v>
      </c>
      <c r="X2377" s="722">
        <v>0.36</v>
      </c>
      <c r="Y2377" s="722" t="s">
        <v>770</v>
      </c>
      <c r="Z2377" s="382" t="s">
        <v>924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15135</v>
      </c>
      <c r="B2378" s="372" t="s">
        <v>15136</v>
      </c>
      <c r="C2378" s="372" t="s">
        <v>15137</v>
      </c>
      <c r="D2378" s="374">
        <v>1348110056871</v>
      </c>
      <c r="E2378" s="372" t="s">
        <v>15138</v>
      </c>
      <c r="F2378" s="372" t="s">
        <v>1182</v>
      </c>
      <c r="G2378" s="375" t="s">
        <v>3112</v>
      </c>
      <c r="H2378" s="375" t="s">
        <v>858</v>
      </c>
      <c r="I2378" s="375" t="s">
        <v>859</v>
      </c>
      <c r="J2378" s="375">
        <v>30177.215469999999</v>
      </c>
      <c r="K2378" s="375">
        <v>-7533.10005</v>
      </c>
      <c r="L2378" s="375">
        <v>-14034.575999999999</v>
      </c>
      <c r="M2378" s="375">
        <v>25923.318630000002</v>
      </c>
      <c r="N2378" s="372">
        <v>0.90400000000000003</v>
      </c>
      <c r="O2378" s="704">
        <v>177.85223461714969</v>
      </c>
      <c r="P2378" s="563" t="s">
        <v>619</v>
      </c>
      <c r="Q2378" s="372" t="s">
        <v>619</v>
      </c>
      <c r="R2378" s="696">
        <v>20050202</v>
      </c>
      <c r="S2378" s="372" t="s">
        <v>15139</v>
      </c>
      <c r="T2378" s="697" t="s">
        <v>768</v>
      </c>
      <c r="U2378" s="372" t="s">
        <v>15140</v>
      </c>
      <c r="V2378" s="722" t="s">
        <v>770</v>
      </c>
      <c r="W2378" s="722">
        <v>0.67</v>
      </c>
      <c r="X2378" s="722">
        <v>0.66</v>
      </c>
      <c r="Y2378" s="722" t="s">
        <v>770</v>
      </c>
      <c r="Z2378" s="382" t="s">
        <v>924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15141</v>
      </c>
      <c r="B2379" s="372" t="s">
        <v>15142</v>
      </c>
      <c r="C2379" s="372" t="s">
        <v>15143</v>
      </c>
      <c r="D2379" s="374">
        <v>2013110006783</v>
      </c>
      <c r="E2379" s="372" t="s">
        <v>15144</v>
      </c>
      <c r="F2379" s="372" t="s">
        <v>1411</v>
      </c>
      <c r="G2379" s="375" t="s">
        <v>1411</v>
      </c>
      <c r="H2379" s="375" t="s">
        <v>858</v>
      </c>
      <c r="I2379" s="375" t="s">
        <v>859</v>
      </c>
      <c r="J2379" s="375">
        <v>51456.319459999999</v>
      </c>
      <c r="K2379" s="375">
        <v>753.09808999999996</v>
      </c>
      <c r="L2379" s="375">
        <v>-270.59773000000001</v>
      </c>
      <c r="M2379" s="375">
        <v>28436.845270000002</v>
      </c>
      <c r="N2379" s="372">
        <v>0.58499999999999996</v>
      </c>
      <c r="O2379" s="704">
        <v>93.799218252894022</v>
      </c>
      <c r="P2379" s="563" t="s">
        <v>619</v>
      </c>
      <c r="Q2379" s="372" t="s">
        <v>619</v>
      </c>
      <c r="R2379" s="696">
        <v>20000714</v>
      </c>
      <c r="S2379" s="372" t="s">
        <v>15145</v>
      </c>
      <c r="T2379" s="697" t="s">
        <v>768</v>
      </c>
      <c r="U2379" s="372" t="s">
        <v>15146</v>
      </c>
      <c r="V2379" s="722">
        <v>40.340000000000003</v>
      </c>
      <c r="W2379" s="722">
        <v>0.81</v>
      </c>
      <c r="X2379" s="722">
        <v>0.45</v>
      </c>
      <c r="Y2379" s="722" t="s">
        <v>770</v>
      </c>
      <c r="Z2379" s="382" t="s">
        <v>924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15147</v>
      </c>
      <c r="B2380" s="372" t="s">
        <v>15148</v>
      </c>
      <c r="C2380" s="372" t="s">
        <v>15149</v>
      </c>
      <c r="D2380" s="374">
        <v>0</v>
      </c>
      <c r="E2380" s="372" t="s">
        <v>15150</v>
      </c>
      <c r="F2380" s="372" t="s">
        <v>890</v>
      </c>
      <c r="G2380" s="375" t="s">
        <v>891</v>
      </c>
      <c r="H2380" s="375">
        <v>0</v>
      </c>
      <c r="I2380" s="375" t="s">
        <v>859</v>
      </c>
      <c r="J2380" s="375">
        <v>512044.34499999997</v>
      </c>
      <c r="K2380" s="375">
        <v>22379.973999999998</v>
      </c>
      <c r="L2380" s="375">
        <v>25252.19</v>
      </c>
      <c r="M2380" s="375">
        <v>236340.91699999999</v>
      </c>
      <c r="N2380" s="372">
        <v>0.70499999999999996</v>
      </c>
      <c r="O2380" s="704">
        <v>238.78831527635373</v>
      </c>
      <c r="P2380" s="563" t="s">
        <v>619</v>
      </c>
      <c r="Q2380" s="372" t="s">
        <v>619</v>
      </c>
      <c r="R2380" s="696">
        <v>20160630</v>
      </c>
      <c r="S2380" s="372" t="s">
        <v>15151</v>
      </c>
      <c r="T2380" s="697">
        <v>0.23100000000000001</v>
      </c>
      <c r="U2380" s="372" t="s">
        <v>15974</v>
      </c>
      <c r="V2380" s="722">
        <v>0.88</v>
      </c>
      <c r="W2380" s="722">
        <v>0.11</v>
      </c>
      <c r="X2380" s="722">
        <v>0.05</v>
      </c>
      <c r="Y2380" s="722">
        <v>1.1299999999999999</v>
      </c>
      <c r="Z2380" s="382" t="s">
        <v>924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15152</v>
      </c>
      <c r="B2381" s="372" t="s">
        <v>15153</v>
      </c>
      <c r="C2381" s="372" t="s">
        <v>15154</v>
      </c>
      <c r="D2381" s="374">
        <v>1345110052677</v>
      </c>
      <c r="E2381" s="372" t="s">
        <v>15155</v>
      </c>
      <c r="F2381" s="372" t="s">
        <v>1093</v>
      </c>
      <c r="G2381" s="375" t="s">
        <v>1094</v>
      </c>
      <c r="H2381" s="375" t="s">
        <v>858</v>
      </c>
      <c r="I2381" s="375" t="s">
        <v>859</v>
      </c>
      <c r="J2381" s="375">
        <v>36667.997309999999</v>
      </c>
      <c r="K2381" s="375">
        <v>317.81679000000003</v>
      </c>
      <c r="L2381" s="375">
        <v>-144.30431999999999</v>
      </c>
      <c r="M2381" s="375">
        <v>16607.845840000002</v>
      </c>
      <c r="N2381" s="372">
        <v>0.38100000000000001</v>
      </c>
      <c r="O2381" s="704">
        <v>3.1141465545541922</v>
      </c>
      <c r="P2381" s="563" t="s">
        <v>619</v>
      </c>
      <c r="Q2381" s="372" t="s">
        <v>619</v>
      </c>
      <c r="R2381" s="696">
        <v>20110803</v>
      </c>
      <c r="S2381" s="372" t="s">
        <v>15156</v>
      </c>
      <c r="T2381" s="697" t="s">
        <v>768</v>
      </c>
      <c r="U2381" s="372" t="s">
        <v>15157</v>
      </c>
      <c r="V2381" s="722">
        <v>77.16</v>
      </c>
      <c r="W2381" s="722">
        <v>6.97</v>
      </c>
      <c r="X2381" s="722">
        <v>3.4</v>
      </c>
      <c r="Y2381" s="722" t="s">
        <v>770</v>
      </c>
      <c r="Z2381" s="382">
        <v>0.5304547013261649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499</v>
      </c>
      <c r="AF2381" s="372">
        <v>1267</v>
      </c>
      <c r="AG2381" s="372">
        <v>1540</v>
      </c>
      <c r="AH2381" s="372">
        <v>0</v>
      </c>
    </row>
    <row r="2382" spans="1:34">
      <c r="A2382" s="372" t="s">
        <v>15158</v>
      </c>
      <c r="B2382" s="372" t="s">
        <v>15159</v>
      </c>
      <c r="C2382" s="372" t="s">
        <v>15160</v>
      </c>
      <c r="D2382" s="374">
        <v>1101110357403</v>
      </c>
      <c r="E2382" s="372" t="s">
        <v>15161</v>
      </c>
      <c r="F2382" s="372" t="s">
        <v>5622</v>
      </c>
      <c r="G2382" s="375" t="s">
        <v>5622</v>
      </c>
      <c r="H2382" s="375" t="s">
        <v>858</v>
      </c>
      <c r="I2382" s="375" t="s">
        <v>859</v>
      </c>
      <c r="J2382" s="375">
        <v>54725.143230000001</v>
      </c>
      <c r="K2382" s="375">
        <v>2488.18147</v>
      </c>
      <c r="L2382" s="375">
        <v>-849.79044999999996</v>
      </c>
      <c r="M2382" s="375">
        <v>38796.472419999998</v>
      </c>
      <c r="N2382" s="372">
        <v>0.80900000000000005</v>
      </c>
      <c r="O2382" s="704">
        <v>106.40011851434667</v>
      </c>
      <c r="P2382" s="563" t="s">
        <v>619</v>
      </c>
      <c r="Q2382" s="372" t="s">
        <v>619</v>
      </c>
      <c r="R2382" s="696">
        <v>19951227</v>
      </c>
      <c r="S2382" s="372" t="s">
        <v>15162</v>
      </c>
      <c r="T2382" s="697" t="s">
        <v>768</v>
      </c>
      <c r="U2382" s="372" t="s">
        <v>15163</v>
      </c>
      <c r="V2382" s="722">
        <v>12.59</v>
      </c>
      <c r="W2382" s="722">
        <v>0.59</v>
      </c>
      <c r="X2382" s="722">
        <v>0.44</v>
      </c>
      <c r="Y2382" s="722" t="s">
        <v>770</v>
      </c>
      <c r="Z2382" s="382" t="s">
        <v>924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15164</v>
      </c>
      <c r="B2383" s="372" t="s">
        <v>15165</v>
      </c>
      <c r="C2383" s="372" t="s">
        <v>15166</v>
      </c>
      <c r="D2383" s="374">
        <v>2001110418983</v>
      </c>
      <c r="E2383" s="372" t="s">
        <v>15167</v>
      </c>
      <c r="F2383" s="372" t="s">
        <v>1740</v>
      </c>
      <c r="G2383" s="375" t="s">
        <v>1740</v>
      </c>
      <c r="H2383" s="375" t="s">
        <v>3096</v>
      </c>
      <c r="I2383" s="375" t="s">
        <v>859</v>
      </c>
      <c r="J2383" s="375">
        <v>130404.46627999999</v>
      </c>
      <c r="K2383" s="375">
        <v>-38200.29434</v>
      </c>
      <c r="L2383" s="375">
        <v>-93116.968590000004</v>
      </c>
      <c r="M2383" s="375">
        <v>58742.68129</v>
      </c>
      <c r="N2383" s="372">
        <v>0.90500000000000003</v>
      </c>
      <c r="O2383" s="704">
        <v>421.18986077553046</v>
      </c>
      <c r="P2383" s="563" t="s">
        <v>16112</v>
      </c>
      <c r="Q2383" s="372" t="s">
        <v>16113</v>
      </c>
      <c r="R2383" s="696">
        <v>20220623</v>
      </c>
      <c r="S2383" s="372" t="s">
        <v>15168</v>
      </c>
      <c r="T2383" s="697" t="s">
        <v>768</v>
      </c>
      <c r="U2383" s="372" t="s">
        <v>15169</v>
      </c>
      <c r="V2383" s="722" t="s">
        <v>770</v>
      </c>
      <c r="W2383" s="722">
        <v>0.46</v>
      </c>
      <c r="X2383" s="722">
        <v>0.2</v>
      </c>
      <c r="Y2383" s="722" t="s">
        <v>770</v>
      </c>
      <c r="Z2383" s="382" t="s">
        <v>924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15170</v>
      </c>
      <c r="B2384" s="372" t="s">
        <v>15171</v>
      </c>
      <c r="C2384" s="372" t="s">
        <v>15172</v>
      </c>
      <c r="D2384" s="374">
        <v>1115110015359</v>
      </c>
      <c r="E2384" s="372" t="s">
        <v>15173</v>
      </c>
      <c r="F2384" s="372" t="s">
        <v>4181</v>
      </c>
      <c r="G2384" s="375" t="s">
        <v>4181</v>
      </c>
      <c r="H2384" s="375" t="s">
        <v>858</v>
      </c>
      <c r="I2384" s="375" t="s">
        <v>859</v>
      </c>
      <c r="J2384" s="375">
        <v>23070.407090000001</v>
      </c>
      <c r="K2384" s="375">
        <v>-1874.2479499999999</v>
      </c>
      <c r="L2384" s="375">
        <v>-1384.8831700000001</v>
      </c>
      <c r="M2384" s="375">
        <v>42751.057059999999</v>
      </c>
      <c r="N2384" s="372">
        <v>0.70099999999999996</v>
      </c>
      <c r="O2384" s="704">
        <v>3.0462303480067878</v>
      </c>
      <c r="P2384" s="563" t="s">
        <v>619</v>
      </c>
      <c r="Q2384" s="372" t="s">
        <v>619</v>
      </c>
      <c r="R2384" s="696">
        <v>20010718</v>
      </c>
      <c r="S2384" s="372" t="s">
        <v>15174</v>
      </c>
      <c r="T2384" s="697" t="s">
        <v>768</v>
      </c>
      <c r="U2384" s="372" t="s">
        <v>15175</v>
      </c>
      <c r="V2384" s="722">
        <v>0</v>
      </c>
      <c r="W2384" s="722">
        <v>0</v>
      </c>
      <c r="X2384" s="722">
        <v>0</v>
      </c>
      <c r="Y2384" s="722">
        <v>0</v>
      </c>
      <c r="Z2384" s="382" t="s">
        <v>924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15176</v>
      </c>
      <c r="B2385" s="372" t="s">
        <v>15177</v>
      </c>
      <c r="C2385" s="372" t="s">
        <v>15178</v>
      </c>
      <c r="D2385" s="374">
        <v>1101112722761</v>
      </c>
      <c r="E2385" s="372" t="s">
        <v>15179</v>
      </c>
      <c r="F2385" s="372" t="s">
        <v>2665</v>
      </c>
      <c r="G2385" s="375" t="s">
        <v>15180</v>
      </c>
      <c r="H2385" s="375" t="s">
        <v>858</v>
      </c>
      <c r="I2385" s="375" t="s">
        <v>859</v>
      </c>
      <c r="J2385" s="375">
        <v>70456.024179999993</v>
      </c>
      <c r="K2385" s="375">
        <v>1296.7427700000001</v>
      </c>
      <c r="L2385" s="375">
        <v>-75.660550000000001</v>
      </c>
      <c r="M2385" s="375">
        <v>27037.968369999999</v>
      </c>
      <c r="N2385" s="372">
        <v>0.73899999999999999</v>
      </c>
      <c r="O2385" s="704">
        <v>104.63372020496924</v>
      </c>
      <c r="P2385" s="563" t="s">
        <v>619</v>
      </c>
      <c r="Q2385" s="372" t="s">
        <v>619</v>
      </c>
      <c r="R2385" s="696">
        <v>20090417</v>
      </c>
      <c r="S2385" s="372" t="s">
        <v>15181</v>
      </c>
      <c r="T2385" s="697" t="s">
        <v>768</v>
      </c>
      <c r="U2385" s="372" t="s">
        <v>15182</v>
      </c>
      <c r="V2385" s="722">
        <v>10.39</v>
      </c>
      <c r="W2385" s="722">
        <v>1.3</v>
      </c>
      <c r="X2385" s="722">
        <v>0.53</v>
      </c>
      <c r="Y2385" s="722" t="s">
        <v>770</v>
      </c>
      <c r="Z2385" s="382" t="s">
        <v>924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15183</v>
      </c>
      <c r="B2386" s="372" t="s">
        <v>15184</v>
      </c>
      <c r="C2386" s="372" t="s">
        <v>15185</v>
      </c>
      <c r="D2386" s="374">
        <v>1101110028632</v>
      </c>
      <c r="E2386" s="372" t="s">
        <v>15186</v>
      </c>
      <c r="F2386" s="372" t="s">
        <v>2086</v>
      </c>
      <c r="G2386" s="375" t="s">
        <v>2431</v>
      </c>
      <c r="H2386" s="375" t="s">
        <v>809</v>
      </c>
      <c r="I2386" s="375" t="s">
        <v>751</v>
      </c>
      <c r="J2386" s="375">
        <v>107345.08789</v>
      </c>
      <c r="K2386" s="375">
        <v>-4960.8454700000002</v>
      </c>
      <c r="L2386" s="375">
        <v>-818.94668000000001</v>
      </c>
      <c r="M2386" s="375">
        <v>50623.682509999999</v>
      </c>
      <c r="N2386" s="372">
        <v>0.91400000000000003</v>
      </c>
      <c r="O2386" s="704">
        <v>54.875194601158853</v>
      </c>
      <c r="P2386" s="563" t="s">
        <v>619</v>
      </c>
      <c r="Q2386" s="372" t="s">
        <v>619</v>
      </c>
      <c r="R2386" s="696">
        <v>19881123</v>
      </c>
      <c r="S2386" s="372" t="s">
        <v>15187</v>
      </c>
      <c r="T2386" s="697" t="s">
        <v>768</v>
      </c>
      <c r="U2386" s="372" t="s">
        <v>15188</v>
      </c>
      <c r="V2386" s="722">
        <v>0</v>
      </c>
      <c r="W2386" s="722">
        <v>0</v>
      </c>
      <c r="X2386" s="722">
        <v>0</v>
      </c>
      <c r="Y2386" s="722">
        <v>0</v>
      </c>
      <c r="Z2386" s="382" t="s">
        <v>924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15189</v>
      </c>
      <c r="B2387" s="372" t="s">
        <v>15190</v>
      </c>
      <c r="C2387" s="372" t="s">
        <v>15191</v>
      </c>
      <c r="D2387" s="374">
        <v>1101111194739</v>
      </c>
      <c r="E2387" s="372" t="s">
        <v>15192</v>
      </c>
      <c r="F2387" s="372" t="s">
        <v>9925</v>
      </c>
      <c r="G2387" s="375" t="s">
        <v>9925</v>
      </c>
      <c r="H2387" s="375" t="s">
        <v>3096</v>
      </c>
      <c r="I2387" s="375" t="s">
        <v>859</v>
      </c>
      <c r="J2387" s="375">
        <v>115559.03868</v>
      </c>
      <c r="K2387" s="375">
        <v>781.53326000000004</v>
      </c>
      <c r="L2387" s="375">
        <v>-7783.8622699999996</v>
      </c>
      <c r="M2387" s="375">
        <v>21064.08957</v>
      </c>
      <c r="N2387" s="372">
        <v>0.86799999999999999</v>
      </c>
      <c r="O2387" s="704">
        <v>120.51277300938752</v>
      </c>
      <c r="P2387" s="563" t="s">
        <v>16112</v>
      </c>
      <c r="Q2387" s="372" t="s">
        <v>16113</v>
      </c>
      <c r="R2387" s="696">
        <v>20070718</v>
      </c>
      <c r="S2387" s="372" t="s">
        <v>15193</v>
      </c>
      <c r="T2387" s="697" t="s">
        <v>768</v>
      </c>
      <c r="U2387" s="372" t="s">
        <v>16093</v>
      </c>
      <c r="V2387" s="722">
        <v>22.33</v>
      </c>
      <c r="W2387" s="722">
        <v>0.79</v>
      </c>
      <c r="X2387" s="722">
        <v>0.16</v>
      </c>
      <c r="Y2387" s="722" t="s">
        <v>770</v>
      </c>
      <c r="Z2387" s="382" t="s">
        <v>924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15194</v>
      </c>
      <c r="B2388" s="372" t="s">
        <v>15195</v>
      </c>
      <c r="C2388" s="372" t="s">
        <v>15196</v>
      </c>
      <c r="D2388" s="374">
        <v>1341110173489</v>
      </c>
      <c r="E2388" s="372" t="s">
        <v>15197</v>
      </c>
      <c r="F2388" s="372" t="s">
        <v>10901</v>
      </c>
      <c r="G2388" s="375" t="s">
        <v>10901</v>
      </c>
      <c r="H2388" s="375" t="s">
        <v>858</v>
      </c>
      <c r="I2388" s="375" t="s">
        <v>859</v>
      </c>
      <c r="J2388" s="375">
        <v>60301.366009999998</v>
      </c>
      <c r="K2388" s="375">
        <v>-541.25615000000005</v>
      </c>
      <c r="L2388" s="375">
        <v>-6072.5990400000001</v>
      </c>
      <c r="M2388" s="375">
        <v>91047.230290000007</v>
      </c>
      <c r="N2388" s="372">
        <v>0.90100000000000002</v>
      </c>
      <c r="O2388" s="704">
        <v>285.67180002259585</v>
      </c>
      <c r="P2388" s="563" t="s">
        <v>619</v>
      </c>
      <c r="Q2388" s="372" t="s">
        <v>619</v>
      </c>
      <c r="R2388" s="696">
        <v>20090316</v>
      </c>
      <c r="S2388" s="372" t="s">
        <v>15198</v>
      </c>
      <c r="T2388" s="697" t="s">
        <v>768</v>
      </c>
      <c r="U2388" s="372" t="s">
        <v>15199</v>
      </c>
      <c r="V2388" s="722">
        <v>56.66</v>
      </c>
      <c r="W2388" s="722">
        <v>0.23</v>
      </c>
      <c r="X2388" s="722">
        <v>0.3</v>
      </c>
      <c r="Y2388" s="722" t="s">
        <v>770</v>
      </c>
      <c r="Z2388" s="382" t="s">
        <v>924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15200</v>
      </c>
      <c r="B2389" s="372" t="s">
        <v>15201</v>
      </c>
      <c r="C2389" s="372" t="s">
        <v>16060</v>
      </c>
      <c r="D2389" s="374">
        <v>1101114865569</v>
      </c>
      <c r="E2389" s="372" t="s">
        <v>16061</v>
      </c>
      <c r="F2389" s="372" t="s">
        <v>16062</v>
      </c>
      <c r="G2389" s="375" t="s">
        <v>16062</v>
      </c>
      <c r="H2389" s="375" t="s">
        <v>1334</v>
      </c>
      <c r="I2389" s="375" t="s">
        <v>859</v>
      </c>
      <c r="J2389" s="375">
        <v>85038.564629999993</v>
      </c>
      <c r="K2389" s="375">
        <v>-33766.128109999998</v>
      </c>
      <c r="L2389" s="375">
        <v>-88084.73057</v>
      </c>
      <c r="M2389" s="375">
        <v>-43325.04393</v>
      </c>
      <c r="N2389" s="372">
        <v>0.84899999999999998</v>
      </c>
      <c r="O2389" s="704">
        <v>107.98576205383861</v>
      </c>
      <c r="P2389" s="563" t="s">
        <v>619</v>
      </c>
      <c r="Q2389" s="372" t="s">
        <v>619</v>
      </c>
      <c r="R2389" s="696">
        <v>20181115</v>
      </c>
      <c r="S2389" s="372" t="s">
        <v>15202</v>
      </c>
      <c r="T2389" s="697" t="s">
        <v>768</v>
      </c>
      <c r="U2389" s="372" t="s">
        <v>15203</v>
      </c>
      <c r="V2389" s="722" t="s">
        <v>770</v>
      </c>
      <c r="W2389" s="722" t="s">
        <v>770</v>
      </c>
      <c r="X2389" s="722">
        <v>0.21</v>
      </c>
      <c r="Y2389" s="722" t="s">
        <v>770</v>
      </c>
      <c r="Z2389" s="382" t="s">
        <v>924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15204</v>
      </c>
      <c r="B2390" s="372" t="s">
        <v>15205</v>
      </c>
      <c r="C2390" s="372" t="s">
        <v>15206</v>
      </c>
      <c r="D2390" s="374">
        <v>1101111860083</v>
      </c>
      <c r="E2390" s="372" t="s">
        <v>15207</v>
      </c>
      <c r="F2390" s="372" t="s">
        <v>6361</v>
      </c>
      <c r="G2390" s="375" t="s">
        <v>15208</v>
      </c>
      <c r="H2390" s="375" t="s">
        <v>858</v>
      </c>
      <c r="I2390" s="375" t="s">
        <v>859</v>
      </c>
      <c r="J2390" s="375">
        <v>10852.613009999999</v>
      </c>
      <c r="K2390" s="375">
        <v>913.43122000000005</v>
      </c>
      <c r="L2390" s="375">
        <v>1444.3141900000001</v>
      </c>
      <c r="M2390" s="375">
        <v>22043.75906</v>
      </c>
      <c r="N2390" s="372">
        <v>0.54800000000000004</v>
      </c>
      <c r="O2390" s="704">
        <v>5.0534383224049284</v>
      </c>
      <c r="P2390" s="563" t="s">
        <v>619</v>
      </c>
      <c r="Q2390" s="372" t="s">
        <v>619</v>
      </c>
      <c r="R2390" s="696">
        <v>20110427</v>
      </c>
      <c r="S2390" s="372" t="s">
        <v>15209</v>
      </c>
      <c r="T2390" s="697">
        <v>0.20900000000000002</v>
      </c>
      <c r="U2390" s="372" t="s">
        <v>15210</v>
      </c>
      <c r="V2390" s="722">
        <v>0</v>
      </c>
      <c r="W2390" s="722">
        <v>0</v>
      </c>
      <c r="X2390" s="722">
        <v>0</v>
      </c>
      <c r="Y2390" s="722">
        <v>0</v>
      </c>
      <c r="Z2390" s="382" t="s">
        <v>924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15211</v>
      </c>
      <c r="B2391" s="372" t="s">
        <v>15212</v>
      </c>
      <c r="C2391" s="372" t="s">
        <v>15213</v>
      </c>
      <c r="D2391" s="374">
        <v>1101111015779</v>
      </c>
      <c r="E2391" s="372" t="s">
        <v>15214</v>
      </c>
      <c r="F2391" s="372" t="s">
        <v>1573</v>
      </c>
      <c r="G2391" s="375" t="s">
        <v>6313</v>
      </c>
      <c r="H2391" s="375" t="s">
        <v>858</v>
      </c>
      <c r="I2391" s="375" t="s">
        <v>859</v>
      </c>
      <c r="J2391" s="375">
        <v>109093.23407999999</v>
      </c>
      <c r="K2391" s="375">
        <v>-18484.111789999999</v>
      </c>
      <c r="L2391" s="375">
        <v>-20272.92122</v>
      </c>
      <c r="M2391" s="375">
        <v>42648.680630000003</v>
      </c>
      <c r="N2391" s="372">
        <v>0.753</v>
      </c>
      <c r="O2391" s="704">
        <v>318.42555948481987</v>
      </c>
      <c r="P2391" s="563" t="s">
        <v>619</v>
      </c>
      <c r="Q2391" s="372" t="s">
        <v>619</v>
      </c>
      <c r="R2391" s="696">
        <v>20101026</v>
      </c>
      <c r="S2391" s="372" t="s">
        <v>15215</v>
      </c>
      <c r="T2391" s="697" t="s">
        <v>768</v>
      </c>
      <c r="U2391" s="372" t="s">
        <v>15216</v>
      </c>
      <c r="V2391" s="722" t="s">
        <v>770</v>
      </c>
      <c r="W2391" s="722">
        <v>0.49</v>
      </c>
      <c r="X2391" s="722">
        <v>0.16</v>
      </c>
      <c r="Y2391" s="722" t="s">
        <v>770</v>
      </c>
      <c r="Z2391" s="382" t="s">
        <v>924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15217</v>
      </c>
      <c r="B2392" s="372" t="s">
        <v>15218</v>
      </c>
      <c r="C2392" s="372" t="s">
        <v>16063</v>
      </c>
      <c r="D2392" s="374">
        <v>1101114519281</v>
      </c>
      <c r="E2392" s="372" t="s">
        <v>15975</v>
      </c>
      <c r="F2392" s="372" t="s">
        <v>1740</v>
      </c>
      <c r="G2392" s="375" t="s">
        <v>1740</v>
      </c>
      <c r="H2392" s="375" t="s">
        <v>3096</v>
      </c>
      <c r="I2392" s="375" t="s">
        <v>859</v>
      </c>
      <c r="J2392" s="375">
        <v>0</v>
      </c>
      <c r="K2392" s="375">
        <v>0</v>
      </c>
      <c r="L2392" s="375">
        <v>0</v>
      </c>
      <c r="M2392" s="375">
        <v>24391.345969999998</v>
      </c>
      <c r="N2392" s="372" t="s">
        <v>1023</v>
      </c>
      <c r="O2392" s="704">
        <v>14.635204366383499</v>
      </c>
      <c r="P2392" s="563" t="s">
        <v>619</v>
      </c>
      <c r="Q2392" s="372" t="s">
        <v>619</v>
      </c>
      <c r="R2392" s="696">
        <v>20151224</v>
      </c>
      <c r="S2392" s="372" t="s">
        <v>15219</v>
      </c>
      <c r="T2392" s="697" t="s">
        <v>768</v>
      </c>
      <c r="U2392" s="372" t="s">
        <v>15220</v>
      </c>
      <c r="V2392" s="722">
        <v>0</v>
      </c>
      <c r="W2392" s="722">
        <v>2.31</v>
      </c>
      <c r="X2392" s="722">
        <v>0</v>
      </c>
      <c r="Y2392" s="722">
        <v>0</v>
      </c>
      <c r="Z2392" s="382" t="s">
        <v>924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15221</v>
      </c>
      <c r="B2393" s="372" t="s">
        <v>15222</v>
      </c>
      <c r="C2393" s="372" t="s">
        <v>15223</v>
      </c>
      <c r="D2393" s="374">
        <v>0</v>
      </c>
      <c r="E2393" s="372" t="s">
        <v>15224</v>
      </c>
      <c r="F2393" s="372" t="s">
        <v>890</v>
      </c>
      <c r="G2393" s="375" t="s">
        <v>891</v>
      </c>
      <c r="H2393" s="375">
        <v>0</v>
      </c>
      <c r="I2393" s="375" t="s">
        <v>859</v>
      </c>
      <c r="J2393" s="375">
        <v>0</v>
      </c>
      <c r="K2393" s="375">
        <v>0</v>
      </c>
      <c r="L2393" s="375">
        <v>0</v>
      </c>
      <c r="M2393" s="375">
        <v>0</v>
      </c>
      <c r="N2393" s="372">
        <v>0.88900000000000001</v>
      </c>
      <c r="O2393" s="704" t="s">
        <v>16298</v>
      </c>
      <c r="P2393" s="563" t="s">
        <v>16112</v>
      </c>
      <c r="Q2393" s="372" t="s">
        <v>16113</v>
      </c>
      <c r="R2393" s="696">
        <v>20161019</v>
      </c>
      <c r="S2393" s="372" t="s">
        <v>15225</v>
      </c>
      <c r="T2393" s="697" t="s">
        <v>768</v>
      </c>
      <c r="U2393" s="372" t="s">
        <v>15226</v>
      </c>
      <c r="V2393" s="722">
        <v>0</v>
      </c>
      <c r="W2393" s="722">
        <v>0</v>
      </c>
      <c r="X2393" s="722">
        <v>0</v>
      </c>
      <c r="Y2393" s="722">
        <v>0</v>
      </c>
      <c r="Z2393" s="382" t="s">
        <v>924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15227</v>
      </c>
      <c r="B2394" s="372" t="s">
        <v>15228</v>
      </c>
      <c r="C2394" s="372" t="s">
        <v>15229</v>
      </c>
      <c r="D2394" s="374">
        <v>1311110165843</v>
      </c>
      <c r="E2394" s="372" t="s">
        <v>15230</v>
      </c>
      <c r="F2394" s="372" t="s">
        <v>1761</v>
      </c>
      <c r="G2394" s="375" t="s">
        <v>1761</v>
      </c>
      <c r="H2394" s="375" t="s">
        <v>858</v>
      </c>
      <c r="I2394" s="375" t="s">
        <v>859</v>
      </c>
      <c r="J2394" s="375">
        <v>14665.78738</v>
      </c>
      <c r="K2394" s="375">
        <v>-7276.7835999999998</v>
      </c>
      <c r="L2394" s="375">
        <v>-7037.0294400000002</v>
      </c>
      <c r="M2394" s="375">
        <v>14102.644029999999</v>
      </c>
      <c r="N2394" s="372">
        <v>0.871</v>
      </c>
      <c r="O2394" s="704">
        <v>25.012777275163494</v>
      </c>
      <c r="P2394" s="563" t="s">
        <v>619</v>
      </c>
      <c r="Q2394" s="372" t="s">
        <v>619</v>
      </c>
      <c r="R2394" s="696">
        <v>20121227</v>
      </c>
      <c r="S2394" s="372" t="s">
        <v>15231</v>
      </c>
      <c r="T2394" s="697" t="s">
        <v>768</v>
      </c>
      <c r="U2394" s="372" t="s">
        <v>15232</v>
      </c>
      <c r="V2394" s="722" t="s">
        <v>770</v>
      </c>
      <c r="W2394" s="722">
        <v>1.97</v>
      </c>
      <c r="X2394" s="722">
        <v>1.87</v>
      </c>
      <c r="Y2394" s="722" t="s">
        <v>770</v>
      </c>
      <c r="Z2394" s="382" t="s">
        <v>924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15233</v>
      </c>
      <c r="B2395" s="372" t="s">
        <v>15234</v>
      </c>
      <c r="C2395" s="372" t="s">
        <v>15235</v>
      </c>
      <c r="D2395" s="374">
        <v>1101111574709</v>
      </c>
      <c r="E2395" s="372" t="s">
        <v>15236</v>
      </c>
      <c r="F2395" s="372" t="s">
        <v>1793</v>
      </c>
      <c r="G2395" s="375" t="s">
        <v>1794</v>
      </c>
      <c r="H2395" s="375" t="s">
        <v>1334</v>
      </c>
      <c r="I2395" s="375" t="s">
        <v>859</v>
      </c>
      <c r="J2395" s="375">
        <v>7746.7817699999996</v>
      </c>
      <c r="K2395" s="375">
        <v>-109.30961000000001</v>
      </c>
      <c r="L2395" s="375">
        <v>776.98870999999997</v>
      </c>
      <c r="M2395" s="375">
        <v>25832.64676</v>
      </c>
      <c r="N2395" s="372" t="s">
        <v>1023</v>
      </c>
      <c r="O2395" s="704">
        <v>9.8160750019038385</v>
      </c>
      <c r="P2395" s="563" t="s">
        <v>16112</v>
      </c>
      <c r="Q2395" s="372" t="s">
        <v>16113</v>
      </c>
      <c r="R2395" s="696">
        <v>20160728</v>
      </c>
      <c r="S2395" s="372" t="s">
        <v>15237</v>
      </c>
      <c r="T2395" s="697">
        <v>0.20900000000000002</v>
      </c>
      <c r="U2395" s="372" t="s">
        <v>15238</v>
      </c>
      <c r="V2395" s="722">
        <v>0</v>
      </c>
      <c r="W2395" s="722">
        <v>0</v>
      </c>
      <c r="X2395" s="722">
        <v>0</v>
      </c>
      <c r="Y2395" s="722">
        <v>0</v>
      </c>
      <c r="Z2395" s="382" t="s">
        <v>924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15239</v>
      </c>
      <c r="B2396" s="372" t="s">
        <v>15240</v>
      </c>
      <c r="C2396" s="372" t="s">
        <v>15241</v>
      </c>
      <c r="D2396" s="374">
        <v>1101110175970</v>
      </c>
      <c r="E2396" s="372" t="s">
        <v>15242</v>
      </c>
      <c r="F2396" s="372" t="s">
        <v>8399</v>
      </c>
      <c r="G2396" s="375" t="s">
        <v>8400</v>
      </c>
      <c r="H2396" s="375" t="s">
        <v>843</v>
      </c>
      <c r="I2396" s="375" t="s">
        <v>751</v>
      </c>
      <c r="J2396" s="375">
        <v>313457.31943999999</v>
      </c>
      <c r="K2396" s="375">
        <v>1019.48561</v>
      </c>
      <c r="L2396" s="375">
        <v>-3207.8339500000002</v>
      </c>
      <c r="M2396" s="375">
        <v>46407.7912</v>
      </c>
      <c r="N2396" s="372">
        <v>0.81799999999999995</v>
      </c>
      <c r="O2396" s="704">
        <v>21.613796705953405</v>
      </c>
      <c r="P2396" s="563" t="s">
        <v>619</v>
      </c>
      <c r="Q2396" s="372" t="s">
        <v>619</v>
      </c>
      <c r="R2396" s="696">
        <v>19890531</v>
      </c>
      <c r="S2396" s="372" t="s">
        <v>15243</v>
      </c>
      <c r="T2396" s="697" t="s">
        <v>768</v>
      </c>
      <c r="U2396" s="372" t="s">
        <v>15244</v>
      </c>
      <c r="V2396" s="722">
        <v>4.7</v>
      </c>
      <c r="W2396" s="722">
        <v>0.49</v>
      </c>
      <c r="X2396" s="722">
        <v>7.0000000000000007E-2</v>
      </c>
      <c r="Y2396" s="722" t="s">
        <v>770</v>
      </c>
      <c r="Z2396" s="382" t="s">
        <v>924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15245</v>
      </c>
      <c r="B2397" s="372" t="s">
        <v>15246</v>
      </c>
      <c r="C2397" s="372" t="s">
        <v>15247</v>
      </c>
      <c r="D2397" s="374">
        <v>1101111631476</v>
      </c>
      <c r="E2397" s="372" t="s">
        <v>15248</v>
      </c>
      <c r="F2397" s="372" t="s">
        <v>842</v>
      </c>
      <c r="G2397" s="375" t="s">
        <v>842</v>
      </c>
      <c r="H2397" s="375" t="s">
        <v>3096</v>
      </c>
      <c r="I2397" s="375" t="s">
        <v>859</v>
      </c>
      <c r="J2397" s="375">
        <v>34047.204919999996</v>
      </c>
      <c r="K2397" s="375">
        <v>455.48919999999998</v>
      </c>
      <c r="L2397" s="375">
        <v>-669.31775000000005</v>
      </c>
      <c r="M2397" s="375">
        <v>41144.597329999997</v>
      </c>
      <c r="N2397" s="372">
        <v>0.41499999999999998</v>
      </c>
      <c r="O2397" s="704">
        <v>27.217045391293006</v>
      </c>
      <c r="P2397" s="563" t="s">
        <v>619</v>
      </c>
      <c r="Q2397" s="372" t="s">
        <v>619</v>
      </c>
      <c r="R2397" s="696">
        <v>20021220</v>
      </c>
      <c r="S2397" s="372" t="s">
        <v>15249</v>
      </c>
      <c r="T2397" s="697" t="s">
        <v>768</v>
      </c>
      <c r="U2397" s="372" t="s">
        <v>15250</v>
      </c>
      <c r="V2397" s="722">
        <v>0</v>
      </c>
      <c r="W2397" s="722">
        <v>0</v>
      </c>
      <c r="X2397" s="722">
        <v>0</v>
      </c>
      <c r="Y2397" s="722">
        <v>0</v>
      </c>
      <c r="Z2397" s="382" t="s">
        <v>924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15251</v>
      </c>
      <c r="B2398" s="372" t="s">
        <v>15252</v>
      </c>
      <c r="C2398" s="372" t="s">
        <v>15253</v>
      </c>
      <c r="D2398" s="374">
        <v>1801110095637</v>
      </c>
      <c r="E2398" s="372" t="s">
        <v>15254</v>
      </c>
      <c r="F2398" s="372" t="s">
        <v>1038</v>
      </c>
      <c r="G2398" s="375" t="s">
        <v>3164</v>
      </c>
      <c r="H2398" s="375" t="s">
        <v>858</v>
      </c>
      <c r="I2398" s="375" t="s">
        <v>859</v>
      </c>
      <c r="J2398" s="375">
        <v>43148.23646</v>
      </c>
      <c r="K2398" s="375">
        <v>1714.4514099999999</v>
      </c>
      <c r="L2398" s="375">
        <v>2065.2718500000001</v>
      </c>
      <c r="M2398" s="375">
        <v>46813.212160000003</v>
      </c>
      <c r="N2398" s="372" t="s">
        <v>1023</v>
      </c>
      <c r="O2398" s="704">
        <v>0</v>
      </c>
      <c r="P2398" s="563" t="s">
        <v>619</v>
      </c>
      <c r="Q2398" s="372" t="s">
        <v>619</v>
      </c>
      <c r="R2398" s="696">
        <v>20090805</v>
      </c>
      <c r="S2398" s="372" t="s">
        <v>15255</v>
      </c>
      <c r="T2398" s="697">
        <v>0.20900000000000002</v>
      </c>
      <c r="U2398" s="372" t="s">
        <v>15256</v>
      </c>
      <c r="V2398" s="722">
        <v>0</v>
      </c>
      <c r="W2398" s="722">
        <v>0</v>
      </c>
      <c r="X2398" s="722">
        <v>0</v>
      </c>
      <c r="Y2398" s="722">
        <v>0</v>
      </c>
      <c r="Z2398" s="382" t="s">
        <v>924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15257</v>
      </c>
      <c r="B2399" s="372" t="s">
        <v>15258</v>
      </c>
      <c r="C2399" s="372" t="s">
        <v>15259</v>
      </c>
      <c r="D2399" s="374">
        <v>1648110019948</v>
      </c>
      <c r="E2399" s="372" t="s">
        <v>15260</v>
      </c>
      <c r="F2399" s="372" t="s">
        <v>1272</v>
      </c>
      <c r="G2399" s="375" t="s">
        <v>1272</v>
      </c>
      <c r="H2399" s="375" t="s">
        <v>1374</v>
      </c>
      <c r="I2399" s="375" t="s">
        <v>4410</v>
      </c>
      <c r="J2399" s="375">
        <v>0</v>
      </c>
      <c r="K2399" s="375">
        <v>0</v>
      </c>
      <c r="L2399" s="375">
        <v>0</v>
      </c>
      <c r="M2399" s="375">
        <v>0</v>
      </c>
      <c r="N2399" s="372" t="s">
        <v>1023</v>
      </c>
      <c r="O2399" s="704" t="s">
        <v>16298</v>
      </c>
      <c r="P2399" s="563" t="s">
        <v>619</v>
      </c>
      <c r="Q2399" s="372" t="s">
        <v>619</v>
      </c>
      <c r="R2399" s="696">
        <v>20100721</v>
      </c>
      <c r="S2399" s="372" t="e">
        <v>#N/A</v>
      </c>
      <c r="T2399" s="697" t="s">
        <v>768</v>
      </c>
      <c r="U2399" s="372" t="s">
        <v>15261</v>
      </c>
      <c r="V2399" s="722">
        <v>0</v>
      </c>
      <c r="W2399" s="722">
        <v>0</v>
      </c>
      <c r="X2399" s="722">
        <v>0</v>
      </c>
      <c r="Y2399" s="722">
        <v>0</v>
      </c>
      <c r="Z2399" s="382" t="s">
        <v>924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15262</v>
      </c>
      <c r="B2400" s="372" t="s">
        <v>15263</v>
      </c>
      <c r="C2400" s="372" t="s">
        <v>15264</v>
      </c>
      <c r="D2400" s="374">
        <v>1601110023757</v>
      </c>
      <c r="E2400" s="372" t="s">
        <v>15265</v>
      </c>
      <c r="F2400" s="372" t="s">
        <v>11459</v>
      </c>
      <c r="G2400" s="375" t="s">
        <v>11459</v>
      </c>
      <c r="H2400" s="375" t="s">
        <v>1528</v>
      </c>
      <c r="I2400" s="375" t="s">
        <v>859</v>
      </c>
      <c r="J2400" s="375">
        <v>53897.384330000001</v>
      </c>
      <c r="K2400" s="375">
        <v>-3364.8486899999998</v>
      </c>
      <c r="L2400" s="375">
        <v>-14222.6499</v>
      </c>
      <c r="M2400" s="375">
        <v>39568.671649999997</v>
      </c>
      <c r="N2400" s="372">
        <v>0.876</v>
      </c>
      <c r="O2400" s="704">
        <v>34.714181333981635</v>
      </c>
      <c r="P2400" s="563" t="s">
        <v>16112</v>
      </c>
      <c r="Q2400" s="372" t="s">
        <v>619</v>
      </c>
      <c r="R2400" s="696">
        <v>19970626</v>
      </c>
      <c r="S2400" s="372" t="s">
        <v>16314</v>
      </c>
      <c r="T2400" s="697" t="s">
        <v>768</v>
      </c>
      <c r="U2400" s="372" t="s">
        <v>15266</v>
      </c>
      <c r="V2400" s="722" t="s">
        <v>770</v>
      </c>
      <c r="W2400" s="722">
        <v>0.73</v>
      </c>
      <c r="X2400" s="722">
        <v>0.59</v>
      </c>
      <c r="Y2400" s="722" t="s">
        <v>770</v>
      </c>
      <c r="Z2400" s="382" t="s">
        <v>924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15267</v>
      </c>
      <c r="B2401" s="372" t="s">
        <v>15268</v>
      </c>
      <c r="C2401" s="372" t="s">
        <v>15269</v>
      </c>
      <c r="D2401" s="374">
        <v>1101116122470</v>
      </c>
      <c r="E2401" s="372" t="s">
        <v>15270</v>
      </c>
      <c r="F2401" s="372" t="s">
        <v>3718</v>
      </c>
      <c r="G2401" s="375" t="s">
        <v>3719</v>
      </c>
      <c r="H2401" s="375" t="s">
        <v>858</v>
      </c>
      <c r="I2401" s="375" t="s">
        <v>859</v>
      </c>
      <c r="J2401" s="375">
        <v>46688.999459999999</v>
      </c>
      <c r="K2401" s="375">
        <v>-6744.9329200000002</v>
      </c>
      <c r="L2401" s="375">
        <v>-7971.0809900000004</v>
      </c>
      <c r="M2401" s="375">
        <v>19251.026399999999</v>
      </c>
      <c r="N2401" s="372">
        <v>0.79300000000000004</v>
      </c>
      <c r="O2401" s="704">
        <v>160.89681408607791</v>
      </c>
      <c r="P2401" s="563" t="s">
        <v>619</v>
      </c>
      <c r="Q2401" s="372" t="s">
        <v>619</v>
      </c>
      <c r="R2401" s="696">
        <v>20160929</v>
      </c>
      <c r="S2401" s="372" t="s">
        <v>9015</v>
      </c>
      <c r="T2401" s="697" t="s">
        <v>768</v>
      </c>
      <c r="U2401" s="372" t="s">
        <v>15271</v>
      </c>
      <c r="V2401" s="722" t="s">
        <v>770</v>
      </c>
      <c r="W2401" s="722">
        <v>1.01</v>
      </c>
      <c r="X2401" s="722">
        <v>0.43</v>
      </c>
      <c r="Y2401" s="722" t="s">
        <v>770</v>
      </c>
      <c r="Z2401" s="382" t="s">
        <v>924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15272</v>
      </c>
      <c r="B2402" s="372" t="s">
        <v>15273</v>
      </c>
      <c r="C2402" s="372" t="s">
        <v>15274</v>
      </c>
      <c r="D2402" s="374">
        <v>1101113411024</v>
      </c>
      <c r="E2402" s="372" t="s">
        <v>15275</v>
      </c>
      <c r="F2402" s="372" t="s">
        <v>842</v>
      </c>
      <c r="G2402" s="375" t="s">
        <v>842</v>
      </c>
      <c r="H2402" s="375" t="s">
        <v>843</v>
      </c>
      <c r="I2402" s="375" t="s">
        <v>751</v>
      </c>
      <c r="J2402" s="375">
        <v>50499.34132</v>
      </c>
      <c r="K2402" s="375">
        <v>3767.5714200000002</v>
      </c>
      <c r="L2402" s="375">
        <v>4796.0145499999999</v>
      </c>
      <c r="M2402" s="375">
        <v>106030.49096</v>
      </c>
      <c r="N2402" s="372">
        <v>0.69399999999999995</v>
      </c>
      <c r="O2402" s="704">
        <v>96.756860582064562</v>
      </c>
      <c r="P2402" s="563" t="s">
        <v>619</v>
      </c>
      <c r="Q2402" s="372" t="s">
        <v>619</v>
      </c>
      <c r="R2402" s="696">
        <v>20060328</v>
      </c>
      <c r="S2402" s="372" t="s">
        <v>15276</v>
      </c>
      <c r="T2402" s="697">
        <v>0.20900000000000002</v>
      </c>
      <c r="U2402" s="372" t="s">
        <v>15277</v>
      </c>
      <c r="V2402" s="722">
        <v>0</v>
      </c>
      <c r="W2402" s="722">
        <v>0</v>
      </c>
      <c r="X2402" s="722">
        <v>0</v>
      </c>
      <c r="Y2402" s="722">
        <v>0</v>
      </c>
      <c r="Z2402" s="382" t="s">
        <v>924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15278</v>
      </c>
      <c r="B2403" s="372" t="s">
        <v>15279</v>
      </c>
      <c r="C2403" s="372" t="s">
        <v>15280</v>
      </c>
      <c r="D2403" s="374">
        <v>1101115649938</v>
      </c>
      <c r="E2403" s="372" t="s">
        <v>15281</v>
      </c>
      <c r="F2403" s="372" t="s">
        <v>3669</v>
      </c>
      <c r="G2403" s="375" t="s">
        <v>3669</v>
      </c>
      <c r="H2403" s="375" t="s">
        <v>1334</v>
      </c>
      <c r="I2403" s="375" t="s">
        <v>859</v>
      </c>
      <c r="J2403" s="375">
        <v>49136.325510000002</v>
      </c>
      <c r="K2403" s="375">
        <v>1515.79207</v>
      </c>
      <c r="L2403" s="375">
        <v>2892.3968</v>
      </c>
      <c r="M2403" s="375">
        <v>26806.135859999999</v>
      </c>
      <c r="N2403" s="372">
        <v>1.0169999999999999</v>
      </c>
      <c r="O2403" s="704">
        <v>154.93229582962911</v>
      </c>
      <c r="P2403" s="563" t="s">
        <v>619</v>
      </c>
      <c r="Q2403" s="372" t="s">
        <v>619</v>
      </c>
      <c r="R2403" s="696">
        <v>20150518</v>
      </c>
      <c r="S2403" s="372" t="s">
        <v>15282</v>
      </c>
      <c r="T2403" s="697">
        <v>0.20900000000000002</v>
      </c>
      <c r="U2403" s="372" t="s">
        <v>15283</v>
      </c>
      <c r="V2403" s="722">
        <v>0</v>
      </c>
      <c r="W2403" s="722">
        <v>0</v>
      </c>
      <c r="X2403" s="722">
        <v>0</v>
      </c>
      <c r="Y2403" s="722">
        <v>0</v>
      </c>
      <c r="Z2403" s="382" t="s">
        <v>924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15284</v>
      </c>
      <c r="B2404" s="372" t="s">
        <v>15285</v>
      </c>
      <c r="C2404" s="372" t="s">
        <v>15286</v>
      </c>
      <c r="D2404" s="374">
        <v>1101117222352</v>
      </c>
      <c r="E2404" s="372" t="s">
        <v>15287</v>
      </c>
      <c r="F2404" s="372" t="s">
        <v>3448</v>
      </c>
      <c r="G2404" s="375" t="s">
        <v>3448</v>
      </c>
      <c r="H2404" s="375" t="s">
        <v>3096</v>
      </c>
      <c r="I2404" s="375" t="s">
        <v>859</v>
      </c>
      <c r="J2404" s="375">
        <v>50241.819340000002</v>
      </c>
      <c r="K2404" s="375">
        <v>3346.9821700000002</v>
      </c>
      <c r="L2404" s="375">
        <v>3397.1997200000001</v>
      </c>
      <c r="M2404" s="375">
        <v>29041.72438</v>
      </c>
      <c r="N2404" s="372">
        <v>0.71199999999999997</v>
      </c>
      <c r="O2404" s="704">
        <v>23.851813668444663</v>
      </c>
      <c r="P2404" s="563" t="s">
        <v>619</v>
      </c>
      <c r="Q2404" s="372" t="s">
        <v>619</v>
      </c>
      <c r="R2404" s="696">
        <v>20191209</v>
      </c>
      <c r="S2404" s="372" t="s">
        <v>15288</v>
      </c>
      <c r="T2404" s="697">
        <v>0.20900000000000002</v>
      </c>
      <c r="U2404" s="372" t="s">
        <v>15289</v>
      </c>
      <c r="V2404" s="722">
        <v>0</v>
      </c>
      <c r="W2404" s="722">
        <v>0</v>
      </c>
      <c r="X2404" s="722">
        <v>0</v>
      </c>
      <c r="Y2404" s="722">
        <v>0</v>
      </c>
      <c r="Z2404" s="382" t="s">
        <v>924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15290</v>
      </c>
      <c r="B2405" s="372" t="s">
        <v>15291</v>
      </c>
      <c r="C2405" s="372" t="s">
        <v>15292</v>
      </c>
      <c r="D2405" s="374">
        <v>1101118699047</v>
      </c>
      <c r="E2405" s="372" t="s">
        <v>15293</v>
      </c>
      <c r="F2405" s="372" t="s">
        <v>1140</v>
      </c>
      <c r="G2405" s="375" t="s">
        <v>1141</v>
      </c>
      <c r="H2405" s="375" t="s">
        <v>892</v>
      </c>
      <c r="I2405" s="375" t="s">
        <v>859</v>
      </c>
      <c r="J2405" s="375">
        <v>0</v>
      </c>
      <c r="K2405" s="375">
        <v>-42.149099999999997</v>
      </c>
      <c r="L2405" s="375">
        <v>812.87215000000003</v>
      </c>
      <c r="M2405" s="375">
        <v>26304.427449999999</v>
      </c>
      <c r="N2405" s="372" t="s">
        <v>1023</v>
      </c>
      <c r="O2405" s="704">
        <v>15.152375471527368</v>
      </c>
      <c r="P2405" s="563" t="s">
        <v>619</v>
      </c>
      <c r="Q2405" s="372" t="s">
        <v>619</v>
      </c>
      <c r="R2405" s="696">
        <v>20231103</v>
      </c>
      <c r="S2405" s="372" t="s">
        <v>9015</v>
      </c>
      <c r="T2405" s="697">
        <v>0.20900000000000002</v>
      </c>
      <c r="U2405" s="372">
        <v>0</v>
      </c>
      <c r="V2405" s="722">
        <v>0</v>
      </c>
      <c r="W2405" s="722">
        <v>0</v>
      </c>
      <c r="X2405" s="722">
        <v>0</v>
      </c>
      <c r="Y2405" s="722">
        <v>0</v>
      </c>
      <c r="Z2405" s="382" t="s">
        <v>770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15294</v>
      </c>
      <c r="B2406" s="372" t="s">
        <v>15295</v>
      </c>
      <c r="C2406" s="372" t="s">
        <v>15296</v>
      </c>
      <c r="D2406" s="374">
        <v>1801110002004</v>
      </c>
      <c r="E2406" s="372" t="s">
        <v>15297</v>
      </c>
      <c r="F2406" s="372" t="s">
        <v>2744</v>
      </c>
      <c r="G2406" s="375" t="s">
        <v>9395</v>
      </c>
      <c r="H2406" s="375" t="s">
        <v>858</v>
      </c>
      <c r="I2406" s="375" t="s">
        <v>859</v>
      </c>
      <c r="J2406" s="375">
        <v>17521.87529</v>
      </c>
      <c r="K2406" s="375">
        <v>-2340.07143</v>
      </c>
      <c r="L2406" s="375">
        <v>-6916.1020600000002</v>
      </c>
      <c r="M2406" s="375">
        <v>20090.306670000002</v>
      </c>
      <c r="N2406" s="372">
        <v>0.88800000000000001</v>
      </c>
      <c r="O2406" s="704">
        <v>146.98151551240096</v>
      </c>
      <c r="P2406" s="563" t="s">
        <v>619</v>
      </c>
      <c r="Q2406" s="372" t="s">
        <v>16113</v>
      </c>
      <c r="R2406" s="696">
        <v>19941031</v>
      </c>
      <c r="S2406" s="372" t="s">
        <v>15298</v>
      </c>
      <c r="T2406" s="697" t="s">
        <v>768</v>
      </c>
      <c r="U2406" s="372" t="s">
        <v>15299</v>
      </c>
      <c r="V2406" s="722">
        <v>0</v>
      </c>
      <c r="W2406" s="722">
        <v>0</v>
      </c>
      <c r="X2406" s="722">
        <v>0</v>
      </c>
      <c r="Y2406" s="722">
        <v>0</v>
      </c>
      <c r="Z2406" s="382" t="s">
        <v>924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15300</v>
      </c>
      <c r="B2407" s="372" t="s">
        <v>15301</v>
      </c>
      <c r="C2407" s="372" t="s">
        <v>15302</v>
      </c>
      <c r="D2407" s="374">
        <v>1101111100926</v>
      </c>
      <c r="E2407" s="372" t="s">
        <v>15303</v>
      </c>
      <c r="F2407" s="372" t="s">
        <v>4034</v>
      </c>
      <c r="G2407" s="375" t="s">
        <v>4034</v>
      </c>
      <c r="H2407" s="375" t="s">
        <v>858</v>
      </c>
      <c r="I2407" s="375" t="s">
        <v>859</v>
      </c>
      <c r="J2407" s="375">
        <v>9755.5023299999993</v>
      </c>
      <c r="K2407" s="375">
        <v>-793.72970999999995</v>
      </c>
      <c r="L2407" s="375">
        <v>-2029.33168</v>
      </c>
      <c r="M2407" s="375">
        <v>12772.14249</v>
      </c>
      <c r="N2407" s="372">
        <v>0.85299999999999998</v>
      </c>
      <c r="O2407" s="704">
        <v>4.2114784914179664</v>
      </c>
      <c r="P2407" s="563" t="s">
        <v>619</v>
      </c>
      <c r="Q2407" s="372" t="s">
        <v>619</v>
      </c>
      <c r="R2407" s="696">
        <v>19991204</v>
      </c>
      <c r="S2407" s="372" t="s">
        <v>15304</v>
      </c>
      <c r="T2407" s="697" t="s">
        <v>768</v>
      </c>
      <c r="U2407" s="372" t="s">
        <v>15305</v>
      </c>
      <c r="V2407" s="722">
        <v>0</v>
      </c>
      <c r="W2407" s="722">
        <v>0</v>
      </c>
      <c r="X2407" s="722">
        <v>0</v>
      </c>
      <c r="Y2407" s="722">
        <v>0</v>
      </c>
      <c r="Z2407" s="382" t="s">
        <v>924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15306</v>
      </c>
      <c r="B2408" s="372" t="s">
        <v>15307</v>
      </c>
      <c r="C2408" s="372" t="s">
        <v>15308</v>
      </c>
      <c r="D2408" s="374">
        <v>0</v>
      </c>
      <c r="E2408" s="372" t="s">
        <v>15309</v>
      </c>
      <c r="F2408" s="372" t="s">
        <v>890</v>
      </c>
      <c r="G2408" s="375" t="s">
        <v>891</v>
      </c>
      <c r="H2408" s="375">
        <v>0</v>
      </c>
      <c r="I2408" s="375" t="s">
        <v>859</v>
      </c>
      <c r="J2408" s="375">
        <v>156919.05600000001</v>
      </c>
      <c r="K2408" s="375">
        <v>-64343.845000000001</v>
      </c>
      <c r="L2408" s="375">
        <v>-70410.058000000005</v>
      </c>
      <c r="M2408" s="375">
        <v>243555.05499999999</v>
      </c>
      <c r="N2408" s="372">
        <v>0.54700000000000004</v>
      </c>
      <c r="O2408" s="704">
        <v>0.35393179450298778</v>
      </c>
      <c r="P2408" s="563" t="s">
        <v>619</v>
      </c>
      <c r="Q2408" s="372" t="s">
        <v>619</v>
      </c>
      <c r="R2408" s="696">
        <v>20161104</v>
      </c>
      <c r="S2408" s="372" t="s">
        <v>15310</v>
      </c>
      <c r="T2408" s="697" t="s">
        <v>768</v>
      </c>
      <c r="U2408" s="372" t="s">
        <v>15311</v>
      </c>
      <c r="V2408" s="722" t="s">
        <v>770</v>
      </c>
      <c r="W2408" s="722">
        <v>0.18</v>
      </c>
      <c r="X2408" s="722">
        <v>0.19</v>
      </c>
      <c r="Y2408" s="722" t="s">
        <v>770</v>
      </c>
      <c r="Z2408" s="382" t="s">
        <v>924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15312</v>
      </c>
      <c r="B2409" s="372" t="s">
        <v>15313</v>
      </c>
      <c r="C2409" s="372" t="s">
        <v>15314</v>
      </c>
      <c r="D2409" s="374">
        <v>1201110136459</v>
      </c>
      <c r="E2409" s="372" t="s">
        <v>15315</v>
      </c>
      <c r="F2409" s="372" t="s">
        <v>2861</v>
      </c>
      <c r="G2409" s="375" t="s">
        <v>2862</v>
      </c>
      <c r="H2409" s="375" t="s">
        <v>858</v>
      </c>
      <c r="I2409" s="375" t="s">
        <v>859</v>
      </c>
      <c r="J2409" s="375">
        <v>80460.615850000002</v>
      </c>
      <c r="K2409" s="375">
        <v>-880.26270999999997</v>
      </c>
      <c r="L2409" s="375">
        <v>-7415.1741199999997</v>
      </c>
      <c r="M2409" s="375">
        <v>64320.116020000001</v>
      </c>
      <c r="N2409" s="372">
        <v>0.77500000000000002</v>
      </c>
      <c r="O2409" s="704">
        <v>78.341046959178826</v>
      </c>
      <c r="P2409" s="563" t="s">
        <v>619</v>
      </c>
      <c r="Q2409" s="372" t="s">
        <v>619</v>
      </c>
      <c r="R2409" s="696">
        <v>20100127</v>
      </c>
      <c r="S2409" s="372" t="s">
        <v>15316</v>
      </c>
      <c r="T2409" s="697" t="s">
        <v>768</v>
      </c>
      <c r="U2409" s="372" t="s">
        <v>15317</v>
      </c>
      <c r="V2409" s="722">
        <v>15.64</v>
      </c>
      <c r="W2409" s="722">
        <v>0.41</v>
      </c>
      <c r="X2409" s="722">
        <v>0.33</v>
      </c>
      <c r="Y2409" s="722" t="s">
        <v>770</v>
      </c>
      <c r="Z2409" s="382" t="s">
        <v>924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15318</v>
      </c>
      <c r="B2410" s="372" t="s">
        <v>15319</v>
      </c>
      <c r="C2410" s="372" t="s">
        <v>15320</v>
      </c>
      <c r="D2410" s="374">
        <v>1101111644809</v>
      </c>
      <c r="E2410" s="372" t="s">
        <v>15321</v>
      </c>
      <c r="F2410" s="372" t="s">
        <v>2831</v>
      </c>
      <c r="G2410" s="375" t="s">
        <v>2831</v>
      </c>
      <c r="H2410" s="375" t="s">
        <v>858</v>
      </c>
      <c r="I2410" s="375" t="s">
        <v>859</v>
      </c>
      <c r="J2410" s="375">
        <v>39525.41358</v>
      </c>
      <c r="K2410" s="375">
        <v>293.27632999999997</v>
      </c>
      <c r="L2410" s="375">
        <v>1856.04017</v>
      </c>
      <c r="M2410" s="375">
        <v>18851.03976</v>
      </c>
      <c r="N2410" s="372">
        <v>0.69799999999999995</v>
      </c>
      <c r="O2410" s="704">
        <v>3.8986483223535635</v>
      </c>
      <c r="P2410" s="563" t="s">
        <v>619</v>
      </c>
      <c r="Q2410" s="372" t="s">
        <v>619</v>
      </c>
      <c r="R2410" s="696">
        <v>20040602</v>
      </c>
      <c r="S2410" s="372" t="s">
        <v>15322</v>
      </c>
      <c r="T2410" s="697">
        <v>0.20900000000000002</v>
      </c>
      <c r="U2410" s="372" t="s">
        <v>15323</v>
      </c>
      <c r="V2410" s="722">
        <v>15.76</v>
      </c>
      <c r="W2410" s="722">
        <v>1.1000000000000001</v>
      </c>
      <c r="X2410" s="722">
        <v>0.53</v>
      </c>
      <c r="Y2410" s="722">
        <v>11.47</v>
      </c>
      <c r="Z2410" s="382" t="s">
        <v>924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15324</v>
      </c>
      <c r="B2411" s="372" t="s">
        <v>15325</v>
      </c>
      <c r="C2411" s="372" t="s">
        <v>16315</v>
      </c>
      <c r="D2411" s="374">
        <v>2001110105176</v>
      </c>
      <c r="E2411" s="372" t="s">
        <v>16316</v>
      </c>
      <c r="F2411" s="372" t="s">
        <v>6607</v>
      </c>
      <c r="G2411" s="375" t="s">
        <v>6607</v>
      </c>
      <c r="H2411" s="375" t="s">
        <v>858</v>
      </c>
      <c r="I2411" s="375" t="s">
        <v>859</v>
      </c>
      <c r="J2411" s="375">
        <v>8424.8756900000008</v>
      </c>
      <c r="K2411" s="375">
        <v>-4434.7103500000003</v>
      </c>
      <c r="L2411" s="375">
        <v>-5223.0889800000004</v>
      </c>
      <c r="M2411" s="375">
        <v>3357.0787500000001</v>
      </c>
      <c r="N2411" s="372">
        <v>0.11600000000000001</v>
      </c>
      <c r="O2411" s="704">
        <v>69.710975580398866</v>
      </c>
      <c r="P2411" s="563" t="s">
        <v>619</v>
      </c>
      <c r="Q2411" s="372" t="s">
        <v>619</v>
      </c>
      <c r="R2411" s="696">
        <v>20191226</v>
      </c>
      <c r="S2411" s="372" t="s">
        <v>15326</v>
      </c>
      <c r="T2411" s="697" t="s">
        <v>768</v>
      </c>
      <c r="U2411" s="372" t="s">
        <v>15327</v>
      </c>
      <c r="V2411" s="722">
        <v>0</v>
      </c>
      <c r="W2411" s="722">
        <v>0</v>
      </c>
      <c r="X2411" s="722">
        <v>0</v>
      </c>
      <c r="Y2411" s="722">
        <v>0</v>
      </c>
      <c r="Z2411" s="382" t="s">
        <v>924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15328</v>
      </c>
      <c r="B2412" s="372" t="s">
        <v>15329</v>
      </c>
      <c r="C2412" s="372" t="s">
        <v>15330</v>
      </c>
      <c r="D2412" s="374">
        <v>1101111279672</v>
      </c>
      <c r="E2412" s="372" t="s">
        <v>15331</v>
      </c>
      <c r="F2412" s="372" t="s">
        <v>1174</v>
      </c>
      <c r="G2412" s="375" t="s">
        <v>1175</v>
      </c>
      <c r="H2412" s="375" t="s">
        <v>858</v>
      </c>
      <c r="I2412" s="375" t="s">
        <v>859</v>
      </c>
      <c r="J2412" s="375">
        <v>13136.74143</v>
      </c>
      <c r="K2412" s="375">
        <v>583.68560000000002</v>
      </c>
      <c r="L2412" s="375">
        <v>1719.8223</v>
      </c>
      <c r="M2412" s="375">
        <v>45637.982709999997</v>
      </c>
      <c r="N2412" s="372">
        <v>0.79300000000000004</v>
      </c>
      <c r="O2412" s="704">
        <v>0.37893419617285307</v>
      </c>
      <c r="P2412" s="563" t="s">
        <v>619</v>
      </c>
      <c r="Q2412" s="372" t="s">
        <v>619</v>
      </c>
      <c r="R2412" s="696">
        <v>20040107</v>
      </c>
      <c r="S2412" s="372" t="s">
        <v>15332</v>
      </c>
      <c r="T2412" s="697">
        <v>0.20900000000000002</v>
      </c>
      <c r="U2412" s="372" t="s">
        <v>15333</v>
      </c>
      <c r="V2412" s="722">
        <v>9.41</v>
      </c>
      <c r="W2412" s="722">
        <v>0.46</v>
      </c>
      <c r="X2412" s="722">
        <v>1.6</v>
      </c>
      <c r="Y2412" s="722">
        <v>12.23</v>
      </c>
      <c r="Z2412" s="382" t="s">
        <v>924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15334</v>
      </c>
      <c r="B2413" s="372" t="s">
        <v>15335</v>
      </c>
      <c r="C2413" s="372" t="s">
        <v>15336</v>
      </c>
      <c r="D2413" s="374">
        <v>1801110378835</v>
      </c>
      <c r="E2413" s="372" t="s">
        <v>15337</v>
      </c>
      <c r="F2413" s="372" t="s">
        <v>2278</v>
      </c>
      <c r="G2413" s="375" t="s">
        <v>15338</v>
      </c>
      <c r="H2413" s="375" t="s">
        <v>858</v>
      </c>
      <c r="I2413" s="375" t="s">
        <v>859</v>
      </c>
      <c r="J2413" s="375">
        <v>34650.344940000003</v>
      </c>
      <c r="K2413" s="375">
        <v>3728.64977</v>
      </c>
      <c r="L2413" s="375">
        <v>2774.75254</v>
      </c>
      <c r="M2413" s="375">
        <v>35160.454409999998</v>
      </c>
      <c r="N2413" s="372">
        <v>0.69799999999999995</v>
      </c>
      <c r="O2413" s="704">
        <v>150.34412986938236</v>
      </c>
      <c r="P2413" s="563" t="s">
        <v>619</v>
      </c>
      <c r="Q2413" s="372" t="s">
        <v>619</v>
      </c>
      <c r="R2413" s="696">
        <v>20150824</v>
      </c>
      <c r="S2413" s="372" t="s">
        <v>15339</v>
      </c>
      <c r="T2413" s="697">
        <v>0.20900000000000002</v>
      </c>
      <c r="U2413" s="372" t="s">
        <v>15340</v>
      </c>
      <c r="V2413" s="722">
        <v>5.81</v>
      </c>
      <c r="W2413" s="722">
        <v>0.56999999999999995</v>
      </c>
      <c r="X2413" s="722">
        <v>0.56999999999999995</v>
      </c>
      <c r="Y2413" s="722">
        <v>8.7799999999999994</v>
      </c>
      <c r="Z2413" s="382" t="s">
        <v>924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15341</v>
      </c>
      <c r="B2414" s="372" t="s">
        <v>15342</v>
      </c>
      <c r="C2414" s="372" t="s">
        <v>15343</v>
      </c>
      <c r="D2414" s="374">
        <v>1101111261405</v>
      </c>
      <c r="E2414" s="372" t="s">
        <v>15344</v>
      </c>
      <c r="F2414" s="372" t="s">
        <v>5511</v>
      </c>
      <c r="G2414" s="375" t="s">
        <v>5511</v>
      </c>
      <c r="H2414" s="375" t="s">
        <v>858</v>
      </c>
      <c r="I2414" s="375" t="s">
        <v>859</v>
      </c>
      <c r="J2414" s="375">
        <v>8776.3916700000009</v>
      </c>
      <c r="K2414" s="375">
        <v>-14322.057849999999</v>
      </c>
      <c r="L2414" s="375">
        <v>-19597.866330000001</v>
      </c>
      <c r="M2414" s="375">
        <v>9405.0055799999991</v>
      </c>
      <c r="N2414" s="372">
        <v>0.45800000000000002</v>
      </c>
      <c r="O2414" s="704">
        <v>387.02107564675458</v>
      </c>
      <c r="P2414" s="563" t="s">
        <v>16112</v>
      </c>
      <c r="Q2414" s="372" t="s">
        <v>16113</v>
      </c>
      <c r="R2414" s="696">
        <v>20011109</v>
      </c>
      <c r="S2414" s="372" t="s">
        <v>15345</v>
      </c>
      <c r="T2414" s="697" t="s">
        <v>768</v>
      </c>
      <c r="U2414" s="372" t="s">
        <v>15346</v>
      </c>
      <c r="V2414" s="722" t="s">
        <v>770</v>
      </c>
      <c r="W2414" s="722">
        <v>1.34</v>
      </c>
      <c r="X2414" s="722">
        <v>1.43</v>
      </c>
      <c r="Y2414" s="722" t="s">
        <v>770</v>
      </c>
      <c r="Z2414" s="382" t="s">
        <v>924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15347</v>
      </c>
      <c r="B2415" s="372" t="s">
        <v>15348</v>
      </c>
      <c r="C2415" s="372" t="s">
        <v>15349</v>
      </c>
      <c r="D2415" s="374">
        <v>1801110000602</v>
      </c>
      <c r="E2415" s="372" t="s">
        <v>15350</v>
      </c>
      <c r="F2415" s="372" t="s">
        <v>1833</v>
      </c>
      <c r="G2415" s="375" t="s">
        <v>1833</v>
      </c>
      <c r="H2415" s="375" t="s">
        <v>843</v>
      </c>
      <c r="I2415" s="375" t="s">
        <v>751</v>
      </c>
      <c r="J2415" s="375">
        <v>55077.276519999999</v>
      </c>
      <c r="K2415" s="375">
        <v>3608.5987500000001</v>
      </c>
      <c r="L2415" s="375">
        <v>-4118.3105500000001</v>
      </c>
      <c r="M2415" s="375">
        <v>-1716.34997</v>
      </c>
      <c r="N2415" s="372">
        <v>0.56000000000000005</v>
      </c>
      <c r="O2415" s="704">
        <v>85.263482059797255</v>
      </c>
      <c r="P2415" s="563" t="s">
        <v>16112</v>
      </c>
      <c r="Q2415" s="372" t="s">
        <v>16113</v>
      </c>
      <c r="R2415" s="696">
        <v>19760601</v>
      </c>
      <c r="S2415" s="372" t="s">
        <v>15351</v>
      </c>
      <c r="T2415" s="697" t="s">
        <v>768</v>
      </c>
      <c r="U2415" s="372" t="s">
        <v>15352</v>
      </c>
      <c r="V2415" s="722">
        <v>6.23</v>
      </c>
      <c r="W2415" s="722">
        <v>8.85</v>
      </c>
      <c r="X2415" s="722">
        <v>0.42</v>
      </c>
      <c r="Y2415" s="722" t="s">
        <v>770</v>
      </c>
      <c r="Z2415" s="382" t="s">
        <v>924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15353</v>
      </c>
      <c r="B2416" s="372" t="s">
        <v>15354</v>
      </c>
      <c r="C2416" s="372" t="s">
        <v>16290</v>
      </c>
      <c r="D2416" s="374">
        <v>1347110014590</v>
      </c>
      <c r="E2416" s="372" t="s">
        <v>16291</v>
      </c>
      <c r="F2416" s="372" t="s">
        <v>2121</v>
      </c>
      <c r="G2416" s="375" t="s">
        <v>16275</v>
      </c>
      <c r="H2416" s="375" t="s">
        <v>858</v>
      </c>
      <c r="I2416" s="375" t="s">
        <v>859</v>
      </c>
      <c r="J2416" s="375">
        <v>27355.869600000002</v>
      </c>
      <c r="K2416" s="375">
        <v>-13409.49202</v>
      </c>
      <c r="L2416" s="375">
        <v>-20557.46355</v>
      </c>
      <c r="M2416" s="375">
        <v>21537.0206</v>
      </c>
      <c r="N2416" s="372">
        <v>0.871</v>
      </c>
      <c r="O2416" s="704">
        <v>113.75867572477436</v>
      </c>
      <c r="P2416" s="563" t="s">
        <v>619</v>
      </c>
      <c r="Q2416" s="372" t="s">
        <v>619</v>
      </c>
      <c r="R2416" s="696">
        <v>20000804</v>
      </c>
      <c r="S2416" s="372" t="s">
        <v>15355</v>
      </c>
      <c r="T2416" s="697" t="s">
        <v>768</v>
      </c>
      <c r="U2416" s="372" t="s">
        <v>15356</v>
      </c>
      <c r="V2416" s="722" t="s">
        <v>770</v>
      </c>
      <c r="W2416" s="722">
        <v>0.85</v>
      </c>
      <c r="X2416" s="722">
        <v>0.6</v>
      </c>
      <c r="Y2416" s="722" t="s">
        <v>770</v>
      </c>
      <c r="Z2416" s="382" t="s">
        <v>924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15357</v>
      </c>
      <c r="B2417" s="372" t="s">
        <v>15358</v>
      </c>
      <c r="C2417" s="372" t="s">
        <v>15359</v>
      </c>
      <c r="D2417" s="374">
        <v>1311110060530</v>
      </c>
      <c r="E2417" s="372" t="s">
        <v>15360</v>
      </c>
      <c r="F2417" s="372" t="s">
        <v>1273</v>
      </c>
      <c r="G2417" s="375" t="s">
        <v>1449</v>
      </c>
      <c r="H2417" s="375" t="s">
        <v>858</v>
      </c>
      <c r="I2417" s="375" t="s">
        <v>859</v>
      </c>
      <c r="J2417" s="375">
        <v>17901.242849999999</v>
      </c>
      <c r="K2417" s="375">
        <v>-598.26738</v>
      </c>
      <c r="L2417" s="375">
        <v>1119.3530599999999</v>
      </c>
      <c r="M2417" s="375">
        <v>12508.58807</v>
      </c>
      <c r="N2417" s="372" t="s">
        <v>1023</v>
      </c>
      <c r="O2417" s="704">
        <v>0.21649342052051207</v>
      </c>
      <c r="P2417" s="563" t="s">
        <v>619</v>
      </c>
      <c r="Q2417" s="372" t="s">
        <v>619</v>
      </c>
      <c r="R2417" s="696">
        <v>20100716</v>
      </c>
      <c r="S2417" s="372" t="s">
        <v>15361</v>
      </c>
      <c r="T2417" s="697">
        <v>0.20900000000000002</v>
      </c>
      <c r="U2417" s="372" t="s">
        <v>15362</v>
      </c>
      <c r="V2417" s="722">
        <v>0</v>
      </c>
      <c r="W2417" s="722">
        <v>0</v>
      </c>
      <c r="X2417" s="722">
        <v>0</v>
      </c>
      <c r="Y2417" s="722">
        <v>0</v>
      </c>
      <c r="Z2417" s="382" t="s">
        <v>924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15363</v>
      </c>
      <c r="B2418" s="372" t="s">
        <v>15364</v>
      </c>
      <c r="C2418" s="372" t="s">
        <v>15365</v>
      </c>
      <c r="D2418" s="374">
        <v>1801110025882</v>
      </c>
      <c r="E2418" s="372" t="s">
        <v>15366</v>
      </c>
      <c r="F2418" s="372" t="s">
        <v>2744</v>
      </c>
      <c r="G2418" s="375" t="s">
        <v>9395</v>
      </c>
      <c r="H2418" s="375" t="s">
        <v>858</v>
      </c>
      <c r="I2418" s="375" t="s">
        <v>859</v>
      </c>
      <c r="J2418" s="375">
        <v>54028.222909999997</v>
      </c>
      <c r="K2418" s="375">
        <v>-10912.46127</v>
      </c>
      <c r="L2418" s="375">
        <v>-13108.26779</v>
      </c>
      <c r="M2418" s="375">
        <v>15940.58606</v>
      </c>
      <c r="N2418" s="372">
        <v>0.77</v>
      </c>
      <c r="O2418" s="704">
        <v>452.42457245250824</v>
      </c>
      <c r="P2418" s="563" t="s">
        <v>619</v>
      </c>
      <c r="Q2418" s="372" t="s">
        <v>619</v>
      </c>
      <c r="R2418" s="696">
        <v>19951227</v>
      </c>
      <c r="S2418" s="372" t="s">
        <v>15367</v>
      </c>
      <c r="T2418" s="697" t="s">
        <v>768</v>
      </c>
      <c r="U2418" s="372" t="s">
        <v>15368</v>
      </c>
      <c r="V2418" s="722" t="s">
        <v>770</v>
      </c>
      <c r="W2418" s="722">
        <v>0.94</v>
      </c>
      <c r="X2418" s="722">
        <v>0.28000000000000003</v>
      </c>
      <c r="Y2418" s="722" t="s">
        <v>770</v>
      </c>
      <c r="Z2418" s="382" t="s">
        <v>924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15369</v>
      </c>
      <c r="B2419" s="372" t="s">
        <v>15370</v>
      </c>
      <c r="C2419" s="372" t="s">
        <v>15371</v>
      </c>
      <c r="D2419" s="374">
        <v>1943110006189</v>
      </c>
      <c r="E2419" s="372" t="s">
        <v>15372</v>
      </c>
      <c r="F2419" s="372" t="s">
        <v>1868</v>
      </c>
      <c r="G2419" s="375" t="s">
        <v>7527</v>
      </c>
      <c r="H2419" s="375" t="s">
        <v>858</v>
      </c>
      <c r="I2419" s="375" t="s">
        <v>859</v>
      </c>
      <c r="J2419" s="375">
        <v>63846.615940000003</v>
      </c>
      <c r="K2419" s="375">
        <v>-1723.7692</v>
      </c>
      <c r="L2419" s="375">
        <v>-2354.1938700000001</v>
      </c>
      <c r="M2419" s="375">
        <v>40075.872940000001</v>
      </c>
      <c r="N2419" s="372" t="s">
        <v>1023</v>
      </c>
      <c r="O2419" s="704">
        <v>82.98288487117712</v>
      </c>
      <c r="P2419" s="563" t="s">
        <v>619</v>
      </c>
      <c r="Q2419" s="372" t="s">
        <v>619</v>
      </c>
      <c r="R2419" s="696">
        <v>20090519</v>
      </c>
      <c r="S2419" s="372" t="s">
        <v>15373</v>
      </c>
      <c r="T2419" s="697" t="s">
        <v>768</v>
      </c>
      <c r="U2419" s="372" t="s">
        <v>15374</v>
      </c>
      <c r="V2419" s="722">
        <v>0</v>
      </c>
      <c r="W2419" s="722">
        <v>0</v>
      </c>
      <c r="X2419" s="722">
        <v>0</v>
      </c>
      <c r="Y2419" s="722">
        <v>0</v>
      </c>
      <c r="Z2419" s="382" t="s">
        <v>924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15375</v>
      </c>
      <c r="B2420" s="372" t="s">
        <v>15376</v>
      </c>
      <c r="C2420" s="372" t="s">
        <v>15377</v>
      </c>
      <c r="D2420" s="374">
        <v>1350110106150</v>
      </c>
      <c r="E2420" s="372" t="s">
        <v>15378</v>
      </c>
      <c r="F2420" s="372" t="s">
        <v>1793</v>
      </c>
      <c r="G2420" s="375" t="s">
        <v>1794</v>
      </c>
      <c r="H2420" s="375" t="s">
        <v>858</v>
      </c>
      <c r="I2420" s="375" t="s">
        <v>859</v>
      </c>
      <c r="J2420" s="375">
        <v>63423.854200000002</v>
      </c>
      <c r="K2420" s="375">
        <v>23.392250000000001</v>
      </c>
      <c r="L2420" s="375">
        <v>-4592.3504400000002</v>
      </c>
      <c r="M2420" s="375">
        <v>26034.631399999998</v>
      </c>
      <c r="N2420" s="372">
        <v>0.32900000000000001</v>
      </c>
      <c r="O2420" s="704">
        <v>13.05342050368526</v>
      </c>
      <c r="P2420" s="563" t="s">
        <v>619</v>
      </c>
      <c r="Q2420" s="372" t="s">
        <v>619</v>
      </c>
      <c r="R2420" s="696">
        <v>20100609</v>
      </c>
      <c r="S2420" s="372" t="s">
        <v>15379</v>
      </c>
      <c r="T2420" s="697" t="s">
        <v>768</v>
      </c>
      <c r="U2420" s="372" t="s">
        <v>15380</v>
      </c>
      <c r="V2420" s="722">
        <v>36.53</v>
      </c>
      <c r="W2420" s="722">
        <v>1.75</v>
      </c>
      <c r="X2420" s="722">
        <v>0.63</v>
      </c>
      <c r="Y2420" s="722" t="s">
        <v>770</v>
      </c>
      <c r="Z2420" s="382" t="s">
        <v>924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15381</v>
      </c>
      <c r="B2421" s="372" t="s">
        <v>15382</v>
      </c>
      <c r="C2421" s="372" t="s">
        <v>15383</v>
      </c>
      <c r="D2421" s="374">
        <v>1101113637810</v>
      </c>
      <c r="E2421" s="372" t="s">
        <v>15384</v>
      </c>
      <c r="F2421" s="372" t="s">
        <v>1272</v>
      </c>
      <c r="G2421" s="375" t="s">
        <v>1272</v>
      </c>
      <c r="H2421" s="375" t="s">
        <v>858</v>
      </c>
      <c r="I2421" s="375" t="s">
        <v>859</v>
      </c>
      <c r="J2421" s="375">
        <v>32589.62356</v>
      </c>
      <c r="K2421" s="375">
        <v>-1206.1126899999999</v>
      </c>
      <c r="L2421" s="375">
        <v>230.32204999999999</v>
      </c>
      <c r="M2421" s="375">
        <v>23600.350859999999</v>
      </c>
      <c r="N2421" s="372">
        <v>0.45500000000000002</v>
      </c>
      <c r="O2421" s="704">
        <v>141.70198520055837</v>
      </c>
      <c r="P2421" s="563" t="s">
        <v>619</v>
      </c>
      <c r="Q2421" s="372" t="s">
        <v>619</v>
      </c>
      <c r="R2421" s="696">
        <v>20151224</v>
      </c>
      <c r="S2421" s="372" t="s">
        <v>15385</v>
      </c>
      <c r="T2421" s="697">
        <v>0.20900000000000002</v>
      </c>
      <c r="U2421" s="372" t="s">
        <v>15386</v>
      </c>
      <c r="V2421" s="722">
        <v>94.43</v>
      </c>
      <c r="W2421" s="722">
        <v>0.92</v>
      </c>
      <c r="X2421" s="722">
        <v>0.71</v>
      </c>
      <c r="Y2421" s="722">
        <v>85.44</v>
      </c>
      <c r="Z2421" s="382" t="s">
        <v>924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15387</v>
      </c>
      <c r="B2422" s="372" t="s">
        <v>15388</v>
      </c>
      <c r="C2422" s="372" t="s">
        <v>15389</v>
      </c>
      <c r="D2422" s="374">
        <v>1311110191004</v>
      </c>
      <c r="E2422" s="372" t="s">
        <v>15390</v>
      </c>
      <c r="F2422" s="372" t="s">
        <v>766</v>
      </c>
      <c r="G2422" s="375" t="s">
        <v>766</v>
      </c>
      <c r="H2422" s="375" t="s">
        <v>858</v>
      </c>
      <c r="I2422" s="375" t="s">
        <v>859</v>
      </c>
      <c r="J2422" s="375">
        <v>68132.142420000004</v>
      </c>
      <c r="K2422" s="375">
        <v>-763.45511999999997</v>
      </c>
      <c r="L2422" s="375">
        <v>-28232.533909999998</v>
      </c>
      <c r="M2422" s="375">
        <v>29409.77205</v>
      </c>
      <c r="N2422" s="372">
        <v>0.246</v>
      </c>
      <c r="O2422" s="704">
        <v>120.80874023265385</v>
      </c>
      <c r="P2422" s="563" t="s">
        <v>16112</v>
      </c>
      <c r="Q2422" s="372" t="s">
        <v>16113</v>
      </c>
      <c r="R2422" s="696">
        <v>20150625</v>
      </c>
      <c r="S2422" s="372" t="s">
        <v>15391</v>
      </c>
      <c r="T2422" s="697" t="s">
        <v>768</v>
      </c>
      <c r="U2422" s="372" t="s">
        <v>15976</v>
      </c>
      <c r="V2422" s="722" t="s">
        <v>770</v>
      </c>
      <c r="W2422" s="722">
        <v>0.76</v>
      </c>
      <c r="X2422" s="722">
        <v>0.33</v>
      </c>
      <c r="Y2422" s="722" t="s">
        <v>770</v>
      </c>
      <c r="Z2422" s="382" t="s">
        <v>924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15392</v>
      </c>
      <c r="B2423" s="372" t="s">
        <v>15393</v>
      </c>
      <c r="C2423" s="372" t="s">
        <v>15394</v>
      </c>
      <c r="D2423" s="374">
        <v>1201110330796</v>
      </c>
      <c r="E2423" s="372" t="s">
        <v>15395</v>
      </c>
      <c r="F2423" s="372" t="s">
        <v>1272</v>
      </c>
      <c r="G2423" s="375" t="s">
        <v>1272</v>
      </c>
      <c r="H2423" s="375" t="s">
        <v>858</v>
      </c>
      <c r="I2423" s="375" t="s">
        <v>859</v>
      </c>
      <c r="J2423" s="375">
        <v>33433.505440000001</v>
      </c>
      <c r="K2423" s="375">
        <v>237.40646000000001</v>
      </c>
      <c r="L2423" s="375">
        <v>-859.66547000000003</v>
      </c>
      <c r="M2423" s="375">
        <v>9883.9447500000006</v>
      </c>
      <c r="N2423" s="372">
        <v>1.0920000000000001</v>
      </c>
      <c r="O2423" s="704">
        <v>71.110930219311228</v>
      </c>
      <c r="P2423" s="563" t="s">
        <v>619</v>
      </c>
      <c r="Q2423" s="372" t="s">
        <v>619</v>
      </c>
      <c r="R2423" s="696">
        <v>20111102</v>
      </c>
      <c r="S2423" s="372" t="s">
        <v>15396</v>
      </c>
      <c r="T2423" s="697" t="s">
        <v>768</v>
      </c>
      <c r="U2423" s="372" t="s">
        <v>15397</v>
      </c>
      <c r="V2423" s="722">
        <v>29.66</v>
      </c>
      <c r="W2423" s="722">
        <v>3.95</v>
      </c>
      <c r="X2423" s="722">
        <v>1.17</v>
      </c>
      <c r="Y2423" s="722" t="s">
        <v>770</v>
      </c>
      <c r="Z2423" s="382" t="s">
        <v>924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15398</v>
      </c>
      <c r="B2424" s="372" t="s">
        <v>15399</v>
      </c>
      <c r="C2424" s="372" t="s">
        <v>15400</v>
      </c>
      <c r="D2424" s="374">
        <v>1101110192271</v>
      </c>
      <c r="E2424" s="372" t="s">
        <v>15401</v>
      </c>
      <c r="F2424" s="372" t="s">
        <v>2665</v>
      </c>
      <c r="G2424" s="375" t="s">
        <v>15180</v>
      </c>
      <c r="H2424" s="375" t="s">
        <v>858</v>
      </c>
      <c r="I2424" s="375" t="s">
        <v>859</v>
      </c>
      <c r="J2424" s="375">
        <v>59008.80762</v>
      </c>
      <c r="K2424" s="375">
        <v>-1973.0101</v>
      </c>
      <c r="L2424" s="375">
        <v>1209.2155399999999</v>
      </c>
      <c r="M2424" s="375">
        <v>26593.98459</v>
      </c>
      <c r="N2424" s="372">
        <v>1.085</v>
      </c>
      <c r="O2424" s="704">
        <v>94.449804569267002</v>
      </c>
      <c r="P2424" s="563" t="s">
        <v>619</v>
      </c>
      <c r="Q2424" s="372" t="s">
        <v>619</v>
      </c>
      <c r="R2424" s="696">
        <v>20040630</v>
      </c>
      <c r="S2424" s="372" t="s">
        <v>15402</v>
      </c>
      <c r="T2424" s="697">
        <v>0.20900000000000002</v>
      </c>
      <c r="U2424" s="372" t="s">
        <v>15403</v>
      </c>
      <c r="V2424" s="722">
        <v>0</v>
      </c>
      <c r="W2424" s="722">
        <v>0</v>
      </c>
      <c r="X2424" s="722">
        <v>0</v>
      </c>
      <c r="Y2424" s="722">
        <v>0</v>
      </c>
      <c r="Z2424" s="382" t="s">
        <v>924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15404</v>
      </c>
      <c r="B2425" s="372" t="s">
        <v>15405</v>
      </c>
      <c r="C2425" s="372" t="s">
        <v>15406</v>
      </c>
      <c r="D2425" s="374">
        <v>1648110015300</v>
      </c>
      <c r="E2425" s="372" t="s">
        <v>15407</v>
      </c>
      <c r="F2425" s="372" t="s">
        <v>1707</v>
      </c>
      <c r="G2425" s="375" t="s">
        <v>1708</v>
      </c>
      <c r="H2425" s="375" t="s">
        <v>858</v>
      </c>
      <c r="I2425" s="375" t="s">
        <v>859</v>
      </c>
      <c r="J2425" s="375">
        <v>72224.787240000005</v>
      </c>
      <c r="K2425" s="375">
        <v>-178901.60652999999</v>
      </c>
      <c r="L2425" s="375">
        <v>-176120.74155999999</v>
      </c>
      <c r="M2425" s="375">
        <v>-374204.11179</v>
      </c>
      <c r="N2425" s="372">
        <v>0.77400000000000002</v>
      </c>
      <c r="O2425" s="704">
        <v>956.28509670646361</v>
      </c>
      <c r="P2425" s="563" t="s">
        <v>16112</v>
      </c>
      <c r="Q2425" s="372" t="s">
        <v>16113</v>
      </c>
      <c r="R2425" s="696">
        <v>20160714</v>
      </c>
      <c r="S2425" s="372" t="s">
        <v>15408</v>
      </c>
      <c r="T2425" s="697" t="s">
        <v>768</v>
      </c>
      <c r="U2425" s="372" t="s">
        <v>15977</v>
      </c>
      <c r="V2425" s="722" t="s">
        <v>770</v>
      </c>
      <c r="W2425" s="722" t="s">
        <v>770</v>
      </c>
      <c r="X2425" s="722">
        <v>0.31</v>
      </c>
      <c r="Y2425" s="722" t="s">
        <v>770</v>
      </c>
      <c r="Z2425" s="382" t="s">
        <v>924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15409</v>
      </c>
      <c r="B2426" s="372" t="s">
        <v>15410</v>
      </c>
      <c r="C2426" s="372" t="s">
        <v>15411</v>
      </c>
      <c r="D2426" s="374">
        <v>1760110022266</v>
      </c>
      <c r="E2426" s="372" t="s">
        <v>15412</v>
      </c>
      <c r="F2426" s="372" t="s">
        <v>7027</v>
      </c>
      <c r="G2426" s="375" t="s">
        <v>7027</v>
      </c>
      <c r="H2426" s="375" t="s">
        <v>1334</v>
      </c>
      <c r="I2426" s="375" t="s">
        <v>859</v>
      </c>
      <c r="J2426" s="375">
        <v>8810.4176900000002</v>
      </c>
      <c r="K2426" s="375">
        <v>-1795.21199</v>
      </c>
      <c r="L2426" s="375">
        <v>-2577.01505</v>
      </c>
      <c r="M2426" s="375">
        <v>14850.03622</v>
      </c>
      <c r="N2426" s="372">
        <v>0.71699999999999997</v>
      </c>
      <c r="O2426" s="704">
        <v>2.5366420655801027</v>
      </c>
      <c r="P2426" s="563" t="s">
        <v>619</v>
      </c>
      <c r="Q2426" s="372" t="s">
        <v>619</v>
      </c>
      <c r="R2426" s="696">
        <v>20040625</v>
      </c>
      <c r="S2426" s="372" t="s">
        <v>16292</v>
      </c>
      <c r="T2426" s="697" t="s">
        <v>768</v>
      </c>
      <c r="U2426" s="372" t="s">
        <v>15413</v>
      </c>
      <c r="V2426" s="722">
        <v>0</v>
      </c>
      <c r="W2426" s="722">
        <v>0</v>
      </c>
      <c r="X2426" s="722">
        <v>0</v>
      </c>
      <c r="Y2426" s="722">
        <v>0</v>
      </c>
      <c r="Z2426" s="382" t="s">
        <v>924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15414</v>
      </c>
      <c r="B2427" s="372" t="s">
        <v>15415</v>
      </c>
      <c r="C2427" s="372" t="s">
        <v>15416</v>
      </c>
      <c r="D2427" s="374">
        <v>1101118743802</v>
      </c>
      <c r="E2427" s="372" t="s">
        <v>15417</v>
      </c>
      <c r="F2427" s="372" t="s">
        <v>1140</v>
      </c>
      <c r="G2427" s="375" t="s">
        <v>1141</v>
      </c>
      <c r="H2427" s="375" t="s">
        <v>892</v>
      </c>
      <c r="I2427" s="375" t="s">
        <v>859</v>
      </c>
      <c r="J2427" s="375">
        <v>0</v>
      </c>
      <c r="K2427" s="375">
        <v>-107.26911</v>
      </c>
      <c r="L2427" s="375">
        <v>447.51303999999999</v>
      </c>
      <c r="M2427" s="375">
        <v>21725.731319999999</v>
      </c>
      <c r="N2427" s="372" t="s">
        <v>1023</v>
      </c>
      <c r="O2427" s="704">
        <v>15.097146185206755</v>
      </c>
      <c r="P2427" s="563" t="s">
        <v>16112</v>
      </c>
      <c r="Q2427" s="372" t="s">
        <v>619</v>
      </c>
      <c r="R2427" s="696">
        <v>20231204</v>
      </c>
      <c r="S2427" s="372" t="s">
        <v>9015</v>
      </c>
      <c r="T2427" s="697">
        <v>0.20900000000000002</v>
      </c>
      <c r="U2427" s="372">
        <v>0</v>
      </c>
      <c r="V2427" s="722">
        <v>0</v>
      </c>
      <c r="W2427" s="722">
        <v>0</v>
      </c>
      <c r="X2427" s="722">
        <v>0</v>
      </c>
      <c r="Y2427" s="722">
        <v>0</v>
      </c>
      <c r="Z2427" s="382" t="s">
        <v>770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15418</v>
      </c>
      <c r="B2428" s="372" t="s">
        <v>15419</v>
      </c>
      <c r="C2428" s="372" t="s">
        <v>15420</v>
      </c>
      <c r="D2428" s="374">
        <v>1647110001608</v>
      </c>
      <c r="E2428" s="372" t="s">
        <v>15421</v>
      </c>
      <c r="F2428" s="372" t="s">
        <v>1174</v>
      </c>
      <c r="G2428" s="375" t="s">
        <v>1175</v>
      </c>
      <c r="H2428" s="375" t="s">
        <v>858</v>
      </c>
      <c r="I2428" s="375" t="s">
        <v>859</v>
      </c>
      <c r="J2428" s="375">
        <v>55969.162510000002</v>
      </c>
      <c r="K2428" s="375">
        <v>1047.17148</v>
      </c>
      <c r="L2428" s="375">
        <v>-1740.22217</v>
      </c>
      <c r="M2428" s="375">
        <v>19187.267469999999</v>
      </c>
      <c r="N2428" s="372">
        <v>0.436</v>
      </c>
      <c r="O2428" s="704">
        <v>106.95510089078385</v>
      </c>
      <c r="P2428" s="563" t="s">
        <v>619</v>
      </c>
      <c r="Q2428" s="372" t="s">
        <v>619</v>
      </c>
      <c r="R2428" s="696">
        <v>20030813</v>
      </c>
      <c r="S2428" s="372" t="s">
        <v>15422</v>
      </c>
      <c r="T2428" s="697" t="s">
        <v>768</v>
      </c>
      <c r="U2428" s="372" t="s">
        <v>15423</v>
      </c>
      <c r="V2428" s="722">
        <v>7.11</v>
      </c>
      <c r="W2428" s="722">
        <v>0.94</v>
      </c>
      <c r="X2428" s="722">
        <v>0.32</v>
      </c>
      <c r="Y2428" s="722" t="s">
        <v>770</v>
      </c>
      <c r="Z2428" s="382" t="s">
        <v>924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15424</v>
      </c>
      <c r="B2429" s="372" t="s">
        <v>15425</v>
      </c>
      <c r="C2429" s="372" t="s">
        <v>16293</v>
      </c>
      <c r="D2429" s="374">
        <v>1101110674724</v>
      </c>
      <c r="E2429" s="372" t="s">
        <v>16294</v>
      </c>
      <c r="F2429" s="372" t="s">
        <v>1367</v>
      </c>
      <c r="G2429" s="375" t="s">
        <v>1367</v>
      </c>
      <c r="H2429" s="375" t="s">
        <v>858</v>
      </c>
      <c r="I2429" s="375" t="s">
        <v>859</v>
      </c>
      <c r="J2429" s="375">
        <v>20619.493419999999</v>
      </c>
      <c r="K2429" s="375">
        <v>-1189.3629100000001</v>
      </c>
      <c r="L2429" s="375">
        <v>-2080.3044100000002</v>
      </c>
      <c r="M2429" s="375">
        <v>57310.523699999998</v>
      </c>
      <c r="N2429" s="372" t="s">
        <v>1023</v>
      </c>
      <c r="O2429" s="704">
        <v>23.290445523239423</v>
      </c>
      <c r="P2429" s="563" t="s">
        <v>619</v>
      </c>
      <c r="Q2429" s="372" t="s">
        <v>619</v>
      </c>
      <c r="R2429" s="696">
        <v>20010622</v>
      </c>
      <c r="S2429" s="372" t="s">
        <v>15426</v>
      </c>
      <c r="T2429" s="697" t="s">
        <v>768</v>
      </c>
      <c r="U2429" s="372" t="s">
        <v>15427</v>
      </c>
      <c r="V2429" s="722">
        <v>0</v>
      </c>
      <c r="W2429" s="722">
        <v>0</v>
      </c>
      <c r="X2429" s="722">
        <v>0</v>
      </c>
      <c r="Y2429" s="722">
        <v>0</v>
      </c>
      <c r="Z2429" s="382" t="s">
        <v>924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15428</v>
      </c>
      <c r="B2430" s="372" t="s">
        <v>15429</v>
      </c>
      <c r="C2430" s="372" t="s">
        <v>15430</v>
      </c>
      <c r="D2430" s="374">
        <v>1701110031873</v>
      </c>
      <c r="E2430" s="372" t="s">
        <v>15431</v>
      </c>
      <c r="F2430" s="372" t="s">
        <v>1354</v>
      </c>
      <c r="G2430" s="375" t="s">
        <v>1354</v>
      </c>
      <c r="H2430" s="375" t="s">
        <v>858</v>
      </c>
      <c r="I2430" s="375" t="s">
        <v>859</v>
      </c>
      <c r="J2430" s="375">
        <v>8578.3531199999998</v>
      </c>
      <c r="K2430" s="375">
        <v>-8974.9129200000007</v>
      </c>
      <c r="L2430" s="375">
        <v>-9710.8952100000006</v>
      </c>
      <c r="M2430" s="375">
        <v>7546.8782600000004</v>
      </c>
      <c r="N2430" s="372">
        <v>0.56699999999999995</v>
      </c>
      <c r="O2430" s="704">
        <v>12.905254921873604</v>
      </c>
      <c r="P2430" s="563" t="s">
        <v>619</v>
      </c>
      <c r="Q2430" s="372" t="s">
        <v>619</v>
      </c>
      <c r="R2430" s="696">
        <v>20020820</v>
      </c>
      <c r="S2430" s="372" t="s">
        <v>15432</v>
      </c>
      <c r="T2430" s="697" t="s">
        <v>768</v>
      </c>
      <c r="U2430" s="372" t="s">
        <v>15433</v>
      </c>
      <c r="V2430" s="722">
        <v>0</v>
      </c>
      <c r="W2430" s="722">
        <v>0</v>
      </c>
      <c r="X2430" s="722">
        <v>0</v>
      </c>
      <c r="Y2430" s="722">
        <v>0</v>
      </c>
      <c r="Z2430" s="382" t="s">
        <v>924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15434</v>
      </c>
      <c r="B2431" s="372" t="s">
        <v>15435</v>
      </c>
      <c r="C2431" s="372" t="s">
        <v>15436</v>
      </c>
      <c r="D2431" s="374">
        <v>1101117685386</v>
      </c>
      <c r="E2431" s="372" t="s">
        <v>15437</v>
      </c>
      <c r="F2431" s="372" t="s">
        <v>1140</v>
      </c>
      <c r="G2431" s="375" t="s">
        <v>1141</v>
      </c>
      <c r="H2431" s="375" t="s">
        <v>892</v>
      </c>
      <c r="I2431" s="375" t="s">
        <v>4410</v>
      </c>
      <c r="J2431" s="375">
        <v>0</v>
      </c>
      <c r="K2431" s="375">
        <v>0</v>
      </c>
      <c r="L2431" s="375">
        <v>0</v>
      </c>
      <c r="M2431" s="375">
        <v>0</v>
      </c>
      <c r="N2431" s="372" t="s">
        <v>1023</v>
      </c>
      <c r="O2431" s="704" t="s">
        <v>16298</v>
      </c>
      <c r="P2431" s="563" t="s">
        <v>619</v>
      </c>
      <c r="Q2431" s="372" t="s">
        <v>619</v>
      </c>
      <c r="R2431" s="696">
        <v>20210305</v>
      </c>
      <c r="S2431" s="372" t="e">
        <v>#N/A</v>
      </c>
      <c r="T2431" s="697" t="s">
        <v>768</v>
      </c>
      <c r="U2431" s="372">
        <v>0</v>
      </c>
      <c r="V2431" s="722">
        <v>0</v>
      </c>
      <c r="W2431" s="722">
        <v>0</v>
      </c>
      <c r="X2431" s="722">
        <v>0</v>
      </c>
      <c r="Y2431" s="722">
        <v>0</v>
      </c>
      <c r="Z2431" s="382" t="s">
        <v>770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15438</v>
      </c>
      <c r="B2432" s="372" t="s">
        <v>15439</v>
      </c>
      <c r="C2432" s="372" t="s">
        <v>15440</v>
      </c>
      <c r="D2432" s="374">
        <v>1101118336946</v>
      </c>
      <c r="E2432" s="372" t="s">
        <v>15441</v>
      </c>
      <c r="F2432" s="372" t="s">
        <v>1140</v>
      </c>
      <c r="G2432" s="375" t="s">
        <v>1141</v>
      </c>
      <c r="H2432" s="375" t="s">
        <v>892</v>
      </c>
      <c r="I2432" s="375" t="s">
        <v>4410</v>
      </c>
      <c r="J2432" s="375">
        <v>0</v>
      </c>
      <c r="K2432" s="375">
        <v>0</v>
      </c>
      <c r="L2432" s="375">
        <v>0</v>
      </c>
      <c r="M2432" s="375">
        <v>0</v>
      </c>
      <c r="N2432" s="372" t="s">
        <v>1023</v>
      </c>
      <c r="O2432" s="704" t="s">
        <v>16298</v>
      </c>
      <c r="P2432" s="563" t="s">
        <v>619</v>
      </c>
      <c r="Q2432" s="372" t="s">
        <v>619</v>
      </c>
      <c r="R2432" s="696">
        <v>20220922</v>
      </c>
      <c r="S2432" s="372" t="e">
        <v>#N/A</v>
      </c>
      <c r="T2432" s="697" t="s">
        <v>768</v>
      </c>
      <c r="U2432" s="372">
        <v>0</v>
      </c>
      <c r="V2432" s="722">
        <v>0</v>
      </c>
      <c r="W2432" s="722">
        <v>0</v>
      </c>
      <c r="X2432" s="722">
        <v>0</v>
      </c>
      <c r="Y2432" s="722">
        <v>0</v>
      </c>
      <c r="Z2432" s="382" t="s">
        <v>770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15443</v>
      </c>
      <c r="B2433" s="372" t="s">
        <v>15444</v>
      </c>
      <c r="C2433" s="372" t="s">
        <v>15445</v>
      </c>
      <c r="D2433" s="374">
        <v>1501110031257</v>
      </c>
      <c r="E2433" s="372" t="s">
        <v>15446</v>
      </c>
      <c r="F2433" s="372" t="s">
        <v>1653</v>
      </c>
      <c r="G2433" s="375" t="s">
        <v>1653</v>
      </c>
      <c r="H2433" s="375" t="s">
        <v>858</v>
      </c>
      <c r="I2433" s="375" t="s">
        <v>859</v>
      </c>
      <c r="J2433" s="375">
        <v>11367.4517</v>
      </c>
      <c r="K2433" s="375">
        <v>223.41257999999999</v>
      </c>
      <c r="L2433" s="375">
        <v>311.15197999999998</v>
      </c>
      <c r="M2433" s="375">
        <v>14875.42792</v>
      </c>
      <c r="N2433" s="372">
        <v>1.0029999999999999</v>
      </c>
      <c r="O2433" s="704">
        <v>0.10841941787604031</v>
      </c>
      <c r="P2433" s="563" t="s">
        <v>619</v>
      </c>
      <c r="Q2433" s="372" t="s">
        <v>619</v>
      </c>
      <c r="R2433" s="696">
        <v>20080502</v>
      </c>
      <c r="S2433" s="372" t="s">
        <v>15447</v>
      </c>
      <c r="T2433" s="697">
        <v>0.20900000000000002</v>
      </c>
      <c r="U2433" s="372" t="s">
        <v>15448</v>
      </c>
      <c r="V2433" s="722">
        <v>0</v>
      </c>
      <c r="W2433" s="722">
        <v>0</v>
      </c>
      <c r="X2433" s="722">
        <v>0</v>
      </c>
      <c r="Y2433" s="722">
        <v>0</v>
      </c>
      <c r="Z2433" s="382" t="s">
        <v>924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15449</v>
      </c>
      <c r="B2434" s="372" t="s">
        <v>15450</v>
      </c>
      <c r="C2434" s="372" t="s">
        <v>15451</v>
      </c>
      <c r="D2434" s="374">
        <v>1201110041327</v>
      </c>
      <c r="E2434" s="372" t="s">
        <v>15452</v>
      </c>
      <c r="F2434" s="372" t="s">
        <v>5877</v>
      </c>
      <c r="G2434" s="375" t="s">
        <v>5877</v>
      </c>
      <c r="H2434" s="375" t="s">
        <v>858</v>
      </c>
      <c r="I2434" s="375" t="s">
        <v>859</v>
      </c>
      <c r="J2434" s="375">
        <v>63457.395349999999</v>
      </c>
      <c r="K2434" s="375">
        <v>-3257.8660799999998</v>
      </c>
      <c r="L2434" s="375">
        <v>-10324.218639999999</v>
      </c>
      <c r="M2434" s="375">
        <v>48187.753859999997</v>
      </c>
      <c r="N2434" s="372">
        <v>0.77</v>
      </c>
      <c r="O2434" s="704">
        <v>402.39524882466344</v>
      </c>
      <c r="P2434" s="563" t="s">
        <v>619</v>
      </c>
      <c r="Q2434" s="372" t="s">
        <v>619</v>
      </c>
      <c r="R2434" s="696">
        <v>20020712</v>
      </c>
      <c r="S2434" s="372" t="s">
        <v>15453</v>
      </c>
      <c r="T2434" s="697" t="s">
        <v>768</v>
      </c>
      <c r="U2434" s="372" t="s">
        <v>15454</v>
      </c>
      <c r="V2434" s="722">
        <v>47.23</v>
      </c>
      <c r="W2434" s="722">
        <v>0.27</v>
      </c>
      <c r="X2434" s="722">
        <v>0.25</v>
      </c>
      <c r="Y2434" s="722" t="s">
        <v>770</v>
      </c>
      <c r="Z2434" s="382" t="s">
        <v>924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15455</v>
      </c>
      <c r="B2435" s="372" t="s">
        <v>15456</v>
      </c>
      <c r="C2435" s="372" t="s">
        <v>15457</v>
      </c>
      <c r="D2435" s="374">
        <v>1101118468989</v>
      </c>
      <c r="E2435" s="372" t="s">
        <v>15458</v>
      </c>
      <c r="F2435" s="372" t="s">
        <v>1140</v>
      </c>
      <c r="G2435" s="375" t="s">
        <v>1141</v>
      </c>
      <c r="H2435" s="375" t="s">
        <v>892</v>
      </c>
      <c r="I2435" s="375" t="s">
        <v>859</v>
      </c>
      <c r="J2435" s="375">
        <v>0</v>
      </c>
      <c r="K2435" s="375">
        <v>-37.624519999999997</v>
      </c>
      <c r="L2435" s="375">
        <v>576.70718999999997</v>
      </c>
      <c r="M2435" s="375">
        <v>19057.218089999998</v>
      </c>
      <c r="N2435" s="372" t="s">
        <v>1023</v>
      </c>
      <c r="O2435" s="704">
        <v>7.4334099905365676</v>
      </c>
      <c r="P2435" s="563" t="s">
        <v>619</v>
      </c>
      <c r="Q2435" s="372" t="s">
        <v>619</v>
      </c>
      <c r="R2435" s="696">
        <v>20230228</v>
      </c>
      <c r="S2435" s="372" t="s">
        <v>11489</v>
      </c>
      <c r="T2435" s="697">
        <v>0.20900000000000002</v>
      </c>
      <c r="U2435" s="372">
        <v>0</v>
      </c>
      <c r="V2435" s="722">
        <v>0</v>
      </c>
      <c r="W2435" s="722">
        <v>0</v>
      </c>
      <c r="X2435" s="722">
        <v>0</v>
      </c>
      <c r="Y2435" s="722">
        <v>0</v>
      </c>
      <c r="Z2435" s="382" t="s">
        <v>770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15459</v>
      </c>
      <c r="B2436" s="372" t="s">
        <v>15460</v>
      </c>
      <c r="C2436" s="372" t="s">
        <v>15461</v>
      </c>
      <c r="D2436" s="374">
        <v>1101110766703</v>
      </c>
      <c r="E2436" s="372" t="s">
        <v>15462</v>
      </c>
      <c r="F2436" s="372" t="s">
        <v>5766</v>
      </c>
      <c r="G2436" s="375" t="s">
        <v>5766</v>
      </c>
      <c r="H2436" s="375" t="s">
        <v>814</v>
      </c>
      <c r="I2436" s="375" t="s">
        <v>4410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1023</v>
      </c>
      <c r="O2436" s="704" t="s">
        <v>16298</v>
      </c>
      <c r="P2436" s="563" t="s">
        <v>619</v>
      </c>
      <c r="Q2436" s="372" t="s">
        <v>619</v>
      </c>
      <c r="R2436" s="696">
        <v>20001221</v>
      </c>
      <c r="S2436" s="372" t="e">
        <v>#N/A</v>
      </c>
      <c r="T2436" s="697" t="s">
        <v>768</v>
      </c>
      <c r="U2436" s="372" t="s">
        <v>15463</v>
      </c>
      <c r="V2436" s="722">
        <v>0</v>
      </c>
      <c r="W2436" s="722">
        <v>0</v>
      </c>
      <c r="X2436" s="722">
        <v>0</v>
      </c>
      <c r="Y2436" s="722">
        <v>0</v>
      </c>
      <c r="Z2436" s="382" t="s">
        <v>770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15464</v>
      </c>
      <c r="B2437" s="372" t="s">
        <v>15465</v>
      </c>
      <c r="C2437" s="372" t="s">
        <v>15466</v>
      </c>
      <c r="D2437" s="374">
        <v>1101118611934</v>
      </c>
      <c r="E2437" s="372" t="s">
        <v>15467</v>
      </c>
      <c r="F2437" s="372" t="s">
        <v>1140</v>
      </c>
      <c r="G2437" s="375" t="s">
        <v>1141</v>
      </c>
      <c r="H2437" s="375" t="s">
        <v>892</v>
      </c>
      <c r="I2437" s="375" t="s">
        <v>859</v>
      </c>
      <c r="J2437" s="375">
        <v>0</v>
      </c>
      <c r="K2437" s="375">
        <v>-64.675640000000001</v>
      </c>
      <c r="L2437" s="375">
        <v>327.85336000000001</v>
      </c>
      <c r="M2437" s="375">
        <v>14279.51621</v>
      </c>
      <c r="N2437" s="372" t="s">
        <v>1023</v>
      </c>
      <c r="O2437" s="704">
        <v>6.6291546334296001</v>
      </c>
      <c r="P2437" s="563" t="s">
        <v>619</v>
      </c>
      <c r="Q2437" s="372" t="s">
        <v>619</v>
      </c>
      <c r="R2437" s="696">
        <v>20230904</v>
      </c>
      <c r="S2437" s="372" t="s">
        <v>15468</v>
      </c>
      <c r="T2437" s="697">
        <v>0.20900000000000002</v>
      </c>
      <c r="U2437" s="372">
        <v>0</v>
      </c>
      <c r="V2437" s="722">
        <v>0</v>
      </c>
      <c r="W2437" s="722">
        <v>0</v>
      </c>
      <c r="X2437" s="722">
        <v>0</v>
      </c>
      <c r="Y2437" s="722">
        <v>0</v>
      </c>
      <c r="Z2437" s="382" t="s">
        <v>770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15469</v>
      </c>
      <c r="B2438" s="372" t="s">
        <v>15470</v>
      </c>
      <c r="C2438" s="372" t="s">
        <v>15471</v>
      </c>
      <c r="D2438" s="374">
        <v>1101115680643</v>
      </c>
      <c r="E2438" s="372" t="s">
        <v>15472</v>
      </c>
      <c r="F2438" s="372" t="s">
        <v>15473</v>
      </c>
      <c r="G2438" s="375" t="s">
        <v>15473</v>
      </c>
      <c r="H2438" s="375">
        <v>0</v>
      </c>
      <c r="I2438" s="375" t="s">
        <v>859</v>
      </c>
      <c r="J2438" s="375">
        <v>43488.132239999999</v>
      </c>
      <c r="K2438" s="375">
        <v>-5973.5002000000004</v>
      </c>
      <c r="L2438" s="375">
        <v>-16937.72176</v>
      </c>
      <c r="M2438" s="375">
        <v>-3499.2506800000001</v>
      </c>
      <c r="N2438" s="372">
        <v>0.54200000000000004</v>
      </c>
      <c r="O2438" s="704">
        <v>77.921289075547634</v>
      </c>
      <c r="P2438" s="563" t="s">
        <v>16112</v>
      </c>
      <c r="Q2438" s="372" t="s">
        <v>16113</v>
      </c>
      <c r="R2438" s="696">
        <v>20150610</v>
      </c>
      <c r="S2438" s="372" t="s">
        <v>15474</v>
      </c>
      <c r="T2438" s="697" t="s">
        <v>768</v>
      </c>
      <c r="U2438" s="372" t="s">
        <v>15475</v>
      </c>
      <c r="V2438" s="722">
        <v>0</v>
      </c>
      <c r="W2438" s="722">
        <v>0</v>
      </c>
      <c r="X2438" s="722">
        <v>0</v>
      </c>
      <c r="Y2438" s="722">
        <v>0</v>
      </c>
      <c r="Z2438" s="382" t="s">
        <v>924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15476</v>
      </c>
      <c r="B2439" s="372" t="s">
        <v>15477</v>
      </c>
      <c r="C2439" s="372" t="s">
        <v>16295</v>
      </c>
      <c r="D2439" s="374">
        <v>1101118277942</v>
      </c>
      <c r="E2439" s="372" t="s">
        <v>15478</v>
      </c>
      <c r="F2439" s="372" t="s">
        <v>1140</v>
      </c>
      <c r="G2439" s="375" t="s">
        <v>1141</v>
      </c>
      <c r="H2439" s="375" t="s">
        <v>892</v>
      </c>
      <c r="I2439" s="375" t="s">
        <v>4410</v>
      </c>
      <c r="J2439" s="375">
        <v>0</v>
      </c>
      <c r="K2439" s="375">
        <v>0</v>
      </c>
      <c r="L2439" s="375">
        <v>0</v>
      </c>
      <c r="M2439" s="375">
        <v>0</v>
      </c>
      <c r="N2439" s="372">
        <v>0.48799999999999999</v>
      </c>
      <c r="O2439" s="704" t="s">
        <v>16298</v>
      </c>
      <c r="P2439" s="563" t="s">
        <v>619</v>
      </c>
      <c r="Q2439" s="372" t="s">
        <v>619</v>
      </c>
      <c r="R2439" s="696">
        <v>20220929</v>
      </c>
      <c r="S2439" s="372" t="e">
        <v>#N/A</v>
      </c>
      <c r="T2439" s="697" t="s">
        <v>768</v>
      </c>
      <c r="U2439" s="372">
        <v>0</v>
      </c>
      <c r="V2439" s="722">
        <v>0</v>
      </c>
      <c r="W2439" s="722">
        <v>0</v>
      </c>
      <c r="X2439" s="722">
        <v>0</v>
      </c>
      <c r="Y2439" s="722">
        <v>0</v>
      </c>
      <c r="Z2439" s="382" t="s">
        <v>770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15479</v>
      </c>
      <c r="B2440" s="372" t="s">
        <v>15480</v>
      </c>
      <c r="C2440" s="372" t="s">
        <v>15481</v>
      </c>
      <c r="D2440" s="374">
        <v>1101118734116</v>
      </c>
      <c r="E2440" s="372" t="s">
        <v>15482</v>
      </c>
      <c r="F2440" s="372" t="s">
        <v>1140</v>
      </c>
      <c r="G2440" s="375" t="s">
        <v>1141</v>
      </c>
      <c r="H2440" s="375" t="s">
        <v>892</v>
      </c>
      <c r="I2440" s="375" t="s">
        <v>859</v>
      </c>
      <c r="J2440" s="375">
        <v>0</v>
      </c>
      <c r="K2440" s="375">
        <v>-50.296129999999998</v>
      </c>
      <c r="L2440" s="375">
        <v>511.88121999999998</v>
      </c>
      <c r="M2440" s="375">
        <v>17706.239450000001</v>
      </c>
      <c r="N2440" s="372" t="s">
        <v>1023</v>
      </c>
      <c r="O2440" s="704">
        <v>13.300177561308127</v>
      </c>
      <c r="P2440" s="563" t="s">
        <v>619</v>
      </c>
      <c r="Q2440" s="372" t="s">
        <v>619</v>
      </c>
      <c r="R2440" s="696">
        <v>20231201</v>
      </c>
      <c r="S2440" s="372" t="s">
        <v>15483</v>
      </c>
      <c r="T2440" s="697">
        <v>0.20900000000000002</v>
      </c>
      <c r="U2440" s="372">
        <v>0</v>
      </c>
      <c r="V2440" s="722">
        <v>0</v>
      </c>
      <c r="W2440" s="722">
        <v>0</v>
      </c>
      <c r="X2440" s="722">
        <v>0</v>
      </c>
      <c r="Y2440" s="722">
        <v>0</v>
      </c>
      <c r="Z2440" s="382" t="s">
        <v>770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15484</v>
      </c>
      <c r="B2441" s="372" t="s">
        <v>15485</v>
      </c>
      <c r="C2441" s="372" t="s">
        <v>15486</v>
      </c>
      <c r="D2441" s="374">
        <v>1101118367313</v>
      </c>
      <c r="E2441" s="372" t="s">
        <v>15487</v>
      </c>
      <c r="F2441" s="372" t="s">
        <v>1140</v>
      </c>
      <c r="G2441" s="375" t="s">
        <v>1141</v>
      </c>
      <c r="H2441" s="375" t="s">
        <v>892</v>
      </c>
      <c r="I2441" s="375" t="s">
        <v>859</v>
      </c>
      <c r="J2441" s="375">
        <v>0</v>
      </c>
      <c r="K2441" s="375">
        <v>-52.10304</v>
      </c>
      <c r="L2441" s="375">
        <v>602.27113999999995</v>
      </c>
      <c r="M2441" s="375">
        <v>17298.148949999999</v>
      </c>
      <c r="N2441" s="372">
        <v>0.32900000000000001</v>
      </c>
      <c r="O2441" s="704">
        <v>8.0461994345367547</v>
      </c>
      <c r="P2441" s="563" t="s">
        <v>619</v>
      </c>
      <c r="Q2441" s="372" t="s">
        <v>619</v>
      </c>
      <c r="R2441" s="696">
        <v>20221201</v>
      </c>
      <c r="S2441" s="372" t="s">
        <v>1140</v>
      </c>
      <c r="T2441" s="697">
        <v>0.20900000000000002</v>
      </c>
      <c r="U2441" s="372">
        <v>0</v>
      </c>
      <c r="V2441" s="722">
        <v>0</v>
      </c>
      <c r="W2441" s="722">
        <v>0</v>
      </c>
      <c r="X2441" s="722">
        <v>0</v>
      </c>
      <c r="Y2441" s="722">
        <v>0</v>
      </c>
      <c r="Z2441" s="382" t="s">
        <v>770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15488</v>
      </c>
      <c r="B2442" s="372" t="s">
        <v>15489</v>
      </c>
      <c r="C2442" s="372" t="s">
        <v>15490</v>
      </c>
      <c r="D2442" s="374">
        <v>1101118173760</v>
      </c>
      <c r="E2442" s="372" t="s">
        <v>15491</v>
      </c>
      <c r="F2442" s="372" t="s">
        <v>1140</v>
      </c>
      <c r="G2442" s="375" t="s">
        <v>1141</v>
      </c>
      <c r="H2442" s="375" t="s">
        <v>892</v>
      </c>
      <c r="I2442" s="375" t="s">
        <v>4410</v>
      </c>
      <c r="J2442" s="375">
        <v>0</v>
      </c>
      <c r="K2442" s="375">
        <v>0</v>
      </c>
      <c r="L2442" s="375">
        <v>0</v>
      </c>
      <c r="M2442" s="375">
        <v>0</v>
      </c>
      <c r="N2442" s="372" t="s">
        <v>1023</v>
      </c>
      <c r="O2442" s="704" t="s">
        <v>16298</v>
      </c>
      <c r="P2442" s="563" t="s">
        <v>619</v>
      </c>
      <c r="Q2442" s="372" t="s">
        <v>619</v>
      </c>
      <c r="R2442" s="696">
        <v>20220428</v>
      </c>
      <c r="S2442" s="372" t="e">
        <v>#N/A</v>
      </c>
      <c r="T2442" s="697" t="s">
        <v>768</v>
      </c>
      <c r="U2442" s="372" t="s">
        <v>15492</v>
      </c>
      <c r="V2442" s="722">
        <v>0</v>
      </c>
      <c r="W2442" s="722">
        <v>0</v>
      </c>
      <c r="X2442" s="722">
        <v>0</v>
      </c>
      <c r="Y2442" s="722">
        <v>0</v>
      </c>
      <c r="Z2442" s="382" t="s">
        <v>770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15493</v>
      </c>
      <c r="B2443" s="372" t="s">
        <v>15494</v>
      </c>
      <c r="C2443" s="372" t="s">
        <v>15495</v>
      </c>
      <c r="D2443" s="374">
        <v>1201110012914</v>
      </c>
      <c r="E2443" s="372" t="s">
        <v>15496</v>
      </c>
      <c r="F2443" s="372" t="s">
        <v>2256</v>
      </c>
      <c r="G2443" s="375" t="s">
        <v>2256</v>
      </c>
      <c r="H2443" s="375" t="s">
        <v>4844</v>
      </c>
      <c r="I2443" s="375" t="s">
        <v>859</v>
      </c>
      <c r="J2443" s="375">
        <v>148689.11760999999</v>
      </c>
      <c r="K2443" s="375">
        <v>-1505.22272</v>
      </c>
      <c r="L2443" s="375">
        <v>-911.69019000000003</v>
      </c>
      <c r="M2443" s="375">
        <v>40555.76455</v>
      </c>
      <c r="N2443" s="372">
        <v>0.58299999999999996</v>
      </c>
      <c r="O2443" s="704">
        <v>1212.7184892071807</v>
      </c>
      <c r="P2443" s="563" t="s">
        <v>619</v>
      </c>
      <c r="Q2443" s="372" t="s">
        <v>619</v>
      </c>
      <c r="R2443" s="696">
        <v>20001114</v>
      </c>
      <c r="S2443" s="372" t="s">
        <v>15497</v>
      </c>
      <c r="T2443" s="697" t="s">
        <v>768</v>
      </c>
      <c r="U2443" s="372" t="s">
        <v>15498</v>
      </c>
      <c r="V2443" s="722" t="s">
        <v>770</v>
      </c>
      <c r="W2443" s="722">
        <v>0.31</v>
      </c>
      <c r="X2443" s="722">
        <v>0.08</v>
      </c>
      <c r="Y2443" s="722" t="s">
        <v>770</v>
      </c>
      <c r="Z2443" s="382" t="s">
        <v>924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15499</v>
      </c>
      <c r="B2444" s="372" t="s">
        <v>15500</v>
      </c>
      <c r="C2444" s="372" t="s">
        <v>15501</v>
      </c>
      <c r="D2444" s="374">
        <v>1101117980158</v>
      </c>
      <c r="E2444" s="372" t="s">
        <v>15502</v>
      </c>
      <c r="F2444" s="372" t="s">
        <v>1140</v>
      </c>
      <c r="G2444" s="375" t="s">
        <v>1141</v>
      </c>
      <c r="H2444" s="375" t="s">
        <v>892</v>
      </c>
      <c r="I2444" s="375" t="s">
        <v>4410</v>
      </c>
      <c r="J2444" s="375">
        <v>0</v>
      </c>
      <c r="K2444" s="375">
        <v>0</v>
      </c>
      <c r="L2444" s="375">
        <v>0</v>
      </c>
      <c r="M2444" s="375">
        <v>0</v>
      </c>
      <c r="N2444" s="372" t="s">
        <v>1023</v>
      </c>
      <c r="O2444" s="704" t="s">
        <v>16298</v>
      </c>
      <c r="P2444" s="563" t="s">
        <v>619</v>
      </c>
      <c r="Q2444" s="372" t="s">
        <v>619</v>
      </c>
      <c r="R2444" s="696">
        <v>20211220</v>
      </c>
      <c r="S2444" s="372" t="e">
        <v>#N/A</v>
      </c>
      <c r="T2444" s="697" t="s">
        <v>768</v>
      </c>
      <c r="U2444" s="372">
        <v>0</v>
      </c>
      <c r="V2444" s="722">
        <v>0</v>
      </c>
      <c r="W2444" s="722">
        <v>0</v>
      </c>
      <c r="X2444" s="722">
        <v>0</v>
      </c>
      <c r="Y2444" s="722">
        <v>0</v>
      </c>
      <c r="Z2444" s="382" t="s">
        <v>770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15503</v>
      </c>
      <c r="B2445" s="372" t="s">
        <v>15504</v>
      </c>
      <c r="C2445" s="372" t="s">
        <v>15505</v>
      </c>
      <c r="D2445" s="374">
        <v>1101113562570</v>
      </c>
      <c r="E2445" s="372" t="s">
        <v>15506</v>
      </c>
      <c r="F2445" s="372" t="s">
        <v>16098</v>
      </c>
      <c r="G2445" s="375" t="s">
        <v>16098</v>
      </c>
      <c r="H2445" s="375" t="s">
        <v>858</v>
      </c>
      <c r="I2445" s="375" t="s">
        <v>859</v>
      </c>
      <c r="J2445" s="375">
        <v>2495.8280399999999</v>
      </c>
      <c r="K2445" s="375">
        <v>-11366.905580000001</v>
      </c>
      <c r="L2445" s="375">
        <v>-15369.999110000001</v>
      </c>
      <c r="M2445" s="375">
        <v>2010.62473</v>
      </c>
      <c r="N2445" s="372">
        <v>8.5000000000000006E-2</v>
      </c>
      <c r="O2445" s="704">
        <v>40.606608927702702</v>
      </c>
      <c r="P2445" s="563" t="s">
        <v>619</v>
      </c>
      <c r="Q2445" s="372" t="s">
        <v>16113</v>
      </c>
      <c r="R2445" s="696">
        <v>20190920</v>
      </c>
      <c r="S2445" s="372" t="s">
        <v>15507</v>
      </c>
      <c r="T2445" s="697" t="s">
        <v>768</v>
      </c>
      <c r="U2445" s="372" t="s">
        <v>15508</v>
      </c>
      <c r="V2445" s="722">
        <v>0</v>
      </c>
      <c r="W2445" s="722">
        <v>0</v>
      </c>
      <c r="X2445" s="722">
        <v>0</v>
      </c>
      <c r="Y2445" s="722">
        <v>0</v>
      </c>
      <c r="Z2445" s="382" t="s">
        <v>924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15509</v>
      </c>
      <c r="B2446" s="372" t="s">
        <v>15510</v>
      </c>
      <c r="C2446" s="372" t="s">
        <v>15511</v>
      </c>
      <c r="D2446" s="374">
        <v>1101118051990</v>
      </c>
      <c r="E2446" s="372" t="s">
        <v>15512</v>
      </c>
      <c r="F2446" s="372" t="s">
        <v>1140</v>
      </c>
      <c r="G2446" s="375" t="s">
        <v>1141</v>
      </c>
      <c r="H2446" s="375" t="s">
        <v>892</v>
      </c>
      <c r="I2446" s="375" t="s">
        <v>859</v>
      </c>
      <c r="J2446" s="375">
        <v>0</v>
      </c>
      <c r="K2446" s="375">
        <v>-99.218350000000001</v>
      </c>
      <c r="L2446" s="375">
        <v>292.21573999999998</v>
      </c>
      <c r="M2446" s="375">
        <v>13874.73626</v>
      </c>
      <c r="N2446" s="372">
        <v>0.32300000000000001</v>
      </c>
      <c r="O2446" s="704">
        <v>8.7897396968753245</v>
      </c>
      <c r="P2446" s="563" t="s">
        <v>619</v>
      </c>
      <c r="Q2446" s="372" t="s">
        <v>619</v>
      </c>
      <c r="R2446" s="696">
        <v>20220225</v>
      </c>
      <c r="S2446" s="372" t="s">
        <v>9015</v>
      </c>
      <c r="T2446" s="697">
        <v>0.20900000000000002</v>
      </c>
      <c r="U2446" s="372">
        <v>0</v>
      </c>
      <c r="V2446" s="722">
        <v>0</v>
      </c>
      <c r="W2446" s="722">
        <v>0</v>
      </c>
      <c r="X2446" s="722">
        <v>0</v>
      </c>
      <c r="Y2446" s="722">
        <v>0</v>
      </c>
      <c r="Z2446" s="382" t="s">
        <v>770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15513</v>
      </c>
      <c r="B2447" s="372" t="s">
        <v>15514</v>
      </c>
      <c r="C2447" s="372" t="s">
        <v>15515</v>
      </c>
      <c r="D2447" s="374">
        <v>1101118382428</v>
      </c>
      <c r="E2447" s="372" t="s">
        <v>15516</v>
      </c>
      <c r="F2447" s="372" t="s">
        <v>1140</v>
      </c>
      <c r="G2447" s="375" t="s">
        <v>1141</v>
      </c>
      <c r="H2447" s="375" t="s">
        <v>892</v>
      </c>
      <c r="I2447" s="375" t="s">
        <v>859</v>
      </c>
      <c r="J2447" s="375">
        <v>0</v>
      </c>
      <c r="K2447" s="375">
        <v>-61.34187</v>
      </c>
      <c r="L2447" s="375">
        <v>514.44785999999999</v>
      </c>
      <c r="M2447" s="375">
        <v>15046.52888</v>
      </c>
      <c r="N2447" s="372">
        <v>0.32900000000000001</v>
      </c>
      <c r="O2447" s="704">
        <v>3.7011599511599513</v>
      </c>
      <c r="P2447" s="563" t="s">
        <v>619</v>
      </c>
      <c r="Q2447" s="372" t="s">
        <v>619</v>
      </c>
      <c r="R2447" s="696">
        <v>20221216</v>
      </c>
      <c r="S2447" s="372" t="s">
        <v>1140</v>
      </c>
      <c r="T2447" s="697">
        <v>0.20900000000000002</v>
      </c>
      <c r="U2447" s="372">
        <v>0</v>
      </c>
      <c r="V2447" s="722">
        <v>0</v>
      </c>
      <c r="W2447" s="722">
        <v>0</v>
      </c>
      <c r="X2447" s="722">
        <v>0</v>
      </c>
      <c r="Y2447" s="722">
        <v>0</v>
      </c>
      <c r="Z2447" s="382" t="s">
        <v>770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15517</v>
      </c>
      <c r="B2448" s="372" t="s">
        <v>15518</v>
      </c>
      <c r="C2448" s="372" t="s">
        <v>15519</v>
      </c>
      <c r="D2448" s="374">
        <v>1101118228987</v>
      </c>
      <c r="E2448" s="372" t="s">
        <v>15520</v>
      </c>
      <c r="F2448" s="372" t="s">
        <v>1140</v>
      </c>
      <c r="G2448" s="375" t="s">
        <v>1141</v>
      </c>
      <c r="H2448" s="375" t="s">
        <v>892</v>
      </c>
      <c r="I2448" s="375" t="s">
        <v>859</v>
      </c>
      <c r="J2448" s="375">
        <v>0</v>
      </c>
      <c r="K2448" s="375">
        <v>-91.67604</v>
      </c>
      <c r="L2448" s="375">
        <v>327.61518000000001</v>
      </c>
      <c r="M2448" s="375">
        <v>16066.073850000001</v>
      </c>
      <c r="N2448" s="372">
        <v>0.374</v>
      </c>
      <c r="O2448" s="704">
        <v>11.644677288425996</v>
      </c>
      <c r="P2448" s="563" t="s">
        <v>16112</v>
      </c>
      <c r="Q2448" s="372" t="s">
        <v>619</v>
      </c>
      <c r="R2448" s="696">
        <v>20220623</v>
      </c>
      <c r="S2448" s="372" t="s">
        <v>12465</v>
      </c>
      <c r="T2448" s="697">
        <v>0.20900000000000002</v>
      </c>
      <c r="U2448" s="372">
        <v>0</v>
      </c>
      <c r="V2448" s="722">
        <v>0</v>
      </c>
      <c r="W2448" s="722">
        <v>0</v>
      </c>
      <c r="X2448" s="722">
        <v>0</v>
      </c>
      <c r="Y2448" s="722">
        <v>0</v>
      </c>
      <c r="Z2448" s="382" t="s">
        <v>770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15521</v>
      </c>
      <c r="B2449" s="372" t="s">
        <v>15522</v>
      </c>
      <c r="C2449" s="372" t="s">
        <v>15523</v>
      </c>
      <c r="D2449" s="374">
        <v>1101111905706</v>
      </c>
      <c r="E2449" s="372" t="s">
        <v>15524</v>
      </c>
      <c r="F2449" s="372" t="s">
        <v>4868</v>
      </c>
      <c r="G2449" s="375" t="s">
        <v>4868</v>
      </c>
      <c r="H2449" s="375" t="s">
        <v>858</v>
      </c>
      <c r="I2449" s="375" t="s">
        <v>859</v>
      </c>
      <c r="J2449" s="375">
        <v>3589.2279199999998</v>
      </c>
      <c r="K2449" s="375">
        <v>-7535.1240900000003</v>
      </c>
      <c r="L2449" s="375">
        <v>-11134.525869999999</v>
      </c>
      <c r="M2449" s="375">
        <v>4817.4203399999997</v>
      </c>
      <c r="N2449" s="372">
        <v>0.13600000000000001</v>
      </c>
      <c r="O2449" s="704">
        <v>43.937076710750333</v>
      </c>
      <c r="P2449" s="563" t="s">
        <v>16112</v>
      </c>
      <c r="Q2449" s="372" t="s">
        <v>16113</v>
      </c>
      <c r="R2449" s="696">
        <v>20120713</v>
      </c>
      <c r="S2449" s="372" t="s">
        <v>15525</v>
      </c>
      <c r="T2449" s="697" t="s">
        <v>768</v>
      </c>
      <c r="U2449" s="372" t="s">
        <v>15978</v>
      </c>
      <c r="V2449" s="722" t="s">
        <v>770</v>
      </c>
      <c r="W2449" s="722">
        <v>0.81</v>
      </c>
      <c r="X2449" s="722">
        <v>4.41</v>
      </c>
      <c r="Y2449" s="722" t="s">
        <v>770</v>
      </c>
      <c r="Z2449" s="382" t="s">
        <v>924</v>
      </c>
      <c r="AA2449" s="372">
        <v>330.84084990000002</v>
      </c>
      <c r="AB2449" s="372">
        <v>205.73550750000001</v>
      </c>
      <c r="AC2449" s="372">
        <v>149.5005591</v>
      </c>
      <c r="AD2449" s="372">
        <v>53.080142100000003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15526</v>
      </c>
      <c r="B2450" s="372" t="s">
        <v>15527</v>
      </c>
      <c r="C2450" s="372" t="s">
        <v>15528</v>
      </c>
      <c r="D2450" s="374">
        <v>1101118282032</v>
      </c>
      <c r="E2450" s="372" t="s">
        <v>15529</v>
      </c>
      <c r="F2450" s="372" t="s">
        <v>1140</v>
      </c>
      <c r="G2450" s="375" t="s">
        <v>1141</v>
      </c>
      <c r="H2450" s="375" t="s">
        <v>892</v>
      </c>
      <c r="I2450" s="375" t="s">
        <v>859</v>
      </c>
      <c r="J2450" s="375">
        <v>0</v>
      </c>
      <c r="K2450" s="375">
        <v>-32.408940000000001</v>
      </c>
      <c r="L2450" s="375">
        <v>367.37745000000001</v>
      </c>
      <c r="M2450" s="375">
        <v>13637.581620000001</v>
      </c>
      <c r="N2450" s="372">
        <v>0.36199999999999999</v>
      </c>
      <c r="O2450" s="704">
        <v>12.251199936993205</v>
      </c>
      <c r="P2450" s="563" t="s">
        <v>619</v>
      </c>
      <c r="Q2450" s="372" t="s">
        <v>619</v>
      </c>
      <c r="R2450" s="696">
        <v>20220826</v>
      </c>
      <c r="S2450" s="372" t="s">
        <v>13392</v>
      </c>
      <c r="T2450" s="697">
        <v>0.20900000000000002</v>
      </c>
      <c r="U2450" s="372">
        <v>0</v>
      </c>
      <c r="V2450" s="722">
        <v>0</v>
      </c>
      <c r="W2450" s="722">
        <v>0</v>
      </c>
      <c r="X2450" s="722">
        <v>0</v>
      </c>
      <c r="Y2450" s="722">
        <v>0</v>
      </c>
      <c r="Z2450" s="382" t="s">
        <v>770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15530</v>
      </c>
      <c r="B2451" s="372" t="s">
        <v>15531</v>
      </c>
      <c r="C2451" s="372" t="s">
        <v>15532</v>
      </c>
      <c r="D2451" s="374">
        <v>1101110881642</v>
      </c>
      <c r="E2451" s="372" t="s">
        <v>15533</v>
      </c>
      <c r="F2451" s="372" t="s">
        <v>4947</v>
      </c>
      <c r="G2451" s="375" t="s">
        <v>4947</v>
      </c>
      <c r="H2451" s="375" t="s">
        <v>965</v>
      </c>
      <c r="I2451" s="375" t="s">
        <v>751</v>
      </c>
      <c r="J2451" s="375">
        <v>78090.1348</v>
      </c>
      <c r="K2451" s="375">
        <v>-4176.0879400000003</v>
      </c>
      <c r="L2451" s="375">
        <v>-6903.2821899999999</v>
      </c>
      <c r="M2451" s="375">
        <v>8028.53964</v>
      </c>
      <c r="N2451" s="372">
        <v>1.0549999999999999</v>
      </c>
      <c r="O2451" s="704">
        <v>133.80333629910047</v>
      </c>
      <c r="P2451" s="563" t="s">
        <v>619</v>
      </c>
      <c r="Q2451" s="372" t="s">
        <v>619</v>
      </c>
      <c r="R2451" s="696">
        <v>20050804</v>
      </c>
      <c r="S2451" s="372" t="s">
        <v>15534</v>
      </c>
      <c r="T2451" s="697" t="s">
        <v>768</v>
      </c>
      <c r="U2451" s="372" t="s">
        <v>15535</v>
      </c>
      <c r="V2451" s="722" t="s">
        <v>770</v>
      </c>
      <c r="W2451" s="722">
        <v>0.47</v>
      </c>
      <c r="X2451" s="722">
        <v>0.04</v>
      </c>
      <c r="Y2451" s="722" t="s">
        <v>770</v>
      </c>
      <c r="Z2451" s="382" t="s">
        <v>924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15536</v>
      </c>
      <c r="B2452" s="372" t="s">
        <v>15537</v>
      </c>
      <c r="C2452" s="372" t="s">
        <v>15538</v>
      </c>
      <c r="D2452" s="374">
        <v>1101110141369</v>
      </c>
      <c r="E2452" s="372" t="s">
        <v>15539</v>
      </c>
      <c r="F2452" s="372" t="s">
        <v>15540</v>
      </c>
      <c r="G2452" s="375" t="s">
        <v>15540</v>
      </c>
      <c r="H2452" s="375" t="s">
        <v>1536</v>
      </c>
      <c r="I2452" s="375" t="s">
        <v>751</v>
      </c>
      <c r="J2452" s="375">
        <v>42916.879589999997</v>
      </c>
      <c r="K2452" s="375">
        <v>4198.7899699999998</v>
      </c>
      <c r="L2452" s="375">
        <v>3647.52313</v>
      </c>
      <c r="M2452" s="375">
        <v>5716.8603800000001</v>
      </c>
      <c r="N2452" s="372">
        <v>0.39400000000000002</v>
      </c>
      <c r="O2452" s="704">
        <v>123.8998353308542</v>
      </c>
      <c r="P2452" s="563" t="s">
        <v>619</v>
      </c>
      <c r="Q2452" s="372" t="s">
        <v>619</v>
      </c>
      <c r="R2452" s="696">
        <v>19940812</v>
      </c>
      <c r="S2452" s="372" t="s">
        <v>15541</v>
      </c>
      <c r="T2452" s="697">
        <v>0.20900000000000002</v>
      </c>
      <c r="U2452" s="372" t="s">
        <v>15542</v>
      </c>
      <c r="V2452" s="722">
        <v>7.99</v>
      </c>
      <c r="W2452" s="722">
        <v>2.71</v>
      </c>
      <c r="X2452" s="722">
        <v>0.38</v>
      </c>
      <c r="Y2452" s="722">
        <v>4.49</v>
      </c>
      <c r="Z2452" s="382" t="s">
        <v>924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15543</v>
      </c>
      <c r="B2453" s="372" t="s">
        <v>15544</v>
      </c>
      <c r="C2453" s="372" t="s">
        <v>16296</v>
      </c>
      <c r="D2453" s="374">
        <v>1101111952567</v>
      </c>
      <c r="E2453" s="372" t="s">
        <v>16297</v>
      </c>
      <c r="F2453" s="372" t="s">
        <v>5597</v>
      </c>
      <c r="G2453" s="375" t="s">
        <v>5597</v>
      </c>
      <c r="H2453" s="375" t="s">
        <v>1528</v>
      </c>
      <c r="I2453" s="375" t="s">
        <v>859</v>
      </c>
      <c r="J2453" s="375">
        <v>24603.038570000001</v>
      </c>
      <c r="K2453" s="375">
        <v>-8834.64912</v>
      </c>
      <c r="L2453" s="375">
        <v>-11622.906139999999</v>
      </c>
      <c r="M2453" s="375">
        <v>89902.346009999994</v>
      </c>
      <c r="N2453" s="372">
        <v>1.02</v>
      </c>
      <c r="O2453" s="704">
        <v>14.076376132384768</v>
      </c>
      <c r="P2453" s="563" t="s">
        <v>619</v>
      </c>
      <c r="Q2453" s="372" t="s">
        <v>619</v>
      </c>
      <c r="R2453" s="696">
        <v>20060627</v>
      </c>
      <c r="S2453" s="372" t="s">
        <v>15545</v>
      </c>
      <c r="T2453" s="697" t="s">
        <v>768</v>
      </c>
      <c r="U2453" s="372" t="s">
        <v>15546</v>
      </c>
      <c r="V2453" s="722" t="s">
        <v>770</v>
      </c>
      <c r="W2453" s="722">
        <v>1.07</v>
      </c>
      <c r="X2453" s="722">
        <v>3.42</v>
      </c>
      <c r="Y2453" s="722" t="s">
        <v>770</v>
      </c>
      <c r="Z2453" s="382" t="s">
        <v>924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15547</v>
      </c>
      <c r="B2454" s="372" t="s">
        <v>15548</v>
      </c>
      <c r="C2454" s="372" t="s">
        <v>15549</v>
      </c>
      <c r="D2454" s="374">
        <v>1101118203195</v>
      </c>
      <c r="E2454" s="372" t="s">
        <v>15550</v>
      </c>
      <c r="F2454" s="372" t="s">
        <v>1140</v>
      </c>
      <c r="G2454" s="375" t="s">
        <v>1141</v>
      </c>
      <c r="H2454" s="375" t="s">
        <v>892</v>
      </c>
      <c r="I2454" s="375" t="s">
        <v>859</v>
      </c>
      <c r="J2454" s="375">
        <v>0</v>
      </c>
      <c r="K2454" s="375">
        <v>-58.025640000000003</v>
      </c>
      <c r="L2454" s="375">
        <v>496.48644000000002</v>
      </c>
      <c r="M2454" s="375">
        <v>14031.34561</v>
      </c>
      <c r="N2454" s="372" t="s">
        <v>1023</v>
      </c>
      <c r="O2454" s="704">
        <v>10.427520269642644</v>
      </c>
      <c r="P2454" s="563" t="s">
        <v>619</v>
      </c>
      <c r="Q2454" s="372" t="s">
        <v>619</v>
      </c>
      <c r="R2454" s="696">
        <v>20220628</v>
      </c>
      <c r="S2454" s="372" t="s">
        <v>11489</v>
      </c>
      <c r="T2454" s="697">
        <v>0.20900000000000002</v>
      </c>
      <c r="U2454" s="372">
        <v>0</v>
      </c>
      <c r="V2454" s="722">
        <v>0</v>
      </c>
      <c r="W2454" s="722">
        <v>0</v>
      </c>
      <c r="X2454" s="722">
        <v>0</v>
      </c>
      <c r="Y2454" s="722">
        <v>0</v>
      </c>
      <c r="Z2454" s="382" t="s">
        <v>770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15551</v>
      </c>
      <c r="B2455" s="372" t="s">
        <v>15552</v>
      </c>
      <c r="C2455" s="372" t="s">
        <v>15553</v>
      </c>
      <c r="D2455" s="374">
        <v>1101118606422</v>
      </c>
      <c r="E2455" s="372" t="s">
        <v>15554</v>
      </c>
      <c r="F2455" s="372" t="s">
        <v>1140</v>
      </c>
      <c r="G2455" s="375" t="s">
        <v>1141</v>
      </c>
      <c r="H2455" s="375" t="s">
        <v>892</v>
      </c>
      <c r="I2455" s="375" t="s">
        <v>859</v>
      </c>
      <c r="J2455" s="375">
        <v>0</v>
      </c>
      <c r="K2455" s="375">
        <v>-34.828270000000003</v>
      </c>
      <c r="L2455" s="375">
        <v>470.19675000000001</v>
      </c>
      <c r="M2455" s="375">
        <v>14051.043379999999</v>
      </c>
      <c r="N2455" s="372" t="s">
        <v>1023</v>
      </c>
      <c r="O2455" s="704">
        <v>6.584513789244852</v>
      </c>
      <c r="P2455" s="563" t="s">
        <v>16112</v>
      </c>
      <c r="Q2455" s="372" t="s">
        <v>619</v>
      </c>
      <c r="R2455" s="696">
        <v>20230830</v>
      </c>
      <c r="S2455" s="372" t="s">
        <v>5468</v>
      </c>
      <c r="T2455" s="697">
        <v>0.20900000000000002</v>
      </c>
      <c r="U2455" s="372">
        <v>0</v>
      </c>
      <c r="V2455" s="722">
        <v>0</v>
      </c>
      <c r="W2455" s="722">
        <v>0</v>
      </c>
      <c r="X2455" s="722">
        <v>0</v>
      </c>
      <c r="Y2455" s="722">
        <v>0</v>
      </c>
      <c r="Z2455" s="382" t="s">
        <v>770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15555</v>
      </c>
      <c r="B2456" s="372" t="s">
        <v>15556</v>
      </c>
      <c r="C2456" s="372" t="s">
        <v>15557</v>
      </c>
      <c r="D2456" s="374">
        <v>1101117923934</v>
      </c>
      <c r="E2456" s="372" t="s">
        <v>15558</v>
      </c>
      <c r="F2456" s="372" t="s">
        <v>1140</v>
      </c>
      <c r="G2456" s="375" t="s">
        <v>1141</v>
      </c>
      <c r="H2456" s="375" t="s">
        <v>892</v>
      </c>
      <c r="I2456" s="375" t="s">
        <v>4410</v>
      </c>
      <c r="J2456" s="375">
        <v>0</v>
      </c>
      <c r="K2456" s="375">
        <v>0</v>
      </c>
      <c r="L2456" s="375">
        <v>0</v>
      </c>
      <c r="M2456" s="375">
        <v>0</v>
      </c>
      <c r="N2456" s="372" t="s">
        <v>1023</v>
      </c>
      <c r="O2456" s="704" t="s">
        <v>16298</v>
      </c>
      <c r="P2456" s="563" t="s">
        <v>619</v>
      </c>
      <c r="Q2456" s="372" t="s">
        <v>619</v>
      </c>
      <c r="R2456" s="696">
        <v>20210927</v>
      </c>
      <c r="S2456" s="372" t="e">
        <v>#N/A</v>
      </c>
      <c r="T2456" s="697" t="s">
        <v>768</v>
      </c>
      <c r="U2456" s="372">
        <v>0</v>
      </c>
      <c r="V2456" s="722">
        <v>0</v>
      </c>
      <c r="W2456" s="722">
        <v>0</v>
      </c>
      <c r="X2456" s="722">
        <v>0</v>
      </c>
      <c r="Y2456" s="722">
        <v>0</v>
      </c>
      <c r="Z2456" s="382" t="s">
        <v>770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15559</v>
      </c>
      <c r="B2457" s="372" t="s">
        <v>15560</v>
      </c>
      <c r="C2457" s="372" t="s">
        <v>15561</v>
      </c>
      <c r="D2457" s="374">
        <v>1101118400014</v>
      </c>
      <c r="E2457" s="372" t="s">
        <v>15562</v>
      </c>
      <c r="F2457" s="372" t="s">
        <v>1140</v>
      </c>
      <c r="G2457" s="375" t="s">
        <v>1141</v>
      </c>
      <c r="H2457" s="375" t="s">
        <v>892</v>
      </c>
      <c r="I2457" s="375" t="s">
        <v>859</v>
      </c>
      <c r="J2457" s="375">
        <v>0</v>
      </c>
      <c r="K2457" s="375">
        <v>-37.05724</v>
      </c>
      <c r="L2457" s="375">
        <v>366.55549000000002</v>
      </c>
      <c r="M2457" s="375">
        <v>12827.599990000001</v>
      </c>
      <c r="N2457" s="372">
        <v>0.33400000000000002</v>
      </c>
      <c r="O2457" s="704">
        <v>5.2183425185955716</v>
      </c>
      <c r="P2457" s="563" t="s">
        <v>619</v>
      </c>
      <c r="Q2457" s="372" t="s">
        <v>619</v>
      </c>
      <c r="R2457" s="696">
        <v>20221205</v>
      </c>
      <c r="S2457" s="372" t="s">
        <v>5468</v>
      </c>
      <c r="T2457" s="697">
        <v>0.20900000000000002</v>
      </c>
      <c r="U2457" s="372">
        <v>0</v>
      </c>
      <c r="V2457" s="722">
        <v>0</v>
      </c>
      <c r="W2457" s="722">
        <v>0</v>
      </c>
      <c r="X2457" s="722">
        <v>0</v>
      </c>
      <c r="Y2457" s="722">
        <v>0</v>
      </c>
      <c r="Z2457" s="382" t="s">
        <v>770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15563</v>
      </c>
      <c r="B2458" s="372" t="s">
        <v>15564</v>
      </c>
      <c r="C2458" s="372" t="s">
        <v>15565</v>
      </c>
      <c r="D2458" s="374">
        <v>1101118573704</v>
      </c>
      <c r="E2458" s="372" t="s">
        <v>15566</v>
      </c>
      <c r="F2458" s="372" t="s">
        <v>1140</v>
      </c>
      <c r="G2458" s="375" t="s">
        <v>1141</v>
      </c>
      <c r="H2458" s="375" t="s">
        <v>892</v>
      </c>
      <c r="I2458" s="375" t="s">
        <v>859</v>
      </c>
      <c r="J2458" s="375">
        <v>0</v>
      </c>
      <c r="K2458" s="375">
        <v>-14.4895</v>
      </c>
      <c r="L2458" s="375">
        <v>391.21456999999998</v>
      </c>
      <c r="M2458" s="375">
        <v>14159.08368</v>
      </c>
      <c r="N2458" s="372" t="s">
        <v>1023</v>
      </c>
      <c r="O2458" s="704">
        <v>17.049931929477584</v>
      </c>
      <c r="P2458" s="563" t="s">
        <v>619</v>
      </c>
      <c r="Q2458" s="372" t="s">
        <v>619</v>
      </c>
      <c r="R2458" s="696">
        <v>20230810</v>
      </c>
      <c r="S2458" s="372" t="s">
        <v>9015</v>
      </c>
      <c r="T2458" s="697">
        <v>0.20900000000000002</v>
      </c>
      <c r="U2458" s="372">
        <v>0</v>
      </c>
      <c r="V2458" s="722">
        <v>0</v>
      </c>
      <c r="W2458" s="722">
        <v>0</v>
      </c>
      <c r="X2458" s="722">
        <v>0</v>
      </c>
      <c r="Y2458" s="722">
        <v>0</v>
      </c>
      <c r="Z2458" s="382" t="s">
        <v>770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15567</v>
      </c>
      <c r="B2459" s="372" t="s">
        <v>15568</v>
      </c>
      <c r="C2459" s="372" t="s">
        <v>16064</v>
      </c>
      <c r="D2459" s="374">
        <v>1101118112669</v>
      </c>
      <c r="E2459" s="372" t="s">
        <v>16094</v>
      </c>
      <c r="F2459" s="372" t="s">
        <v>2508</v>
      </c>
      <c r="G2459" s="375" t="s">
        <v>2508</v>
      </c>
      <c r="H2459" s="375" t="s">
        <v>858</v>
      </c>
      <c r="I2459" s="375" t="s">
        <v>859</v>
      </c>
      <c r="J2459" s="375">
        <v>0</v>
      </c>
      <c r="K2459" s="375">
        <v>0</v>
      </c>
      <c r="L2459" s="375">
        <v>0</v>
      </c>
      <c r="M2459" s="375">
        <v>46625.970020000001</v>
      </c>
      <c r="N2459" s="372">
        <v>0.26700000000000002</v>
      </c>
      <c r="O2459" s="704">
        <v>1.8160878912010485</v>
      </c>
      <c r="P2459" s="563" t="s">
        <v>619</v>
      </c>
      <c r="Q2459" s="372" t="s">
        <v>619</v>
      </c>
      <c r="R2459" s="696">
        <v>20220331</v>
      </c>
      <c r="S2459" s="372" t="s">
        <v>16137</v>
      </c>
      <c r="T2459" s="697" t="s">
        <v>768</v>
      </c>
      <c r="U2459" s="372" t="s">
        <v>16095</v>
      </c>
      <c r="V2459" s="722">
        <v>0</v>
      </c>
      <c r="W2459" s="722">
        <v>2.2999999999999998</v>
      </c>
      <c r="X2459" s="722">
        <v>0</v>
      </c>
      <c r="Y2459" s="722">
        <v>0</v>
      </c>
      <c r="Z2459" s="382" t="s">
        <v>924</v>
      </c>
      <c r="AA2459" s="372">
        <v>0</v>
      </c>
      <c r="AB2459" s="372">
        <v>189.59155340000001</v>
      </c>
      <c r="AC2459" s="372">
        <v>205.33054870000001</v>
      </c>
      <c r="AD2459" s="372">
        <v>219.50488669999999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15569</v>
      </c>
      <c r="B2460" s="372" t="s">
        <v>15570</v>
      </c>
      <c r="C2460" s="372" t="s">
        <v>15571</v>
      </c>
      <c r="D2460" s="374">
        <v>1101118761630</v>
      </c>
      <c r="E2460" s="372" t="s">
        <v>15572</v>
      </c>
      <c r="F2460" s="372" t="s">
        <v>1140</v>
      </c>
      <c r="G2460" s="375" t="s">
        <v>1141</v>
      </c>
      <c r="H2460" s="375" t="s">
        <v>892</v>
      </c>
      <c r="I2460" s="375" t="s">
        <v>859</v>
      </c>
      <c r="J2460" s="375">
        <v>0</v>
      </c>
      <c r="K2460" s="375">
        <v>-53.483440000000002</v>
      </c>
      <c r="L2460" s="375">
        <v>296.22345999999999</v>
      </c>
      <c r="M2460" s="375">
        <v>14824.236629999999</v>
      </c>
      <c r="N2460" s="372" t="s">
        <v>1023</v>
      </c>
      <c r="O2460" s="704">
        <v>17.230325881224804</v>
      </c>
      <c r="P2460" s="563" t="s">
        <v>619</v>
      </c>
      <c r="Q2460" s="372" t="s">
        <v>619</v>
      </c>
      <c r="R2460" s="696">
        <v>20231222</v>
      </c>
      <c r="S2460" s="372" t="s">
        <v>9015</v>
      </c>
      <c r="T2460" s="697">
        <v>0.20900000000000002</v>
      </c>
      <c r="U2460" s="372">
        <v>0</v>
      </c>
      <c r="V2460" s="722">
        <v>0</v>
      </c>
      <c r="W2460" s="722">
        <v>0</v>
      </c>
      <c r="X2460" s="722">
        <v>0</v>
      </c>
      <c r="Y2460" s="722">
        <v>0</v>
      </c>
      <c r="Z2460" s="382" t="s">
        <v>770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15573</v>
      </c>
      <c r="B2461" s="372" t="s">
        <v>15574</v>
      </c>
      <c r="C2461" s="372" t="s">
        <v>15575</v>
      </c>
      <c r="D2461" s="374">
        <v>1201110147422</v>
      </c>
      <c r="E2461" s="372" t="s">
        <v>15576</v>
      </c>
      <c r="F2461" s="372" t="s">
        <v>2004</v>
      </c>
      <c r="G2461" s="375" t="s">
        <v>2004</v>
      </c>
      <c r="H2461" s="375" t="s">
        <v>858</v>
      </c>
      <c r="I2461" s="375" t="s">
        <v>859</v>
      </c>
      <c r="J2461" s="375">
        <v>257199.83587000001</v>
      </c>
      <c r="K2461" s="375">
        <v>-33321.465609999999</v>
      </c>
      <c r="L2461" s="375">
        <v>65157.631099999999</v>
      </c>
      <c r="M2461" s="375">
        <v>106819.68366</v>
      </c>
      <c r="N2461" s="372">
        <v>0.89800000000000002</v>
      </c>
      <c r="O2461" s="704">
        <v>50.020782219196533</v>
      </c>
      <c r="P2461" s="563" t="s">
        <v>16112</v>
      </c>
      <c r="Q2461" s="372" t="s">
        <v>16113</v>
      </c>
      <c r="R2461" s="696">
        <v>20001221</v>
      </c>
      <c r="S2461" s="372" t="s">
        <v>15577</v>
      </c>
      <c r="T2461" s="697">
        <v>0.23100000000000001</v>
      </c>
      <c r="U2461" s="372" t="s">
        <v>15578</v>
      </c>
      <c r="V2461" s="722" t="s">
        <v>770</v>
      </c>
      <c r="W2461" s="722">
        <v>1.38</v>
      </c>
      <c r="X2461" s="722">
        <v>0.23</v>
      </c>
      <c r="Y2461" s="722">
        <v>0.82</v>
      </c>
      <c r="Z2461" s="382" t="s">
        <v>924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15579</v>
      </c>
      <c r="B2462" s="372" t="s">
        <v>15580</v>
      </c>
      <c r="C2462" s="372" t="s">
        <v>15581</v>
      </c>
      <c r="D2462" s="374">
        <v>1101118337697</v>
      </c>
      <c r="E2462" s="372" t="s">
        <v>15582</v>
      </c>
      <c r="F2462" s="372" t="s">
        <v>1140</v>
      </c>
      <c r="G2462" s="375" t="s">
        <v>1141</v>
      </c>
      <c r="H2462" s="375" t="s">
        <v>892</v>
      </c>
      <c r="I2462" s="375" t="s">
        <v>4410</v>
      </c>
      <c r="J2462" s="375">
        <v>0</v>
      </c>
      <c r="K2462" s="375">
        <v>0</v>
      </c>
      <c r="L2462" s="375">
        <v>0</v>
      </c>
      <c r="M2462" s="375">
        <v>0</v>
      </c>
      <c r="N2462" s="372">
        <v>0.379</v>
      </c>
      <c r="O2462" s="704" t="s">
        <v>16298</v>
      </c>
      <c r="P2462" s="563" t="s">
        <v>619</v>
      </c>
      <c r="Q2462" s="372" t="s">
        <v>619</v>
      </c>
      <c r="R2462" s="696">
        <v>20221020</v>
      </c>
      <c r="S2462" s="372" t="e">
        <v>#N/A</v>
      </c>
      <c r="T2462" s="697" t="s">
        <v>768</v>
      </c>
      <c r="U2462" s="372">
        <v>0</v>
      </c>
      <c r="V2462" s="722">
        <v>0</v>
      </c>
      <c r="W2462" s="722">
        <v>0</v>
      </c>
      <c r="X2462" s="722">
        <v>0</v>
      </c>
      <c r="Y2462" s="722">
        <v>0</v>
      </c>
      <c r="Z2462" s="382" t="s">
        <v>770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15583</v>
      </c>
      <c r="B2463" s="372" t="s">
        <v>15584</v>
      </c>
      <c r="C2463" s="372" t="s">
        <v>16323</v>
      </c>
      <c r="D2463" s="374">
        <v>1101118199592</v>
      </c>
      <c r="E2463" s="372" t="s">
        <v>15585</v>
      </c>
      <c r="F2463" s="372" t="s">
        <v>1140</v>
      </c>
      <c r="G2463" s="375" t="s">
        <v>1141</v>
      </c>
      <c r="H2463" s="375" t="s">
        <v>892</v>
      </c>
      <c r="I2463" s="375" t="s">
        <v>859</v>
      </c>
      <c r="J2463" s="375">
        <v>0</v>
      </c>
      <c r="K2463" s="375">
        <v>0</v>
      </c>
      <c r="L2463" s="375">
        <v>0</v>
      </c>
      <c r="M2463" s="375">
        <v>0</v>
      </c>
      <c r="N2463" s="372">
        <v>0.28899999999999998</v>
      </c>
      <c r="O2463" s="704" t="s">
        <v>16298</v>
      </c>
      <c r="P2463" s="563" t="s">
        <v>619</v>
      </c>
      <c r="Q2463" s="372" t="s">
        <v>619</v>
      </c>
      <c r="R2463" s="696">
        <v>20220624</v>
      </c>
      <c r="S2463" s="372" t="e">
        <v>#N/A</v>
      </c>
      <c r="T2463" s="697" t="s">
        <v>768</v>
      </c>
      <c r="U2463" s="372">
        <v>0</v>
      </c>
      <c r="V2463" s="722">
        <v>0</v>
      </c>
      <c r="W2463" s="722">
        <v>0</v>
      </c>
      <c r="X2463" s="722">
        <v>0</v>
      </c>
      <c r="Y2463" s="722">
        <v>0</v>
      </c>
      <c r="Z2463" s="382" t="s">
        <v>770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15586</v>
      </c>
      <c r="B2464" s="372" t="s">
        <v>15587</v>
      </c>
      <c r="C2464" s="372" t="s">
        <v>15588</v>
      </c>
      <c r="D2464" s="374">
        <v>1101118103501</v>
      </c>
      <c r="E2464" s="372" t="s">
        <v>15589</v>
      </c>
      <c r="F2464" s="372" t="s">
        <v>1140</v>
      </c>
      <c r="G2464" s="375" t="s">
        <v>1141</v>
      </c>
      <c r="H2464" s="375" t="s">
        <v>892</v>
      </c>
      <c r="I2464" s="375" t="s">
        <v>859</v>
      </c>
      <c r="J2464" s="375">
        <v>0</v>
      </c>
      <c r="K2464" s="375">
        <v>-123.01409</v>
      </c>
      <c r="L2464" s="375">
        <v>276.54271999999997</v>
      </c>
      <c r="M2464" s="375">
        <v>12538.81819</v>
      </c>
      <c r="N2464" s="372">
        <v>0.35499999999999998</v>
      </c>
      <c r="O2464" s="704">
        <v>14.938957788265874</v>
      </c>
      <c r="P2464" s="563" t="s">
        <v>619</v>
      </c>
      <c r="Q2464" s="372" t="s">
        <v>619</v>
      </c>
      <c r="R2464" s="696">
        <v>20220421</v>
      </c>
      <c r="S2464" s="372" t="s">
        <v>9015</v>
      </c>
      <c r="T2464" s="697">
        <v>0.20900000000000002</v>
      </c>
      <c r="U2464" s="372">
        <v>0</v>
      </c>
      <c r="V2464" s="722">
        <v>0</v>
      </c>
      <c r="W2464" s="722">
        <v>0</v>
      </c>
      <c r="X2464" s="722">
        <v>0</v>
      </c>
      <c r="Y2464" s="722">
        <v>0</v>
      </c>
      <c r="Z2464" s="382" t="s">
        <v>770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15590</v>
      </c>
      <c r="B2465" s="372" t="s">
        <v>15591</v>
      </c>
      <c r="C2465" s="372" t="s">
        <v>15592</v>
      </c>
      <c r="D2465" s="374">
        <v>1101118164959</v>
      </c>
      <c r="E2465" s="372" t="s">
        <v>15593</v>
      </c>
      <c r="F2465" s="372" t="s">
        <v>1140</v>
      </c>
      <c r="G2465" s="375" t="s">
        <v>1141</v>
      </c>
      <c r="H2465" s="375" t="s">
        <v>892</v>
      </c>
      <c r="I2465" s="375" t="s">
        <v>859</v>
      </c>
      <c r="J2465" s="375">
        <v>0</v>
      </c>
      <c r="K2465" s="375">
        <v>37.432960000000001</v>
      </c>
      <c r="L2465" s="375">
        <v>379.34476000000001</v>
      </c>
      <c r="M2465" s="375">
        <v>11491.83077</v>
      </c>
      <c r="N2465" s="372">
        <v>0.29899999999999999</v>
      </c>
      <c r="O2465" s="704">
        <v>8.1581765433678921</v>
      </c>
      <c r="P2465" s="563" t="s">
        <v>619</v>
      </c>
      <c r="Q2465" s="372" t="s">
        <v>619</v>
      </c>
      <c r="R2465" s="696">
        <v>20220526</v>
      </c>
      <c r="S2465" s="372" t="s">
        <v>9015</v>
      </c>
      <c r="T2465" s="697">
        <v>0.20900000000000002</v>
      </c>
      <c r="U2465" s="372">
        <v>0</v>
      </c>
      <c r="V2465" s="722">
        <v>0</v>
      </c>
      <c r="W2465" s="722">
        <v>0</v>
      </c>
      <c r="X2465" s="722">
        <v>0</v>
      </c>
      <c r="Y2465" s="722">
        <v>0</v>
      </c>
      <c r="Z2465" s="382" t="s">
        <v>770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15594</v>
      </c>
      <c r="B2466" s="372" t="s">
        <v>15595</v>
      </c>
      <c r="C2466" s="372" t="s">
        <v>15596</v>
      </c>
      <c r="D2466" s="374">
        <v>1101118766820</v>
      </c>
      <c r="E2466" s="372" t="s">
        <v>15597</v>
      </c>
      <c r="F2466" s="372" t="s">
        <v>1140</v>
      </c>
      <c r="G2466" s="375" t="s">
        <v>1141</v>
      </c>
      <c r="H2466" s="375" t="s">
        <v>892</v>
      </c>
      <c r="I2466" s="375" t="s">
        <v>859</v>
      </c>
      <c r="J2466" s="375">
        <v>0</v>
      </c>
      <c r="K2466" s="375">
        <v>-76.652450000000002</v>
      </c>
      <c r="L2466" s="375">
        <v>113.53064000000001</v>
      </c>
      <c r="M2466" s="375">
        <v>11852.961010000001</v>
      </c>
      <c r="N2466" s="372" t="s">
        <v>1023</v>
      </c>
      <c r="O2466" s="704">
        <v>7.8182959140984529</v>
      </c>
      <c r="P2466" s="563" t="s">
        <v>619</v>
      </c>
      <c r="Q2466" s="372" t="s">
        <v>619</v>
      </c>
      <c r="R2466" s="696">
        <v>20240124</v>
      </c>
      <c r="S2466" s="372" t="s">
        <v>5468</v>
      </c>
      <c r="T2466" s="697">
        <v>9.9000000000000005E-2</v>
      </c>
      <c r="U2466" s="372">
        <v>0</v>
      </c>
      <c r="V2466" s="722">
        <v>0</v>
      </c>
      <c r="W2466" s="722">
        <v>0</v>
      </c>
      <c r="X2466" s="722">
        <v>0</v>
      </c>
      <c r="Y2466" s="722">
        <v>0</v>
      </c>
      <c r="Z2466" s="382" t="s">
        <v>770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15598</v>
      </c>
      <c r="B2467" s="372" t="s">
        <v>15599</v>
      </c>
      <c r="C2467" s="372" t="s">
        <v>15600</v>
      </c>
      <c r="D2467" s="374">
        <v>1101118442818</v>
      </c>
      <c r="E2467" s="372" t="s">
        <v>15601</v>
      </c>
      <c r="F2467" s="372" t="s">
        <v>1140</v>
      </c>
      <c r="G2467" s="375" t="s">
        <v>1141</v>
      </c>
      <c r="H2467" s="375" t="s">
        <v>892</v>
      </c>
      <c r="I2467" s="375" t="s">
        <v>859</v>
      </c>
      <c r="J2467" s="375">
        <v>0</v>
      </c>
      <c r="K2467" s="375">
        <v>-34.1571</v>
      </c>
      <c r="L2467" s="375">
        <v>300.02963</v>
      </c>
      <c r="M2467" s="375">
        <v>12019.243259999999</v>
      </c>
      <c r="N2467" s="372" t="s">
        <v>1023</v>
      </c>
      <c r="O2467" s="704">
        <v>12.951214195065363</v>
      </c>
      <c r="P2467" s="563" t="s">
        <v>619</v>
      </c>
      <c r="Q2467" s="372" t="s">
        <v>619</v>
      </c>
      <c r="R2467" s="696">
        <v>20230307</v>
      </c>
      <c r="S2467" s="372" t="s">
        <v>9015</v>
      </c>
      <c r="T2467" s="697">
        <v>0.20900000000000002</v>
      </c>
      <c r="U2467" s="372">
        <v>0</v>
      </c>
      <c r="V2467" s="722">
        <v>0</v>
      </c>
      <c r="W2467" s="722">
        <v>0</v>
      </c>
      <c r="X2467" s="722">
        <v>0</v>
      </c>
      <c r="Y2467" s="722">
        <v>0</v>
      </c>
      <c r="Z2467" s="382" t="s">
        <v>770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15602</v>
      </c>
      <c r="B2468" s="372" t="s">
        <v>15603</v>
      </c>
      <c r="C2468" s="372" t="s">
        <v>16324</v>
      </c>
      <c r="D2468" s="374">
        <v>1101118357934</v>
      </c>
      <c r="E2468" s="372" t="s">
        <v>15604</v>
      </c>
      <c r="F2468" s="372" t="s">
        <v>1140</v>
      </c>
      <c r="G2468" s="375" t="s">
        <v>1141</v>
      </c>
      <c r="H2468" s="375" t="s">
        <v>892</v>
      </c>
      <c r="I2468" s="375" t="s">
        <v>859</v>
      </c>
      <c r="J2468" s="375">
        <v>0</v>
      </c>
      <c r="K2468" s="375">
        <v>-113.34842</v>
      </c>
      <c r="L2468" s="375">
        <v>247.6765</v>
      </c>
      <c r="M2468" s="375">
        <v>11154.13607</v>
      </c>
      <c r="N2468" s="372">
        <v>0.41199999999999998</v>
      </c>
      <c r="O2468" s="704">
        <v>6.5127482609820166</v>
      </c>
      <c r="P2468" s="563" t="s">
        <v>619</v>
      </c>
      <c r="Q2468" s="372" t="s">
        <v>619</v>
      </c>
      <c r="R2468" s="696">
        <v>20221128</v>
      </c>
      <c r="S2468" s="372" t="e">
        <v>#N/A</v>
      </c>
      <c r="T2468" s="697">
        <v>0.20900000000000002</v>
      </c>
      <c r="U2468" s="372">
        <v>0</v>
      </c>
      <c r="V2468" s="722">
        <v>0</v>
      </c>
      <c r="W2468" s="722">
        <v>0</v>
      </c>
      <c r="X2468" s="722">
        <v>0</v>
      </c>
      <c r="Y2468" s="722">
        <v>0</v>
      </c>
      <c r="Z2468" s="382" t="s">
        <v>770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15605</v>
      </c>
      <c r="B2469" s="372" t="s">
        <v>15606</v>
      </c>
      <c r="C2469" s="372" t="s">
        <v>15607</v>
      </c>
      <c r="D2469" s="374">
        <v>1101118237201</v>
      </c>
      <c r="E2469" s="372" t="s">
        <v>15608</v>
      </c>
      <c r="F2469" s="372" t="s">
        <v>1140</v>
      </c>
      <c r="G2469" s="375" t="s">
        <v>1141</v>
      </c>
      <c r="H2469" s="375" t="s">
        <v>892</v>
      </c>
      <c r="I2469" s="375" t="s">
        <v>859</v>
      </c>
      <c r="J2469" s="375">
        <v>0</v>
      </c>
      <c r="K2469" s="375">
        <v>-62.710039999999999</v>
      </c>
      <c r="L2469" s="375">
        <v>290.28325000000001</v>
      </c>
      <c r="M2469" s="375">
        <v>10971.294320000001</v>
      </c>
      <c r="N2469" s="372">
        <v>0.49</v>
      </c>
      <c r="O2469" s="704">
        <v>11.619932663385288</v>
      </c>
      <c r="P2469" s="563" t="s">
        <v>619</v>
      </c>
      <c r="Q2469" s="372" t="s">
        <v>619</v>
      </c>
      <c r="R2469" s="696">
        <v>20220630</v>
      </c>
      <c r="S2469" s="372" t="s">
        <v>9015</v>
      </c>
      <c r="T2469" s="697">
        <v>0.20900000000000002</v>
      </c>
      <c r="U2469" s="372">
        <v>0</v>
      </c>
      <c r="V2469" s="722">
        <v>0</v>
      </c>
      <c r="W2469" s="722">
        <v>0</v>
      </c>
      <c r="X2469" s="722">
        <v>0</v>
      </c>
      <c r="Y2469" s="722">
        <v>0</v>
      </c>
      <c r="Z2469" s="382" t="s">
        <v>770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15609</v>
      </c>
      <c r="B2470" s="372" t="s">
        <v>15610</v>
      </c>
      <c r="C2470" s="372" t="s">
        <v>15611</v>
      </c>
      <c r="D2470" s="374">
        <v>1101118282602</v>
      </c>
      <c r="E2470" s="372" t="s">
        <v>15612</v>
      </c>
      <c r="F2470" s="372" t="s">
        <v>1140</v>
      </c>
      <c r="G2470" s="375" t="s">
        <v>1141</v>
      </c>
      <c r="H2470" s="375" t="s">
        <v>892</v>
      </c>
      <c r="I2470" s="375" t="s">
        <v>859</v>
      </c>
      <c r="J2470" s="375">
        <v>0</v>
      </c>
      <c r="K2470" s="375">
        <v>-63.311210000000003</v>
      </c>
      <c r="L2470" s="375">
        <v>297.77328</v>
      </c>
      <c r="M2470" s="375">
        <v>11417.664500000001</v>
      </c>
      <c r="N2470" s="372">
        <v>0.36599999999999999</v>
      </c>
      <c r="O2470" s="704">
        <v>7.6853383103383104</v>
      </c>
      <c r="P2470" s="563" t="s">
        <v>619</v>
      </c>
      <c r="Q2470" s="372" t="s">
        <v>619</v>
      </c>
      <c r="R2470" s="696">
        <v>20220929</v>
      </c>
      <c r="S2470" s="372" t="s">
        <v>14105</v>
      </c>
      <c r="T2470" s="697">
        <v>0.20900000000000002</v>
      </c>
      <c r="U2470" s="372">
        <v>0</v>
      </c>
      <c r="V2470" s="722">
        <v>0</v>
      </c>
      <c r="W2470" s="722">
        <v>0</v>
      </c>
      <c r="X2470" s="722">
        <v>0</v>
      </c>
      <c r="Y2470" s="722">
        <v>0</v>
      </c>
      <c r="Z2470" s="382" t="s">
        <v>770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15613</v>
      </c>
      <c r="B2471" s="372" t="s">
        <v>15614</v>
      </c>
      <c r="C2471" s="372" t="s">
        <v>15615</v>
      </c>
      <c r="D2471" s="374">
        <v>1101118599833</v>
      </c>
      <c r="E2471" s="372" t="s">
        <v>15616</v>
      </c>
      <c r="F2471" s="372" t="s">
        <v>1140</v>
      </c>
      <c r="G2471" s="375" t="s">
        <v>1141</v>
      </c>
      <c r="H2471" s="375" t="s">
        <v>892</v>
      </c>
      <c r="I2471" s="375" t="s">
        <v>859</v>
      </c>
      <c r="J2471" s="375">
        <v>0</v>
      </c>
      <c r="K2471" s="375">
        <v>-29.32076</v>
      </c>
      <c r="L2471" s="375">
        <v>411.84438</v>
      </c>
      <c r="M2471" s="375">
        <v>10667.936079999999</v>
      </c>
      <c r="N2471" s="372" t="s">
        <v>1023</v>
      </c>
      <c r="O2471" s="704">
        <v>11.904074100875606</v>
      </c>
      <c r="P2471" s="563" t="s">
        <v>16112</v>
      </c>
      <c r="Q2471" s="372" t="s">
        <v>619</v>
      </c>
      <c r="R2471" s="696">
        <v>20230712</v>
      </c>
      <c r="S2471" s="372" t="s">
        <v>15442</v>
      </c>
      <c r="T2471" s="697">
        <v>0.20900000000000002</v>
      </c>
      <c r="U2471" s="372">
        <v>0</v>
      </c>
      <c r="V2471" s="722">
        <v>0</v>
      </c>
      <c r="W2471" s="722">
        <v>0</v>
      </c>
      <c r="X2471" s="722">
        <v>0</v>
      </c>
      <c r="Y2471" s="722">
        <v>0</v>
      </c>
      <c r="Z2471" s="382" t="s">
        <v>770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15617</v>
      </c>
      <c r="B2472" s="372" t="s">
        <v>15618</v>
      </c>
      <c r="C2472" s="372" t="s">
        <v>15619</v>
      </c>
      <c r="D2472" s="374">
        <v>1101117885499</v>
      </c>
      <c r="E2472" s="372" t="s">
        <v>15620</v>
      </c>
      <c r="F2472" s="372" t="s">
        <v>1140</v>
      </c>
      <c r="G2472" s="375" t="s">
        <v>1141</v>
      </c>
      <c r="H2472" s="375" t="s">
        <v>892</v>
      </c>
      <c r="I2472" s="375" t="s">
        <v>4410</v>
      </c>
      <c r="J2472" s="375">
        <v>0</v>
      </c>
      <c r="K2472" s="375">
        <v>0</v>
      </c>
      <c r="L2472" s="375">
        <v>0</v>
      </c>
      <c r="M2472" s="375">
        <v>0</v>
      </c>
      <c r="N2472" s="372" t="s">
        <v>1023</v>
      </c>
      <c r="O2472" s="704" t="s">
        <v>16298</v>
      </c>
      <c r="P2472" s="563" t="s">
        <v>619</v>
      </c>
      <c r="Q2472" s="372" t="s">
        <v>619</v>
      </c>
      <c r="R2472" s="696">
        <v>20210913</v>
      </c>
      <c r="S2472" s="372" t="e">
        <v>#N/A</v>
      </c>
      <c r="T2472" s="697" t="s">
        <v>768</v>
      </c>
      <c r="U2472" s="372">
        <v>0</v>
      </c>
      <c r="V2472" s="722">
        <v>0</v>
      </c>
      <c r="W2472" s="722">
        <v>0</v>
      </c>
      <c r="X2472" s="722">
        <v>0</v>
      </c>
      <c r="Y2472" s="722">
        <v>0</v>
      </c>
      <c r="Z2472" s="382" t="s">
        <v>770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15621</v>
      </c>
      <c r="B2473" s="372" t="s">
        <v>15622</v>
      </c>
      <c r="C2473" s="372" t="s">
        <v>15623</v>
      </c>
      <c r="D2473" s="374">
        <v>1101118444707</v>
      </c>
      <c r="E2473" s="372" t="s">
        <v>15624</v>
      </c>
      <c r="F2473" s="372" t="s">
        <v>1140</v>
      </c>
      <c r="G2473" s="375" t="s">
        <v>1141</v>
      </c>
      <c r="H2473" s="375" t="s">
        <v>892</v>
      </c>
      <c r="I2473" s="375" t="s">
        <v>859</v>
      </c>
      <c r="J2473" s="375">
        <v>0</v>
      </c>
      <c r="K2473" s="375">
        <v>-17.638110000000001</v>
      </c>
      <c r="L2473" s="375">
        <v>274.09379999999999</v>
      </c>
      <c r="M2473" s="375">
        <v>11214.733099999999</v>
      </c>
      <c r="N2473" s="372" t="s">
        <v>1023</v>
      </c>
      <c r="O2473" s="704">
        <v>6.8682937843231509</v>
      </c>
      <c r="P2473" s="563" t="s">
        <v>619</v>
      </c>
      <c r="Q2473" s="372" t="s">
        <v>619</v>
      </c>
      <c r="R2473" s="696">
        <v>20230517</v>
      </c>
      <c r="S2473" s="372" t="s">
        <v>13410</v>
      </c>
      <c r="T2473" s="697">
        <v>0.20900000000000002</v>
      </c>
      <c r="U2473" s="372">
        <v>0</v>
      </c>
      <c r="V2473" s="722">
        <v>0</v>
      </c>
      <c r="W2473" s="722">
        <v>0</v>
      </c>
      <c r="X2473" s="722">
        <v>0</v>
      </c>
      <c r="Y2473" s="722">
        <v>0</v>
      </c>
      <c r="Z2473" s="382" t="s">
        <v>770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15625</v>
      </c>
      <c r="B2474" s="372" t="s">
        <v>15626</v>
      </c>
      <c r="C2474" s="372" t="s">
        <v>15627</v>
      </c>
      <c r="D2474" s="374">
        <v>1101118325329</v>
      </c>
      <c r="E2474" s="372" t="s">
        <v>15628</v>
      </c>
      <c r="F2474" s="372" t="s">
        <v>1140</v>
      </c>
      <c r="G2474" s="375" t="s">
        <v>1141</v>
      </c>
      <c r="H2474" s="375" t="s">
        <v>892</v>
      </c>
      <c r="I2474" s="375" t="s">
        <v>859</v>
      </c>
      <c r="J2474" s="375">
        <v>0</v>
      </c>
      <c r="K2474" s="375">
        <v>-45.20355</v>
      </c>
      <c r="L2474" s="375">
        <v>385.29718000000003</v>
      </c>
      <c r="M2474" s="375">
        <v>11914.22848</v>
      </c>
      <c r="N2474" s="372">
        <v>0.35</v>
      </c>
      <c r="O2474" s="704">
        <v>12.972911813088169</v>
      </c>
      <c r="P2474" s="563" t="s">
        <v>619</v>
      </c>
      <c r="Q2474" s="372" t="s">
        <v>619</v>
      </c>
      <c r="R2474" s="696">
        <v>20221006</v>
      </c>
      <c r="S2474" s="372" t="s">
        <v>12465</v>
      </c>
      <c r="T2474" s="697">
        <v>0.20900000000000002</v>
      </c>
      <c r="U2474" s="372">
        <v>0</v>
      </c>
      <c r="V2474" s="722">
        <v>0</v>
      </c>
      <c r="W2474" s="722">
        <v>0</v>
      </c>
      <c r="X2474" s="722">
        <v>0</v>
      </c>
      <c r="Y2474" s="722">
        <v>0</v>
      </c>
      <c r="Z2474" s="382" t="s">
        <v>770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15629</v>
      </c>
      <c r="B2475" s="372" t="s">
        <v>15630</v>
      </c>
      <c r="C2475" s="372" t="s">
        <v>15631</v>
      </c>
      <c r="D2475" s="374">
        <v>1101118431035</v>
      </c>
      <c r="E2475" s="372" t="s">
        <v>15632</v>
      </c>
      <c r="F2475" s="372" t="s">
        <v>1140</v>
      </c>
      <c r="G2475" s="375" t="s">
        <v>1141</v>
      </c>
      <c r="H2475" s="375" t="s">
        <v>892</v>
      </c>
      <c r="I2475" s="375" t="s">
        <v>859</v>
      </c>
      <c r="J2475" s="375">
        <v>0</v>
      </c>
      <c r="K2475" s="375">
        <v>-30.290790000000001</v>
      </c>
      <c r="L2475" s="375">
        <v>286.98547000000002</v>
      </c>
      <c r="M2475" s="375">
        <v>11175.76102</v>
      </c>
      <c r="N2475" s="372">
        <v>0.3</v>
      </c>
      <c r="O2475" s="704">
        <v>14.381186447897502</v>
      </c>
      <c r="P2475" s="563" t="s">
        <v>619</v>
      </c>
      <c r="Q2475" s="372" t="s">
        <v>619</v>
      </c>
      <c r="R2475" s="696">
        <v>20221227</v>
      </c>
      <c r="S2475" s="372" t="s">
        <v>13392</v>
      </c>
      <c r="T2475" s="697">
        <v>0.20900000000000002</v>
      </c>
      <c r="U2475" s="372">
        <v>0</v>
      </c>
      <c r="V2475" s="722">
        <v>0</v>
      </c>
      <c r="W2475" s="722">
        <v>0</v>
      </c>
      <c r="X2475" s="722">
        <v>0</v>
      </c>
      <c r="Y2475" s="722">
        <v>0</v>
      </c>
      <c r="Z2475" s="382" t="s">
        <v>770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15633</v>
      </c>
      <c r="B2476" s="372" t="s">
        <v>15634</v>
      </c>
      <c r="C2476" s="372" t="s">
        <v>15635</v>
      </c>
      <c r="D2476" s="374">
        <v>1760110020559</v>
      </c>
      <c r="E2476" s="372" t="s">
        <v>15636</v>
      </c>
      <c r="F2476" s="372" t="s">
        <v>2831</v>
      </c>
      <c r="G2476" s="375" t="s">
        <v>8392</v>
      </c>
      <c r="H2476" s="375" t="s">
        <v>858</v>
      </c>
      <c r="I2476" s="375" t="s">
        <v>859</v>
      </c>
      <c r="J2476" s="375">
        <v>70561.3799</v>
      </c>
      <c r="K2476" s="375">
        <v>2854.5907299999999</v>
      </c>
      <c r="L2476" s="375">
        <v>-233.40765999999999</v>
      </c>
      <c r="M2476" s="375">
        <v>67813.453519999995</v>
      </c>
      <c r="N2476" s="372">
        <v>0.70799999999999996</v>
      </c>
      <c r="O2476" s="704">
        <v>2.2026998098876236</v>
      </c>
      <c r="P2476" s="563" t="s">
        <v>16112</v>
      </c>
      <c r="Q2476" s="372" t="s">
        <v>16113</v>
      </c>
      <c r="R2476" s="696">
        <v>20160715</v>
      </c>
      <c r="S2476" s="372" t="s">
        <v>15637</v>
      </c>
      <c r="T2476" s="697" t="s">
        <v>768</v>
      </c>
      <c r="U2476" s="372" t="s">
        <v>15638</v>
      </c>
      <c r="V2476" s="722">
        <v>1.33</v>
      </c>
      <c r="W2476" s="722">
        <v>0.17</v>
      </c>
      <c r="X2476" s="722">
        <v>0.16</v>
      </c>
      <c r="Y2476" s="722" t="s">
        <v>770</v>
      </c>
      <c r="Z2476" s="382" t="s">
        <v>924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15639</v>
      </c>
      <c r="B2477" s="372" t="s">
        <v>15640</v>
      </c>
      <c r="C2477" s="372" t="s">
        <v>15641</v>
      </c>
      <c r="D2477" s="374">
        <v>1101118457304</v>
      </c>
      <c r="E2477" s="372" t="s">
        <v>15642</v>
      </c>
      <c r="F2477" s="372" t="s">
        <v>1140</v>
      </c>
      <c r="G2477" s="375" t="s">
        <v>1141</v>
      </c>
      <c r="H2477" s="375" t="s">
        <v>892</v>
      </c>
      <c r="I2477" s="375" t="s">
        <v>859</v>
      </c>
      <c r="J2477" s="375">
        <v>0</v>
      </c>
      <c r="K2477" s="375">
        <v>-34.149889999999999</v>
      </c>
      <c r="L2477" s="375">
        <v>253.23988</v>
      </c>
      <c r="M2477" s="375">
        <v>10992.34562</v>
      </c>
      <c r="N2477" s="372" t="s">
        <v>1023</v>
      </c>
      <c r="O2477" s="704">
        <v>12.420296392829098</v>
      </c>
      <c r="P2477" s="563" t="s">
        <v>619</v>
      </c>
      <c r="Q2477" s="372" t="s">
        <v>619</v>
      </c>
      <c r="R2477" s="696">
        <v>20230406</v>
      </c>
      <c r="S2477" s="372" t="s">
        <v>9015</v>
      </c>
      <c r="T2477" s="697">
        <v>0.20900000000000002</v>
      </c>
      <c r="U2477" s="372">
        <v>0</v>
      </c>
      <c r="V2477" s="722">
        <v>0</v>
      </c>
      <c r="W2477" s="722">
        <v>0</v>
      </c>
      <c r="X2477" s="722">
        <v>0</v>
      </c>
      <c r="Y2477" s="722">
        <v>0</v>
      </c>
      <c r="Z2477" s="382" t="s">
        <v>770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15643</v>
      </c>
      <c r="B2478" s="372" t="s">
        <v>15644</v>
      </c>
      <c r="C2478" s="372" t="s">
        <v>15645</v>
      </c>
      <c r="D2478" s="374">
        <v>1101118289856</v>
      </c>
      <c r="E2478" s="372" t="s">
        <v>15646</v>
      </c>
      <c r="F2478" s="372" t="s">
        <v>1140</v>
      </c>
      <c r="G2478" s="375" t="s">
        <v>1141</v>
      </c>
      <c r="H2478" s="375" t="s">
        <v>892</v>
      </c>
      <c r="I2478" s="375" t="s">
        <v>859</v>
      </c>
      <c r="J2478" s="375">
        <v>0</v>
      </c>
      <c r="K2478" s="375">
        <v>-36.089869999999998</v>
      </c>
      <c r="L2478" s="375">
        <v>340.06452999999999</v>
      </c>
      <c r="M2478" s="375">
        <v>10864.37464</v>
      </c>
      <c r="N2478" s="372">
        <v>0.35499999999999998</v>
      </c>
      <c r="O2478" s="704">
        <v>14.269617597047862</v>
      </c>
      <c r="P2478" s="563" t="s">
        <v>619</v>
      </c>
      <c r="Q2478" s="372" t="s">
        <v>619</v>
      </c>
      <c r="R2478" s="696">
        <v>20220804</v>
      </c>
      <c r="S2478" s="372" t="s">
        <v>12465</v>
      </c>
      <c r="T2478" s="697">
        <v>0.20900000000000002</v>
      </c>
      <c r="U2478" s="372">
        <v>0</v>
      </c>
      <c r="V2478" s="722">
        <v>0</v>
      </c>
      <c r="W2478" s="722">
        <v>0</v>
      </c>
      <c r="X2478" s="722">
        <v>0</v>
      </c>
      <c r="Y2478" s="722">
        <v>0</v>
      </c>
      <c r="Z2478" s="382" t="s">
        <v>770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15647</v>
      </c>
      <c r="B2479" s="372" t="s">
        <v>15648</v>
      </c>
      <c r="C2479" s="372" t="s">
        <v>15649</v>
      </c>
      <c r="D2479" s="374">
        <v>1101118620787</v>
      </c>
      <c r="E2479" s="372" t="s">
        <v>15650</v>
      </c>
      <c r="F2479" s="372" t="s">
        <v>1140</v>
      </c>
      <c r="G2479" s="375" t="s">
        <v>1141</v>
      </c>
      <c r="H2479" s="375" t="s">
        <v>892</v>
      </c>
      <c r="I2479" s="375" t="s">
        <v>859</v>
      </c>
      <c r="J2479" s="375">
        <v>0</v>
      </c>
      <c r="K2479" s="375">
        <v>-61.243369999999999</v>
      </c>
      <c r="L2479" s="375">
        <v>279.83330999999998</v>
      </c>
      <c r="M2479" s="375">
        <v>10782.331050000001</v>
      </c>
      <c r="N2479" s="372" t="s">
        <v>1023</v>
      </c>
      <c r="O2479" s="704">
        <v>10.310794382728988</v>
      </c>
      <c r="P2479" s="563" t="s">
        <v>619</v>
      </c>
      <c r="Q2479" s="372" t="s">
        <v>619</v>
      </c>
      <c r="R2479" s="696">
        <v>20230810</v>
      </c>
      <c r="S2479" s="372" t="s">
        <v>15442</v>
      </c>
      <c r="T2479" s="697">
        <v>0.20900000000000002</v>
      </c>
      <c r="U2479" s="372">
        <v>0</v>
      </c>
      <c r="V2479" s="722">
        <v>0</v>
      </c>
      <c r="W2479" s="722">
        <v>0</v>
      </c>
      <c r="X2479" s="722">
        <v>0</v>
      </c>
      <c r="Y2479" s="722">
        <v>0</v>
      </c>
      <c r="Z2479" s="382" t="s">
        <v>770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15651</v>
      </c>
      <c r="B2480" s="372" t="s">
        <v>15652</v>
      </c>
      <c r="C2480" s="372" t="s">
        <v>15653</v>
      </c>
      <c r="D2480" s="374">
        <v>1101118573366</v>
      </c>
      <c r="E2480" s="372" t="s">
        <v>15654</v>
      </c>
      <c r="F2480" s="372" t="s">
        <v>1140</v>
      </c>
      <c r="G2480" s="375" t="s">
        <v>1141</v>
      </c>
      <c r="H2480" s="375" t="s">
        <v>892</v>
      </c>
      <c r="I2480" s="375" t="s">
        <v>859</v>
      </c>
      <c r="J2480" s="375">
        <v>0</v>
      </c>
      <c r="K2480" s="375">
        <v>-35.526850000000003</v>
      </c>
      <c r="L2480" s="375">
        <v>252.55316999999999</v>
      </c>
      <c r="M2480" s="375">
        <v>10137.688260000001</v>
      </c>
      <c r="N2480" s="372" t="s">
        <v>1023</v>
      </c>
      <c r="O2480" s="704">
        <v>10.171380027663723</v>
      </c>
      <c r="P2480" s="563" t="s">
        <v>619</v>
      </c>
      <c r="Q2480" s="372" t="s">
        <v>619</v>
      </c>
      <c r="R2480" s="696">
        <v>20230628</v>
      </c>
      <c r="S2480" s="372" t="s">
        <v>9015</v>
      </c>
      <c r="T2480" s="697">
        <v>0.20900000000000002</v>
      </c>
      <c r="U2480" s="372">
        <v>0</v>
      </c>
      <c r="V2480" s="722">
        <v>0</v>
      </c>
      <c r="W2480" s="722">
        <v>0</v>
      </c>
      <c r="X2480" s="722">
        <v>0</v>
      </c>
      <c r="Y2480" s="722">
        <v>0</v>
      </c>
      <c r="Z2480" s="382" t="s">
        <v>770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15655</v>
      </c>
      <c r="B2481" s="372" t="s">
        <v>15656</v>
      </c>
      <c r="C2481" s="372" t="s">
        <v>16325</v>
      </c>
      <c r="D2481" s="374">
        <v>1101118127733</v>
      </c>
      <c r="E2481" s="372" t="s">
        <v>15657</v>
      </c>
      <c r="F2481" s="372" t="s">
        <v>1140</v>
      </c>
      <c r="G2481" s="375" t="s">
        <v>1141</v>
      </c>
      <c r="H2481" s="375" t="s">
        <v>892</v>
      </c>
      <c r="I2481" s="375" t="s">
        <v>859</v>
      </c>
      <c r="J2481" s="375">
        <v>0</v>
      </c>
      <c r="K2481" s="375">
        <v>-35.315930000000002</v>
      </c>
      <c r="L2481" s="375">
        <v>285.92568</v>
      </c>
      <c r="M2481" s="375">
        <v>10162.708790000001</v>
      </c>
      <c r="N2481" s="372">
        <v>0.373</v>
      </c>
      <c r="O2481" s="704">
        <v>6.6925387857591252</v>
      </c>
      <c r="P2481" s="563" t="s">
        <v>619</v>
      </c>
      <c r="Q2481" s="372" t="s">
        <v>16113</v>
      </c>
      <c r="R2481" s="696">
        <v>20220429</v>
      </c>
      <c r="S2481" s="372" t="e">
        <v>#N/A</v>
      </c>
      <c r="T2481" s="697">
        <v>0.20900000000000002</v>
      </c>
      <c r="U2481" s="372">
        <v>0</v>
      </c>
      <c r="V2481" s="722">
        <v>0</v>
      </c>
      <c r="W2481" s="722">
        <v>0</v>
      </c>
      <c r="X2481" s="722">
        <v>0</v>
      </c>
      <c r="Y2481" s="722">
        <v>0</v>
      </c>
      <c r="Z2481" s="382" t="s">
        <v>770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15658</v>
      </c>
      <c r="B2482" s="372" t="s">
        <v>15659</v>
      </c>
      <c r="C2482" s="372" t="s">
        <v>15660</v>
      </c>
      <c r="D2482" s="374">
        <v>1101118590568</v>
      </c>
      <c r="E2482" s="372" t="s">
        <v>15661</v>
      </c>
      <c r="F2482" s="372" t="s">
        <v>1140</v>
      </c>
      <c r="G2482" s="375" t="s">
        <v>1141</v>
      </c>
      <c r="H2482" s="375" t="s">
        <v>892</v>
      </c>
      <c r="I2482" s="375" t="s">
        <v>859</v>
      </c>
      <c r="J2482" s="375">
        <v>0</v>
      </c>
      <c r="K2482" s="375">
        <v>-34.164769999999997</v>
      </c>
      <c r="L2482" s="375">
        <v>212.74878000000001</v>
      </c>
      <c r="M2482" s="375">
        <v>9185.6443899999995</v>
      </c>
      <c r="N2482" s="372" t="s">
        <v>1023</v>
      </c>
      <c r="O2482" s="704">
        <v>8.0393414521582702</v>
      </c>
      <c r="P2482" s="563" t="s">
        <v>619</v>
      </c>
      <c r="Q2482" s="372" t="s">
        <v>619</v>
      </c>
      <c r="R2482" s="696">
        <v>20230721</v>
      </c>
      <c r="S2482" s="372" t="s">
        <v>12465</v>
      </c>
      <c r="T2482" s="697">
        <v>0.20900000000000002</v>
      </c>
      <c r="U2482" s="372">
        <v>0</v>
      </c>
      <c r="V2482" s="722">
        <v>0</v>
      </c>
      <c r="W2482" s="722">
        <v>0</v>
      </c>
      <c r="X2482" s="722">
        <v>0</v>
      </c>
      <c r="Y2482" s="722">
        <v>0</v>
      </c>
      <c r="Z2482" s="382" t="s">
        <v>770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15662</v>
      </c>
      <c r="B2483" s="372" t="s">
        <v>15663</v>
      </c>
      <c r="C2483" s="372" t="s">
        <v>16138</v>
      </c>
      <c r="D2483" s="374">
        <v>1101118009072</v>
      </c>
      <c r="E2483" s="372" t="s">
        <v>15664</v>
      </c>
      <c r="F2483" s="372" t="s">
        <v>1140</v>
      </c>
      <c r="G2483" s="375" t="s">
        <v>1141</v>
      </c>
      <c r="H2483" s="375" t="s">
        <v>892</v>
      </c>
      <c r="I2483" s="375" t="s">
        <v>4410</v>
      </c>
      <c r="J2483" s="375">
        <v>0</v>
      </c>
      <c r="K2483" s="375">
        <v>0</v>
      </c>
      <c r="L2483" s="375">
        <v>0</v>
      </c>
      <c r="M2483" s="375">
        <v>0</v>
      </c>
      <c r="N2483" s="372">
        <v>0.32100000000000001</v>
      </c>
      <c r="O2483" s="704" t="s">
        <v>16298</v>
      </c>
      <c r="P2483" s="563" t="s">
        <v>619</v>
      </c>
      <c r="Q2483" s="372" t="s">
        <v>619</v>
      </c>
      <c r="R2483" s="696">
        <v>20211220</v>
      </c>
      <c r="S2483" s="372" t="e">
        <v>#N/A</v>
      </c>
      <c r="T2483" s="697" t="s">
        <v>768</v>
      </c>
      <c r="U2483" s="372">
        <v>0</v>
      </c>
      <c r="V2483" s="722">
        <v>0</v>
      </c>
      <c r="W2483" s="722">
        <v>0</v>
      </c>
      <c r="X2483" s="722">
        <v>0</v>
      </c>
      <c r="Y2483" s="722">
        <v>0</v>
      </c>
      <c r="Z2483" s="382" t="s">
        <v>770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15665</v>
      </c>
      <c r="B2484" s="372" t="s">
        <v>15666</v>
      </c>
      <c r="C2484" s="372" t="s">
        <v>15667</v>
      </c>
      <c r="D2484" s="374">
        <v>1101118421317</v>
      </c>
      <c r="E2484" s="372" t="s">
        <v>15668</v>
      </c>
      <c r="F2484" s="372" t="s">
        <v>1140</v>
      </c>
      <c r="G2484" s="375" t="s">
        <v>1141</v>
      </c>
      <c r="H2484" s="375" t="s">
        <v>892</v>
      </c>
      <c r="I2484" s="375" t="s">
        <v>859</v>
      </c>
      <c r="J2484" s="375">
        <v>0</v>
      </c>
      <c r="K2484" s="375">
        <v>-37.273159999999997</v>
      </c>
      <c r="L2484" s="375">
        <v>305.69468000000001</v>
      </c>
      <c r="M2484" s="375">
        <v>10608.648590000001</v>
      </c>
      <c r="N2484" s="372" t="s">
        <v>1023</v>
      </c>
      <c r="O2484" s="704">
        <v>13.996238925725748</v>
      </c>
      <c r="P2484" s="563" t="s">
        <v>619</v>
      </c>
      <c r="Q2484" s="372" t="s">
        <v>619</v>
      </c>
      <c r="R2484" s="696">
        <v>20230901</v>
      </c>
      <c r="S2484" s="372" t="s">
        <v>5468</v>
      </c>
      <c r="T2484" s="697">
        <v>0.20900000000000002</v>
      </c>
      <c r="U2484" s="372">
        <v>0</v>
      </c>
      <c r="V2484" s="722">
        <v>0</v>
      </c>
      <c r="W2484" s="722">
        <v>0</v>
      </c>
      <c r="X2484" s="722">
        <v>0</v>
      </c>
      <c r="Y2484" s="722">
        <v>0</v>
      </c>
      <c r="Z2484" s="382" t="s">
        <v>770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15669</v>
      </c>
      <c r="B2485" s="372" t="s">
        <v>15670</v>
      </c>
      <c r="C2485" s="372" t="s">
        <v>15671</v>
      </c>
      <c r="D2485" s="374">
        <v>1101118048781</v>
      </c>
      <c r="E2485" s="372" t="s">
        <v>15672</v>
      </c>
      <c r="F2485" s="372" t="s">
        <v>1140</v>
      </c>
      <c r="G2485" s="375" t="s">
        <v>1141</v>
      </c>
      <c r="H2485" s="375" t="s">
        <v>892</v>
      </c>
      <c r="I2485" s="375" t="s">
        <v>4410</v>
      </c>
      <c r="J2485" s="375">
        <v>0</v>
      </c>
      <c r="K2485" s="375">
        <v>0</v>
      </c>
      <c r="L2485" s="375">
        <v>0</v>
      </c>
      <c r="M2485" s="375">
        <v>0</v>
      </c>
      <c r="N2485" s="372" t="s">
        <v>1023</v>
      </c>
      <c r="O2485" s="704" t="s">
        <v>16298</v>
      </c>
      <c r="P2485" s="563" t="s">
        <v>619</v>
      </c>
      <c r="Q2485" s="372" t="s">
        <v>619</v>
      </c>
      <c r="R2485" s="696">
        <v>20220427</v>
      </c>
      <c r="S2485" s="372" t="e">
        <v>#N/A</v>
      </c>
      <c r="T2485" s="697" t="s">
        <v>768</v>
      </c>
      <c r="U2485" s="372">
        <v>0</v>
      </c>
      <c r="V2485" s="722">
        <v>0</v>
      </c>
      <c r="W2485" s="722">
        <v>0</v>
      </c>
      <c r="X2485" s="722">
        <v>0</v>
      </c>
      <c r="Y2485" s="722">
        <v>0</v>
      </c>
      <c r="Z2485" s="382" t="s">
        <v>770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15673</v>
      </c>
      <c r="B2486" s="372" t="s">
        <v>15674</v>
      </c>
      <c r="C2486" s="372" t="s">
        <v>15675</v>
      </c>
      <c r="D2486" s="374">
        <v>1101118370168</v>
      </c>
      <c r="E2486" s="372" t="s">
        <v>15676</v>
      </c>
      <c r="F2486" s="372" t="s">
        <v>1140</v>
      </c>
      <c r="G2486" s="375" t="s">
        <v>1141</v>
      </c>
      <c r="H2486" s="375" t="s">
        <v>892</v>
      </c>
      <c r="I2486" s="375" t="s">
        <v>859</v>
      </c>
      <c r="J2486" s="375">
        <v>0</v>
      </c>
      <c r="K2486" s="375">
        <v>-66.578249999999997</v>
      </c>
      <c r="L2486" s="375">
        <v>205.11533</v>
      </c>
      <c r="M2486" s="375">
        <v>8697.8894999999993</v>
      </c>
      <c r="N2486" s="372">
        <v>0.38500000000000001</v>
      </c>
      <c r="O2486" s="704">
        <v>16.003200256020484</v>
      </c>
      <c r="P2486" s="563" t="s">
        <v>619</v>
      </c>
      <c r="Q2486" s="372" t="s">
        <v>619</v>
      </c>
      <c r="R2486" s="696">
        <v>20221028</v>
      </c>
      <c r="S2486" s="372" t="s">
        <v>9027</v>
      </c>
      <c r="T2486" s="697">
        <v>0.20900000000000002</v>
      </c>
      <c r="U2486" s="372" t="s">
        <v>15677</v>
      </c>
      <c r="V2486" s="722">
        <v>0</v>
      </c>
      <c r="W2486" s="722">
        <v>0</v>
      </c>
      <c r="X2486" s="722">
        <v>0</v>
      </c>
      <c r="Y2486" s="722">
        <v>0</v>
      </c>
      <c r="Z2486" s="382" t="s">
        <v>770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15678</v>
      </c>
      <c r="B2487" s="372" t="s">
        <v>15679</v>
      </c>
      <c r="C2487" s="372" t="s">
        <v>15680</v>
      </c>
      <c r="D2487" s="374">
        <v>1101118349676</v>
      </c>
      <c r="E2487" s="372" t="s">
        <v>15681</v>
      </c>
      <c r="F2487" s="372" t="s">
        <v>1140</v>
      </c>
      <c r="G2487" s="375" t="s">
        <v>1141</v>
      </c>
      <c r="H2487" s="375" t="s">
        <v>892</v>
      </c>
      <c r="I2487" s="375" t="s">
        <v>859</v>
      </c>
      <c r="J2487" s="375">
        <v>0</v>
      </c>
      <c r="K2487" s="375">
        <v>-50.238860000000003</v>
      </c>
      <c r="L2487" s="375">
        <v>307.96454999999997</v>
      </c>
      <c r="M2487" s="375">
        <v>9750.7248</v>
      </c>
      <c r="N2487" s="372">
        <v>0.374</v>
      </c>
      <c r="O2487" s="704">
        <v>5.5979594133313322</v>
      </c>
      <c r="P2487" s="563" t="s">
        <v>619</v>
      </c>
      <c r="Q2487" s="372" t="s">
        <v>619</v>
      </c>
      <c r="R2487" s="696">
        <v>20221020</v>
      </c>
      <c r="S2487" s="372" t="s">
        <v>9015</v>
      </c>
      <c r="T2487" s="697">
        <v>0.20900000000000002</v>
      </c>
      <c r="U2487" s="372">
        <v>0</v>
      </c>
      <c r="V2487" s="722">
        <v>0</v>
      </c>
      <c r="W2487" s="722">
        <v>0</v>
      </c>
      <c r="X2487" s="722">
        <v>0</v>
      </c>
      <c r="Y2487" s="722">
        <v>0</v>
      </c>
      <c r="Z2487" s="382" t="s">
        <v>770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15682</v>
      </c>
      <c r="B2488" s="372" t="s">
        <v>15683</v>
      </c>
      <c r="C2488" s="372" t="s">
        <v>15684</v>
      </c>
      <c r="D2488" s="374">
        <v>1101118465331</v>
      </c>
      <c r="E2488" s="372" t="s">
        <v>15685</v>
      </c>
      <c r="F2488" s="372" t="s">
        <v>1140</v>
      </c>
      <c r="G2488" s="375" t="s">
        <v>1141</v>
      </c>
      <c r="H2488" s="375" t="s">
        <v>892</v>
      </c>
      <c r="I2488" s="375" t="s">
        <v>859</v>
      </c>
      <c r="J2488" s="375">
        <v>0</v>
      </c>
      <c r="K2488" s="375">
        <v>98.350359999999995</v>
      </c>
      <c r="L2488" s="375">
        <v>327.84375</v>
      </c>
      <c r="M2488" s="375">
        <v>9961.7971699999998</v>
      </c>
      <c r="N2488" s="372" t="s">
        <v>1023</v>
      </c>
      <c r="O2488" s="704">
        <v>20.354594441293251</v>
      </c>
      <c r="P2488" s="563" t="s">
        <v>619</v>
      </c>
      <c r="Q2488" s="372" t="s">
        <v>619</v>
      </c>
      <c r="R2488" s="696">
        <v>20230407</v>
      </c>
      <c r="S2488" s="372" t="s">
        <v>15686</v>
      </c>
      <c r="T2488" s="697">
        <v>0.20900000000000002</v>
      </c>
      <c r="U2488" s="372">
        <v>0</v>
      </c>
      <c r="V2488" s="722">
        <v>0</v>
      </c>
      <c r="W2488" s="722">
        <v>0</v>
      </c>
      <c r="X2488" s="722">
        <v>0</v>
      </c>
      <c r="Y2488" s="722">
        <v>0</v>
      </c>
      <c r="Z2488" s="382" t="s">
        <v>770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15687</v>
      </c>
      <c r="B2489" s="372" t="s">
        <v>15688</v>
      </c>
      <c r="C2489" s="372" t="s">
        <v>16065</v>
      </c>
      <c r="D2489" s="374">
        <v>1341110069357</v>
      </c>
      <c r="E2489" s="372" t="s">
        <v>15689</v>
      </c>
      <c r="F2489" s="372" t="s">
        <v>618</v>
      </c>
      <c r="G2489" s="375" t="s">
        <v>618</v>
      </c>
      <c r="H2489" s="375" t="s">
        <v>1374</v>
      </c>
      <c r="I2489" s="375" t="s">
        <v>4410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1023</v>
      </c>
      <c r="O2489" s="704" t="s">
        <v>16298</v>
      </c>
      <c r="P2489" s="563" t="s">
        <v>619</v>
      </c>
      <c r="Q2489" s="372" t="s">
        <v>619</v>
      </c>
      <c r="R2489" s="696">
        <v>20050805</v>
      </c>
      <c r="S2489" s="372" t="e">
        <v>#N/A</v>
      </c>
      <c r="T2489" s="697" t="s">
        <v>768</v>
      </c>
      <c r="U2489" s="372" t="s">
        <v>15690</v>
      </c>
      <c r="V2489" s="722">
        <v>0</v>
      </c>
      <c r="W2489" s="722">
        <v>0</v>
      </c>
      <c r="X2489" s="722">
        <v>0</v>
      </c>
      <c r="Y2489" s="722">
        <v>0</v>
      </c>
      <c r="Z2489" s="382" t="s">
        <v>770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15691</v>
      </c>
      <c r="B2490" s="372" t="s">
        <v>15692</v>
      </c>
      <c r="C2490" s="372" t="s">
        <v>15693</v>
      </c>
      <c r="D2490" s="374">
        <v>1101118431803</v>
      </c>
      <c r="E2490" s="372" t="s">
        <v>15694</v>
      </c>
      <c r="F2490" s="372" t="s">
        <v>1140</v>
      </c>
      <c r="G2490" s="375" t="s">
        <v>1141</v>
      </c>
      <c r="H2490" s="375" t="s">
        <v>892</v>
      </c>
      <c r="I2490" s="375" t="s">
        <v>859</v>
      </c>
      <c r="J2490" s="375">
        <v>0</v>
      </c>
      <c r="K2490" s="375">
        <v>0</v>
      </c>
      <c r="L2490" s="375">
        <v>0</v>
      </c>
      <c r="M2490" s="375">
        <v>0</v>
      </c>
      <c r="N2490" s="372" t="s">
        <v>1023</v>
      </c>
      <c r="O2490" s="704" t="s">
        <v>16298</v>
      </c>
      <c r="P2490" s="563" t="s">
        <v>619</v>
      </c>
      <c r="Q2490" s="372" t="s">
        <v>619</v>
      </c>
      <c r="R2490" s="696">
        <v>20230224</v>
      </c>
      <c r="S2490" s="372" t="s">
        <v>9015</v>
      </c>
      <c r="T2490" s="697" t="s">
        <v>768</v>
      </c>
      <c r="U2490" s="372">
        <v>0</v>
      </c>
      <c r="V2490" s="722">
        <v>0</v>
      </c>
      <c r="W2490" s="722">
        <v>0</v>
      </c>
      <c r="X2490" s="722">
        <v>0</v>
      </c>
      <c r="Y2490" s="722">
        <v>0</v>
      </c>
      <c r="Z2490" s="382" t="s">
        <v>770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15695</v>
      </c>
      <c r="B2491" s="372" t="s">
        <v>15696</v>
      </c>
      <c r="C2491" s="372" t="s">
        <v>15697</v>
      </c>
      <c r="D2491" s="374">
        <v>1101118481410</v>
      </c>
      <c r="E2491" s="372" t="s">
        <v>15698</v>
      </c>
      <c r="F2491" s="372" t="s">
        <v>1140</v>
      </c>
      <c r="G2491" s="375" t="s">
        <v>1141</v>
      </c>
      <c r="H2491" s="375" t="s">
        <v>892</v>
      </c>
      <c r="I2491" s="375" t="s">
        <v>859</v>
      </c>
      <c r="J2491" s="375">
        <v>0</v>
      </c>
      <c r="K2491" s="375">
        <v>-24.22907</v>
      </c>
      <c r="L2491" s="375">
        <v>215.47448</v>
      </c>
      <c r="M2491" s="375">
        <v>9591.2212</v>
      </c>
      <c r="N2491" s="372" t="s">
        <v>1023</v>
      </c>
      <c r="O2491" s="704">
        <v>9.2020079626103506</v>
      </c>
      <c r="P2491" s="563" t="s">
        <v>619</v>
      </c>
      <c r="Q2491" s="372" t="s">
        <v>619</v>
      </c>
      <c r="R2491" s="696">
        <v>20230622</v>
      </c>
      <c r="S2491" s="372" t="s">
        <v>9015</v>
      </c>
      <c r="T2491" s="697">
        <v>0.20900000000000002</v>
      </c>
      <c r="U2491" s="372">
        <v>0</v>
      </c>
      <c r="V2491" s="722">
        <v>0</v>
      </c>
      <c r="W2491" s="722">
        <v>0</v>
      </c>
      <c r="X2491" s="722">
        <v>0</v>
      </c>
      <c r="Y2491" s="722">
        <v>0</v>
      </c>
      <c r="Z2491" s="382" t="s">
        <v>770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15699</v>
      </c>
      <c r="B2492" s="372" t="s">
        <v>15700</v>
      </c>
      <c r="C2492" s="372" t="s">
        <v>15701</v>
      </c>
      <c r="D2492" s="374">
        <v>1101118582664</v>
      </c>
      <c r="E2492" s="372" t="s">
        <v>15702</v>
      </c>
      <c r="F2492" s="372" t="s">
        <v>1140</v>
      </c>
      <c r="G2492" s="375" t="s">
        <v>1141</v>
      </c>
      <c r="H2492" s="375" t="s">
        <v>892</v>
      </c>
      <c r="I2492" s="375" t="s">
        <v>859</v>
      </c>
      <c r="J2492" s="375">
        <v>0</v>
      </c>
      <c r="K2492" s="375">
        <v>-36.264470000000003</v>
      </c>
      <c r="L2492" s="375">
        <v>165.17112</v>
      </c>
      <c r="M2492" s="375">
        <v>10137.569530000001</v>
      </c>
      <c r="N2492" s="372" t="s">
        <v>1023</v>
      </c>
      <c r="O2492" s="704">
        <v>17.892233531747902</v>
      </c>
      <c r="P2492" s="563" t="s">
        <v>619</v>
      </c>
      <c r="Q2492" s="372" t="s">
        <v>619</v>
      </c>
      <c r="R2492" s="696">
        <v>20230907</v>
      </c>
      <c r="S2492" s="372" t="s">
        <v>768</v>
      </c>
      <c r="T2492" s="697">
        <v>9.9000000000000005E-2</v>
      </c>
      <c r="U2492" s="372" t="s">
        <v>15703</v>
      </c>
      <c r="V2492" s="722">
        <v>0</v>
      </c>
      <c r="W2492" s="722">
        <v>0</v>
      </c>
      <c r="X2492" s="722">
        <v>0</v>
      </c>
      <c r="Y2492" s="722">
        <v>0</v>
      </c>
      <c r="Z2492" s="382" t="s">
        <v>770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15704</v>
      </c>
      <c r="B2493" s="372" t="s">
        <v>15705</v>
      </c>
      <c r="C2493" s="372" t="s">
        <v>15706</v>
      </c>
      <c r="D2493" s="374">
        <v>1101118462379</v>
      </c>
      <c r="E2493" s="372" t="s">
        <v>15707</v>
      </c>
      <c r="F2493" s="372" t="s">
        <v>1140</v>
      </c>
      <c r="G2493" s="375" t="s">
        <v>1141</v>
      </c>
      <c r="H2493" s="375" t="s">
        <v>892</v>
      </c>
      <c r="I2493" s="375" t="s">
        <v>859</v>
      </c>
      <c r="J2493" s="375">
        <v>0</v>
      </c>
      <c r="K2493" s="375">
        <v>-40.212960000000002</v>
      </c>
      <c r="L2493" s="375">
        <v>162.56063</v>
      </c>
      <c r="M2493" s="375">
        <v>8733.5356499999998</v>
      </c>
      <c r="N2493" s="372" t="s">
        <v>1023</v>
      </c>
      <c r="O2493" s="704">
        <v>13.476410835214448</v>
      </c>
      <c r="P2493" s="563" t="s">
        <v>619</v>
      </c>
      <c r="Q2493" s="372" t="s">
        <v>619</v>
      </c>
      <c r="R2493" s="696">
        <v>20230406</v>
      </c>
      <c r="S2493" s="372" t="s">
        <v>9027</v>
      </c>
      <c r="T2493" s="697">
        <v>9.9000000000000005E-2</v>
      </c>
      <c r="U2493" s="372">
        <v>0</v>
      </c>
      <c r="V2493" s="722">
        <v>0</v>
      </c>
      <c r="W2493" s="722">
        <v>0</v>
      </c>
      <c r="X2493" s="722">
        <v>0</v>
      </c>
      <c r="Y2493" s="722">
        <v>0</v>
      </c>
      <c r="Z2493" s="382" t="s">
        <v>770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15708</v>
      </c>
      <c r="B2494" s="372" t="s">
        <v>15709</v>
      </c>
      <c r="C2494" s="372" t="s">
        <v>15710</v>
      </c>
      <c r="D2494" s="374">
        <v>1101118542791</v>
      </c>
      <c r="E2494" s="372" t="s">
        <v>15711</v>
      </c>
      <c r="F2494" s="372" t="s">
        <v>1140</v>
      </c>
      <c r="G2494" s="375" t="s">
        <v>1141</v>
      </c>
      <c r="H2494" s="375" t="s">
        <v>892</v>
      </c>
      <c r="I2494" s="375" t="s">
        <v>859</v>
      </c>
      <c r="J2494" s="375">
        <v>0</v>
      </c>
      <c r="K2494" s="375">
        <v>-24.372160000000001</v>
      </c>
      <c r="L2494" s="375">
        <v>307.45235000000002</v>
      </c>
      <c r="M2494" s="375">
        <v>10069.49014</v>
      </c>
      <c r="N2494" s="372" t="s">
        <v>1023</v>
      </c>
      <c r="O2494" s="704">
        <v>11.360915727874039</v>
      </c>
      <c r="P2494" s="563" t="s">
        <v>619</v>
      </c>
      <c r="Q2494" s="372" t="s">
        <v>619</v>
      </c>
      <c r="R2494" s="696">
        <v>20230914</v>
      </c>
      <c r="S2494" s="372" t="s">
        <v>10631</v>
      </c>
      <c r="T2494" s="697">
        <v>0.20900000000000002</v>
      </c>
      <c r="U2494" s="372">
        <v>0</v>
      </c>
      <c r="V2494" s="722">
        <v>0</v>
      </c>
      <c r="W2494" s="722">
        <v>0</v>
      </c>
      <c r="X2494" s="722">
        <v>0</v>
      </c>
      <c r="Y2494" s="722">
        <v>0</v>
      </c>
      <c r="Z2494" s="382" t="s">
        <v>770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15712</v>
      </c>
      <c r="B2495" s="372" t="s">
        <v>15713</v>
      </c>
      <c r="C2495" s="372" t="s">
        <v>15714</v>
      </c>
      <c r="D2495" s="374">
        <v>1101118406509</v>
      </c>
      <c r="E2495" s="372" t="s">
        <v>15715</v>
      </c>
      <c r="F2495" s="372" t="s">
        <v>1140</v>
      </c>
      <c r="G2495" s="375" t="s">
        <v>1141</v>
      </c>
      <c r="H2495" s="375" t="s">
        <v>892</v>
      </c>
      <c r="I2495" s="375" t="s">
        <v>859</v>
      </c>
      <c r="J2495" s="375">
        <v>0</v>
      </c>
      <c r="K2495" s="375">
        <v>-39.670450000000002</v>
      </c>
      <c r="L2495" s="375">
        <v>222.79168000000001</v>
      </c>
      <c r="M2495" s="375">
        <v>8671.5106300000007</v>
      </c>
      <c r="N2495" s="372">
        <v>0.40300000000000002</v>
      </c>
      <c r="O2495" s="704">
        <v>16.960541871386891</v>
      </c>
      <c r="P2495" s="563" t="s">
        <v>619</v>
      </c>
      <c r="Q2495" s="372" t="s">
        <v>619</v>
      </c>
      <c r="R2495" s="696">
        <v>20221216</v>
      </c>
      <c r="S2495" s="372" t="s">
        <v>9027</v>
      </c>
      <c r="T2495" s="697">
        <v>0.20900000000000002</v>
      </c>
      <c r="U2495" s="372" t="s">
        <v>15677</v>
      </c>
      <c r="V2495" s="722">
        <v>0</v>
      </c>
      <c r="W2495" s="722">
        <v>0</v>
      </c>
      <c r="X2495" s="722">
        <v>0</v>
      </c>
      <c r="Y2495" s="722">
        <v>0</v>
      </c>
      <c r="Z2495" s="382" t="s">
        <v>770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15716</v>
      </c>
      <c r="B2496" s="372" t="s">
        <v>15717</v>
      </c>
      <c r="C2496" s="372" t="s">
        <v>15718</v>
      </c>
      <c r="D2496" s="374">
        <v>1101118431689</v>
      </c>
      <c r="E2496" s="372" t="s">
        <v>15719</v>
      </c>
      <c r="F2496" s="372" t="s">
        <v>1140</v>
      </c>
      <c r="G2496" s="375" t="s">
        <v>1141</v>
      </c>
      <c r="H2496" s="375" t="s">
        <v>892</v>
      </c>
      <c r="I2496" s="375" t="s">
        <v>859</v>
      </c>
      <c r="J2496" s="375">
        <v>0</v>
      </c>
      <c r="K2496" s="375">
        <v>-46.990969999999997</v>
      </c>
      <c r="L2496" s="375">
        <v>277.26042999999999</v>
      </c>
      <c r="M2496" s="375">
        <v>9666.2453600000008</v>
      </c>
      <c r="N2496" s="372" t="s">
        <v>1023</v>
      </c>
      <c r="O2496" s="704">
        <v>10.272403742905354</v>
      </c>
      <c r="P2496" s="563" t="s">
        <v>619</v>
      </c>
      <c r="Q2496" s="372" t="s">
        <v>619</v>
      </c>
      <c r="R2496" s="696">
        <v>20230317</v>
      </c>
      <c r="S2496" s="372" t="s">
        <v>9015</v>
      </c>
      <c r="T2496" s="697">
        <v>0.20900000000000002</v>
      </c>
      <c r="U2496" s="372">
        <v>0</v>
      </c>
      <c r="V2496" s="722">
        <v>0</v>
      </c>
      <c r="W2496" s="722">
        <v>0</v>
      </c>
      <c r="X2496" s="722">
        <v>0</v>
      </c>
      <c r="Y2496" s="722">
        <v>0</v>
      </c>
      <c r="Z2496" s="382" t="s">
        <v>770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15720</v>
      </c>
      <c r="B2497" s="372" t="s">
        <v>15721</v>
      </c>
      <c r="C2497" s="372" t="s">
        <v>15722</v>
      </c>
      <c r="D2497" s="374">
        <v>1101118498069</v>
      </c>
      <c r="E2497" s="372" t="s">
        <v>15723</v>
      </c>
      <c r="F2497" s="372" t="s">
        <v>1140</v>
      </c>
      <c r="G2497" s="375" t="s">
        <v>1141</v>
      </c>
      <c r="H2497" s="375" t="s">
        <v>892</v>
      </c>
      <c r="I2497" s="375" t="s">
        <v>859</v>
      </c>
      <c r="J2497" s="375">
        <v>0</v>
      </c>
      <c r="K2497" s="375">
        <v>-36.50206</v>
      </c>
      <c r="L2497" s="375">
        <v>227.92012</v>
      </c>
      <c r="M2497" s="375">
        <v>9084.7445000000007</v>
      </c>
      <c r="N2497" s="372" t="s">
        <v>1023</v>
      </c>
      <c r="O2497" s="704">
        <v>21.207017288670933</v>
      </c>
      <c r="P2497" s="563" t="s">
        <v>619</v>
      </c>
      <c r="Q2497" s="372" t="s">
        <v>619</v>
      </c>
      <c r="R2497" s="696">
        <v>20230727</v>
      </c>
      <c r="S2497" s="372" t="s">
        <v>11489</v>
      </c>
      <c r="T2497" s="697">
        <v>0.20900000000000002</v>
      </c>
      <c r="U2497" s="372">
        <v>0</v>
      </c>
      <c r="V2497" s="722">
        <v>0</v>
      </c>
      <c r="W2497" s="722">
        <v>0</v>
      </c>
      <c r="X2497" s="722">
        <v>0</v>
      </c>
      <c r="Y2497" s="722">
        <v>0</v>
      </c>
      <c r="Z2497" s="382" t="s">
        <v>770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15724</v>
      </c>
      <c r="B2498" s="372" t="s">
        <v>15725</v>
      </c>
      <c r="C2498" s="372" t="s">
        <v>15726</v>
      </c>
      <c r="D2498" s="374">
        <v>1101118739827</v>
      </c>
      <c r="E2498" s="372" t="s">
        <v>15727</v>
      </c>
      <c r="F2498" s="372" t="s">
        <v>1140</v>
      </c>
      <c r="G2498" s="375" t="s">
        <v>1141</v>
      </c>
      <c r="H2498" s="375" t="s">
        <v>892</v>
      </c>
      <c r="I2498" s="375" t="s">
        <v>859</v>
      </c>
      <c r="J2498" s="375">
        <v>0</v>
      </c>
      <c r="K2498" s="375">
        <v>-69.847269999999995</v>
      </c>
      <c r="L2498" s="375">
        <v>96.262129999999999</v>
      </c>
      <c r="M2498" s="375">
        <v>8483.8182899999993</v>
      </c>
      <c r="N2498" s="372" t="s">
        <v>1023</v>
      </c>
      <c r="O2498" s="704">
        <v>15.895558375084045</v>
      </c>
      <c r="P2498" s="563" t="s">
        <v>619</v>
      </c>
      <c r="Q2498" s="372" t="s">
        <v>619</v>
      </c>
      <c r="R2498" s="696">
        <v>20231222</v>
      </c>
      <c r="S2498" s="372" t="s">
        <v>9027</v>
      </c>
      <c r="T2498" s="697">
        <v>9.9000000000000005E-2</v>
      </c>
      <c r="U2498" s="372" t="s">
        <v>15677</v>
      </c>
      <c r="V2498" s="722">
        <v>0</v>
      </c>
      <c r="W2498" s="722">
        <v>0</v>
      </c>
      <c r="X2498" s="722">
        <v>0</v>
      </c>
      <c r="Y2498" s="722">
        <v>0</v>
      </c>
      <c r="Z2498" s="382" t="s">
        <v>770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15728</v>
      </c>
      <c r="B2499" s="372" t="s">
        <v>15729</v>
      </c>
      <c r="C2499" s="372" t="s">
        <v>15730</v>
      </c>
      <c r="D2499" s="374">
        <v>1101118692504</v>
      </c>
      <c r="E2499" s="372" t="s">
        <v>15731</v>
      </c>
      <c r="F2499" s="372" t="s">
        <v>1140</v>
      </c>
      <c r="G2499" s="375" t="s">
        <v>1141</v>
      </c>
      <c r="H2499" s="375" t="s">
        <v>892</v>
      </c>
      <c r="I2499" s="375" t="s">
        <v>859</v>
      </c>
      <c r="J2499" s="375">
        <v>0</v>
      </c>
      <c r="K2499" s="375">
        <v>-69.901790000000005</v>
      </c>
      <c r="L2499" s="375">
        <v>141.07731999999999</v>
      </c>
      <c r="M2499" s="375">
        <v>8535.9917399999995</v>
      </c>
      <c r="N2499" s="372" t="s">
        <v>1023</v>
      </c>
      <c r="O2499" s="704">
        <v>15.224140517832646</v>
      </c>
      <c r="P2499" s="563" t="s">
        <v>619</v>
      </c>
      <c r="Q2499" s="372" t="s">
        <v>619</v>
      </c>
      <c r="R2499" s="696">
        <v>20231113</v>
      </c>
      <c r="S2499" s="372" t="s">
        <v>9015</v>
      </c>
      <c r="T2499" s="697">
        <v>9.9000000000000005E-2</v>
      </c>
      <c r="U2499" s="372">
        <v>0</v>
      </c>
      <c r="V2499" s="722">
        <v>0</v>
      </c>
      <c r="W2499" s="722">
        <v>0</v>
      </c>
      <c r="X2499" s="722">
        <v>0</v>
      </c>
      <c r="Y2499" s="722">
        <v>0</v>
      </c>
      <c r="Z2499" s="382" t="s">
        <v>770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15732</v>
      </c>
      <c r="B2500" s="372" t="s">
        <v>15733</v>
      </c>
      <c r="C2500" s="372" t="s">
        <v>15734</v>
      </c>
      <c r="D2500" s="374">
        <v>1101118597639</v>
      </c>
      <c r="E2500" s="372" t="s">
        <v>15735</v>
      </c>
      <c r="F2500" s="372" t="s">
        <v>1140</v>
      </c>
      <c r="G2500" s="375" t="s">
        <v>1141</v>
      </c>
      <c r="H2500" s="375" t="s">
        <v>892</v>
      </c>
      <c r="I2500" s="375" t="s">
        <v>859</v>
      </c>
      <c r="J2500" s="375">
        <v>0</v>
      </c>
      <c r="K2500" s="375">
        <v>-46.207949999999997</v>
      </c>
      <c r="L2500" s="375">
        <v>108.53343</v>
      </c>
      <c r="M2500" s="375">
        <v>8352.6459599999998</v>
      </c>
      <c r="N2500" s="372" t="s">
        <v>1023</v>
      </c>
      <c r="O2500" s="704">
        <v>18.521112221112222</v>
      </c>
      <c r="P2500" s="563" t="s">
        <v>619</v>
      </c>
      <c r="Q2500" s="372" t="s">
        <v>619</v>
      </c>
      <c r="R2500" s="696">
        <v>20230706</v>
      </c>
      <c r="S2500" s="372" t="s">
        <v>2847</v>
      </c>
      <c r="T2500" s="697">
        <v>9.9000000000000005E-2</v>
      </c>
      <c r="U2500" s="372">
        <v>0</v>
      </c>
      <c r="V2500" s="722">
        <v>0</v>
      </c>
      <c r="W2500" s="722">
        <v>0</v>
      </c>
      <c r="X2500" s="722">
        <v>0</v>
      </c>
      <c r="Y2500" s="722">
        <v>0</v>
      </c>
      <c r="Z2500" s="382" t="s">
        <v>770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15736</v>
      </c>
      <c r="B2501" s="372" t="s">
        <v>15737</v>
      </c>
      <c r="C2501" s="372" t="s">
        <v>15738</v>
      </c>
      <c r="D2501" s="374">
        <v>1101118581369</v>
      </c>
      <c r="E2501" s="372" t="s">
        <v>15739</v>
      </c>
      <c r="F2501" s="372" t="s">
        <v>1140</v>
      </c>
      <c r="G2501" s="375" t="s">
        <v>1141</v>
      </c>
      <c r="H2501" s="375" t="s">
        <v>892</v>
      </c>
      <c r="I2501" s="375" t="s">
        <v>859</v>
      </c>
      <c r="J2501" s="375">
        <v>0</v>
      </c>
      <c r="K2501" s="375">
        <v>-91.622299999999996</v>
      </c>
      <c r="L2501" s="375">
        <v>180.26295999999999</v>
      </c>
      <c r="M2501" s="375">
        <v>8542.4987299999993</v>
      </c>
      <c r="N2501" s="372" t="s">
        <v>1023</v>
      </c>
      <c r="O2501" s="704">
        <v>11.438382078625979</v>
      </c>
      <c r="P2501" s="563" t="s">
        <v>16112</v>
      </c>
      <c r="Q2501" s="372" t="s">
        <v>619</v>
      </c>
      <c r="R2501" s="696">
        <v>20230623</v>
      </c>
      <c r="S2501" s="372" t="s">
        <v>9015</v>
      </c>
      <c r="T2501" s="697">
        <v>9.9000000000000005E-2</v>
      </c>
      <c r="U2501" s="372">
        <v>0</v>
      </c>
      <c r="V2501" s="722">
        <v>0</v>
      </c>
      <c r="W2501" s="722">
        <v>0</v>
      </c>
      <c r="X2501" s="722">
        <v>0</v>
      </c>
      <c r="Y2501" s="722">
        <v>0</v>
      </c>
      <c r="Z2501" s="382" t="s">
        <v>770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15740</v>
      </c>
      <c r="B2502" s="372" t="s">
        <v>15741</v>
      </c>
      <c r="C2502" s="372" t="s">
        <v>15742</v>
      </c>
      <c r="D2502" s="374">
        <v>1101118424600</v>
      </c>
      <c r="E2502" s="372" t="s">
        <v>15743</v>
      </c>
      <c r="F2502" s="372" t="s">
        <v>1140</v>
      </c>
      <c r="G2502" s="375" t="s">
        <v>1141</v>
      </c>
      <c r="H2502" s="375" t="s">
        <v>892</v>
      </c>
      <c r="I2502" s="375" t="s">
        <v>859</v>
      </c>
      <c r="J2502" s="375">
        <v>0</v>
      </c>
      <c r="K2502" s="375">
        <v>-36.40372</v>
      </c>
      <c r="L2502" s="375">
        <v>294.47062</v>
      </c>
      <c r="M2502" s="375">
        <v>8875.6589399999993</v>
      </c>
      <c r="N2502" s="372">
        <v>0.35299999999999998</v>
      </c>
      <c r="O2502" s="704">
        <v>13.094630427577062</v>
      </c>
      <c r="P2502" s="563" t="s">
        <v>619</v>
      </c>
      <c r="Q2502" s="372" t="s">
        <v>619</v>
      </c>
      <c r="R2502" s="696">
        <v>20221222</v>
      </c>
      <c r="S2502" s="372" t="s">
        <v>9015</v>
      </c>
      <c r="T2502" s="697">
        <v>0.20900000000000002</v>
      </c>
      <c r="U2502" s="372" t="s">
        <v>15744</v>
      </c>
      <c r="V2502" s="722">
        <v>0</v>
      </c>
      <c r="W2502" s="722">
        <v>0</v>
      </c>
      <c r="X2502" s="722">
        <v>0</v>
      </c>
      <c r="Y2502" s="722">
        <v>0</v>
      </c>
      <c r="Z2502" s="382" t="s">
        <v>770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15745</v>
      </c>
      <c r="B2503" s="372" t="s">
        <v>15746</v>
      </c>
      <c r="C2503" s="372" t="s">
        <v>15747</v>
      </c>
      <c r="D2503" s="374">
        <v>1101118627642</v>
      </c>
      <c r="E2503" s="372" t="s">
        <v>15748</v>
      </c>
      <c r="F2503" s="372" t="s">
        <v>1140</v>
      </c>
      <c r="G2503" s="375" t="s">
        <v>1141</v>
      </c>
      <c r="H2503" s="375" t="s">
        <v>892</v>
      </c>
      <c r="I2503" s="375" t="s">
        <v>859</v>
      </c>
      <c r="J2503" s="375">
        <v>0</v>
      </c>
      <c r="K2503" s="375">
        <v>-63.116379999999999</v>
      </c>
      <c r="L2503" s="375">
        <v>128.85012</v>
      </c>
      <c r="M2503" s="375">
        <v>8540.1980800000001</v>
      </c>
      <c r="N2503" s="372" t="s">
        <v>1023</v>
      </c>
      <c r="O2503" s="704">
        <v>21.283617293008341</v>
      </c>
      <c r="P2503" s="563" t="s">
        <v>619</v>
      </c>
      <c r="Q2503" s="372" t="s">
        <v>619</v>
      </c>
      <c r="R2503" s="696">
        <v>20230830</v>
      </c>
      <c r="S2503" s="372" t="s">
        <v>9015</v>
      </c>
      <c r="T2503" s="697">
        <v>9.9000000000000005E-2</v>
      </c>
      <c r="U2503" s="372">
        <v>0</v>
      </c>
      <c r="V2503" s="722">
        <v>0</v>
      </c>
      <c r="W2503" s="722">
        <v>0</v>
      </c>
      <c r="X2503" s="722">
        <v>0</v>
      </c>
      <c r="Y2503" s="722">
        <v>0</v>
      </c>
      <c r="Z2503" s="382" t="s">
        <v>770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15749</v>
      </c>
      <c r="B2504" s="372" t="s">
        <v>15750</v>
      </c>
      <c r="C2504" s="372" t="s">
        <v>15751</v>
      </c>
      <c r="D2504" s="374">
        <v>1101118381529</v>
      </c>
      <c r="E2504" s="372" t="s">
        <v>15752</v>
      </c>
      <c r="F2504" s="372" t="s">
        <v>1140</v>
      </c>
      <c r="G2504" s="375" t="s">
        <v>1141</v>
      </c>
      <c r="H2504" s="375" t="s">
        <v>892</v>
      </c>
      <c r="I2504" s="375" t="s">
        <v>859</v>
      </c>
      <c r="J2504" s="375">
        <v>0</v>
      </c>
      <c r="K2504" s="375">
        <v>-52.446089999999998</v>
      </c>
      <c r="L2504" s="375">
        <v>186.05466000000001</v>
      </c>
      <c r="M2504" s="375">
        <v>8319.0525099999995</v>
      </c>
      <c r="N2504" s="372">
        <v>0.34100000000000003</v>
      </c>
      <c r="O2504" s="704">
        <v>21.404268961444362</v>
      </c>
      <c r="P2504" s="563" t="s">
        <v>619</v>
      </c>
      <c r="Q2504" s="372" t="s">
        <v>619</v>
      </c>
      <c r="R2504" s="696">
        <v>20221102</v>
      </c>
      <c r="S2504" s="372" t="s">
        <v>2847</v>
      </c>
      <c r="T2504" s="697">
        <v>9.9000000000000005E-2</v>
      </c>
      <c r="U2504" s="372">
        <v>0</v>
      </c>
      <c r="V2504" s="722">
        <v>0</v>
      </c>
      <c r="W2504" s="722">
        <v>0</v>
      </c>
      <c r="X2504" s="722">
        <v>0</v>
      </c>
      <c r="Y2504" s="722">
        <v>0</v>
      </c>
      <c r="Z2504" s="382" t="s">
        <v>770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15753</v>
      </c>
      <c r="B2505" s="372" t="s">
        <v>15754</v>
      </c>
      <c r="C2505" s="372" t="s">
        <v>15755</v>
      </c>
      <c r="D2505" s="374">
        <v>1101118657029</v>
      </c>
      <c r="E2505" s="372" t="s">
        <v>15756</v>
      </c>
      <c r="F2505" s="372" t="s">
        <v>1140</v>
      </c>
      <c r="G2505" s="375" t="s">
        <v>1141</v>
      </c>
      <c r="H2505" s="375" t="s">
        <v>892</v>
      </c>
      <c r="I2505" s="375" t="s">
        <v>859</v>
      </c>
      <c r="J2505" s="375">
        <v>0</v>
      </c>
      <c r="K2505" s="375">
        <v>-29.935790000000001</v>
      </c>
      <c r="L2505" s="375">
        <v>249.55916999999999</v>
      </c>
      <c r="M2505" s="375">
        <v>8516.4136400000007</v>
      </c>
      <c r="N2505" s="372" t="s">
        <v>1023</v>
      </c>
      <c r="O2505" s="704">
        <v>10.120117782440941</v>
      </c>
      <c r="P2505" s="563" t="s">
        <v>619</v>
      </c>
      <c r="Q2505" s="372" t="s">
        <v>619</v>
      </c>
      <c r="R2505" s="696">
        <v>20231013</v>
      </c>
      <c r="S2505" s="372" t="s">
        <v>10631</v>
      </c>
      <c r="T2505" s="697">
        <v>0.20900000000000002</v>
      </c>
      <c r="U2505" s="372">
        <v>0</v>
      </c>
      <c r="V2505" s="722">
        <v>0</v>
      </c>
      <c r="W2505" s="722">
        <v>0</v>
      </c>
      <c r="X2505" s="722">
        <v>0</v>
      </c>
      <c r="Y2505" s="722">
        <v>0</v>
      </c>
      <c r="Z2505" s="382" t="s">
        <v>770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15757</v>
      </c>
      <c r="B2506" s="372" t="s">
        <v>15758</v>
      </c>
      <c r="C2506" s="372" t="s">
        <v>15759</v>
      </c>
      <c r="D2506" s="374">
        <v>1101118155015</v>
      </c>
      <c r="E2506" s="372" t="s">
        <v>15760</v>
      </c>
      <c r="F2506" s="372" t="s">
        <v>1140</v>
      </c>
      <c r="G2506" s="375" t="s">
        <v>1141</v>
      </c>
      <c r="H2506" s="375" t="s">
        <v>892</v>
      </c>
      <c r="I2506" s="375" t="s">
        <v>859</v>
      </c>
      <c r="J2506" s="375">
        <v>0</v>
      </c>
      <c r="K2506" s="375">
        <v>-62.07808</v>
      </c>
      <c r="L2506" s="375">
        <v>175.92785000000001</v>
      </c>
      <c r="M2506" s="375">
        <v>7149.8955999999998</v>
      </c>
      <c r="N2506" s="372">
        <v>0.46600000000000003</v>
      </c>
      <c r="O2506" s="704">
        <v>12.447052953132035</v>
      </c>
      <c r="P2506" s="563" t="s">
        <v>16112</v>
      </c>
      <c r="Q2506" s="372" t="s">
        <v>619</v>
      </c>
      <c r="R2506" s="696">
        <v>20220729</v>
      </c>
      <c r="S2506" s="372" t="s">
        <v>14467</v>
      </c>
      <c r="T2506" s="697">
        <v>9.9000000000000005E-2</v>
      </c>
      <c r="U2506" s="372">
        <v>0</v>
      </c>
      <c r="V2506" s="722">
        <v>0</v>
      </c>
      <c r="W2506" s="722">
        <v>0</v>
      </c>
      <c r="X2506" s="722">
        <v>0</v>
      </c>
      <c r="Y2506" s="722">
        <v>0</v>
      </c>
      <c r="Z2506" s="382" t="s">
        <v>770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15761</v>
      </c>
      <c r="B2507" s="372" t="s">
        <v>15762</v>
      </c>
      <c r="C2507" s="372" t="s">
        <v>15763</v>
      </c>
      <c r="D2507" s="374">
        <v>1101118306949</v>
      </c>
      <c r="E2507" s="372" t="s">
        <v>15764</v>
      </c>
      <c r="F2507" s="372" t="s">
        <v>1140</v>
      </c>
      <c r="G2507" s="375" t="s">
        <v>1141</v>
      </c>
      <c r="H2507" s="375" t="s">
        <v>892</v>
      </c>
      <c r="I2507" s="375" t="s">
        <v>859</v>
      </c>
      <c r="J2507" s="375">
        <v>0</v>
      </c>
      <c r="K2507" s="375">
        <v>-27.862950000000001</v>
      </c>
      <c r="L2507" s="375">
        <v>224.76082</v>
      </c>
      <c r="M2507" s="375">
        <v>8482.7718700000005</v>
      </c>
      <c r="N2507" s="372">
        <v>0.38700000000000001</v>
      </c>
      <c r="O2507" s="704">
        <v>12.452637688090487</v>
      </c>
      <c r="P2507" s="563" t="s">
        <v>619</v>
      </c>
      <c r="Q2507" s="372" t="s">
        <v>619</v>
      </c>
      <c r="R2507" s="696">
        <v>20220907</v>
      </c>
      <c r="S2507" s="372" t="s">
        <v>13410</v>
      </c>
      <c r="T2507" s="697">
        <v>0.20900000000000002</v>
      </c>
      <c r="U2507" s="372">
        <v>0</v>
      </c>
      <c r="V2507" s="722">
        <v>0</v>
      </c>
      <c r="W2507" s="722">
        <v>0</v>
      </c>
      <c r="X2507" s="722">
        <v>0</v>
      </c>
      <c r="Y2507" s="722">
        <v>0</v>
      </c>
      <c r="Z2507" s="382" t="s">
        <v>770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15765</v>
      </c>
      <c r="B2508" s="372" t="s">
        <v>15766</v>
      </c>
      <c r="C2508" s="372" t="s">
        <v>15767</v>
      </c>
      <c r="D2508" s="374">
        <v>1101117866803</v>
      </c>
      <c r="E2508" s="372" t="s">
        <v>15768</v>
      </c>
      <c r="F2508" s="372" t="s">
        <v>1140</v>
      </c>
      <c r="G2508" s="375" t="s">
        <v>1141</v>
      </c>
      <c r="H2508" s="375" t="s">
        <v>892</v>
      </c>
      <c r="I2508" s="375" t="s">
        <v>4410</v>
      </c>
      <c r="J2508" s="375">
        <v>0</v>
      </c>
      <c r="K2508" s="375">
        <v>0</v>
      </c>
      <c r="L2508" s="375">
        <v>0</v>
      </c>
      <c r="M2508" s="375">
        <v>0</v>
      </c>
      <c r="N2508" s="372" t="s">
        <v>1023</v>
      </c>
      <c r="O2508" s="704" t="s">
        <v>16298</v>
      </c>
      <c r="P2508" s="563" t="s">
        <v>619</v>
      </c>
      <c r="Q2508" s="372" t="s">
        <v>619</v>
      </c>
      <c r="R2508" s="696">
        <v>20210805</v>
      </c>
      <c r="S2508" s="372" t="e">
        <v>#N/A</v>
      </c>
      <c r="T2508" s="697" t="s">
        <v>768</v>
      </c>
      <c r="U2508" s="372" t="s">
        <v>15769</v>
      </c>
      <c r="V2508" s="722">
        <v>0</v>
      </c>
      <c r="W2508" s="722">
        <v>0</v>
      </c>
      <c r="X2508" s="722">
        <v>0</v>
      </c>
      <c r="Y2508" s="722">
        <v>0</v>
      </c>
      <c r="Z2508" s="382" t="s">
        <v>770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15770</v>
      </c>
      <c r="B2509" s="372" t="s">
        <v>15771</v>
      </c>
      <c r="C2509" s="372" t="s">
        <v>15772</v>
      </c>
      <c r="D2509" s="374">
        <v>1101118327721</v>
      </c>
      <c r="E2509" s="372" t="s">
        <v>15773</v>
      </c>
      <c r="F2509" s="372" t="s">
        <v>1140</v>
      </c>
      <c r="G2509" s="375" t="s">
        <v>1141</v>
      </c>
      <c r="H2509" s="375" t="s">
        <v>892</v>
      </c>
      <c r="I2509" s="375" t="s">
        <v>859</v>
      </c>
      <c r="J2509" s="375">
        <v>0</v>
      </c>
      <c r="K2509" s="375">
        <v>-37.973790000000001</v>
      </c>
      <c r="L2509" s="375">
        <v>206.62427</v>
      </c>
      <c r="M2509" s="375">
        <v>7514.3264300000001</v>
      </c>
      <c r="N2509" s="372">
        <v>0.40400000000000003</v>
      </c>
      <c r="O2509" s="704">
        <v>9.0698797329664167</v>
      </c>
      <c r="P2509" s="563" t="s">
        <v>619</v>
      </c>
      <c r="Q2509" s="372" t="s">
        <v>619</v>
      </c>
      <c r="R2509" s="696">
        <v>20221006</v>
      </c>
      <c r="S2509" s="372" t="s">
        <v>12465</v>
      </c>
      <c r="T2509" s="697">
        <v>0.20900000000000002</v>
      </c>
      <c r="U2509" s="372">
        <v>0</v>
      </c>
      <c r="V2509" s="722">
        <v>0</v>
      </c>
      <c r="W2509" s="722">
        <v>0</v>
      </c>
      <c r="X2509" s="722">
        <v>0</v>
      </c>
      <c r="Y2509" s="722">
        <v>0</v>
      </c>
      <c r="Z2509" s="382" t="s">
        <v>770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15774</v>
      </c>
      <c r="B2510" s="372" t="s">
        <v>15775</v>
      </c>
      <c r="C2510" s="372" t="s">
        <v>15776</v>
      </c>
      <c r="D2510" s="374">
        <v>1101118711974</v>
      </c>
      <c r="E2510" s="372" t="s">
        <v>15777</v>
      </c>
      <c r="F2510" s="372" t="s">
        <v>1140</v>
      </c>
      <c r="G2510" s="375" t="s">
        <v>1141</v>
      </c>
      <c r="H2510" s="375" t="s">
        <v>892</v>
      </c>
      <c r="I2510" s="375" t="s">
        <v>859</v>
      </c>
      <c r="J2510" s="375">
        <v>0</v>
      </c>
      <c r="K2510" s="375">
        <v>-56.63232</v>
      </c>
      <c r="L2510" s="375">
        <v>109.66101999999999</v>
      </c>
      <c r="M2510" s="375">
        <v>7550.5661399999999</v>
      </c>
      <c r="N2510" s="372" t="s">
        <v>1023</v>
      </c>
      <c r="O2510" s="704">
        <v>16.936933106985482</v>
      </c>
      <c r="P2510" s="563" t="s">
        <v>619</v>
      </c>
      <c r="Q2510" s="372" t="s">
        <v>619</v>
      </c>
      <c r="R2510" s="696">
        <v>20231205</v>
      </c>
      <c r="S2510" s="372" t="s">
        <v>9015</v>
      </c>
      <c r="T2510" s="697">
        <v>9.9000000000000005E-2</v>
      </c>
      <c r="U2510" s="372">
        <v>0</v>
      </c>
      <c r="V2510" s="722">
        <v>0</v>
      </c>
      <c r="W2510" s="722">
        <v>0</v>
      </c>
      <c r="X2510" s="722">
        <v>0</v>
      </c>
      <c r="Y2510" s="722">
        <v>0</v>
      </c>
      <c r="Z2510" s="382" t="s">
        <v>770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15778</v>
      </c>
      <c r="B2511" s="372" t="s">
        <v>15779</v>
      </c>
      <c r="C2511" s="372" t="s">
        <v>15780</v>
      </c>
      <c r="D2511" s="374">
        <v>1101118399366</v>
      </c>
      <c r="E2511" s="372" t="s">
        <v>15781</v>
      </c>
      <c r="F2511" s="372" t="s">
        <v>1140</v>
      </c>
      <c r="G2511" s="375" t="s">
        <v>1141</v>
      </c>
      <c r="H2511" s="375" t="s">
        <v>892</v>
      </c>
      <c r="I2511" s="375" t="s">
        <v>859</v>
      </c>
      <c r="J2511" s="375">
        <v>0</v>
      </c>
      <c r="K2511" s="375">
        <v>-40.186959999999999</v>
      </c>
      <c r="L2511" s="375">
        <v>215.33152999999999</v>
      </c>
      <c r="M2511" s="375">
        <v>7153.39966</v>
      </c>
      <c r="N2511" s="372">
        <v>0.38200000000000001</v>
      </c>
      <c r="O2511" s="704">
        <v>14.124141066441515</v>
      </c>
      <c r="P2511" s="563" t="s">
        <v>619</v>
      </c>
      <c r="Q2511" s="372" t="s">
        <v>619</v>
      </c>
      <c r="R2511" s="696">
        <v>20221201</v>
      </c>
      <c r="S2511" s="372" t="s">
        <v>9015</v>
      </c>
      <c r="T2511" s="697">
        <v>0.20900000000000002</v>
      </c>
      <c r="U2511" s="372">
        <v>0</v>
      </c>
      <c r="V2511" s="722">
        <v>0</v>
      </c>
      <c r="W2511" s="722">
        <v>0</v>
      </c>
      <c r="X2511" s="722">
        <v>0</v>
      </c>
      <c r="Y2511" s="722">
        <v>0</v>
      </c>
      <c r="Z2511" s="382" t="s">
        <v>770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15782</v>
      </c>
      <c r="B2512" s="372" t="s">
        <v>15783</v>
      </c>
      <c r="C2512" s="372" t="s">
        <v>16096</v>
      </c>
      <c r="D2512" s="374">
        <v>1101114122604</v>
      </c>
      <c r="E2512" s="372" t="s">
        <v>15784</v>
      </c>
      <c r="F2512" s="372" t="s">
        <v>3588</v>
      </c>
      <c r="G2512" s="375" t="s">
        <v>3589</v>
      </c>
      <c r="H2512" s="375" t="s">
        <v>1374</v>
      </c>
      <c r="I2512" s="375" t="s">
        <v>4410</v>
      </c>
      <c r="J2512" s="375">
        <v>4131.0406999999996</v>
      </c>
      <c r="K2512" s="375">
        <v>-1736.77811</v>
      </c>
      <c r="L2512" s="375">
        <v>-7375.8125799999998</v>
      </c>
      <c r="M2512" s="375">
        <v>18958.712</v>
      </c>
      <c r="N2512" s="372" t="s">
        <v>1023</v>
      </c>
      <c r="O2512" s="704" t="e">
        <v>#DIV/0!</v>
      </c>
      <c r="P2512" s="563" t="s">
        <v>619</v>
      </c>
      <c r="Q2512" s="372" t="s">
        <v>619</v>
      </c>
      <c r="R2512" s="696">
        <v>20131113</v>
      </c>
      <c r="S2512" s="372" t="e">
        <v>#N/A</v>
      </c>
      <c r="T2512" s="697" t="s">
        <v>768</v>
      </c>
      <c r="U2512" s="372" t="s">
        <v>15785</v>
      </c>
      <c r="V2512" s="722">
        <v>0</v>
      </c>
      <c r="W2512" s="722">
        <v>0</v>
      </c>
      <c r="X2512" s="722">
        <v>0</v>
      </c>
      <c r="Y2512" s="722">
        <v>0</v>
      </c>
      <c r="Z2512" s="382" t="s">
        <v>924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15786</v>
      </c>
      <c r="B2513" s="372" t="s">
        <v>15787</v>
      </c>
      <c r="C2513" s="372" t="s">
        <v>15788</v>
      </c>
      <c r="D2513" s="374">
        <v>1101118113691</v>
      </c>
      <c r="E2513" s="372" t="s">
        <v>15789</v>
      </c>
      <c r="F2513" s="372" t="s">
        <v>1140</v>
      </c>
      <c r="G2513" s="375" t="s">
        <v>1141</v>
      </c>
      <c r="H2513" s="375" t="s">
        <v>892</v>
      </c>
      <c r="I2513" s="375" t="s">
        <v>859</v>
      </c>
      <c r="J2513" s="375">
        <v>0</v>
      </c>
      <c r="K2513" s="375">
        <v>-35.78284</v>
      </c>
      <c r="L2513" s="375">
        <v>94.440579999999997</v>
      </c>
      <c r="M2513" s="375">
        <v>6700.6257900000001</v>
      </c>
      <c r="N2513" s="372">
        <v>0.16300000000000001</v>
      </c>
      <c r="O2513" s="704">
        <v>12.312410981021284</v>
      </c>
      <c r="P2513" s="563" t="s">
        <v>619</v>
      </c>
      <c r="Q2513" s="372" t="s">
        <v>619</v>
      </c>
      <c r="R2513" s="696">
        <v>20220407</v>
      </c>
      <c r="S2513" s="372" t="s">
        <v>13410</v>
      </c>
      <c r="T2513" s="697">
        <v>9.9000000000000005E-2</v>
      </c>
      <c r="U2513" s="372">
        <v>0</v>
      </c>
      <c r="V2513" s="722">
        <v>0</v>
      </c>
      <c r="W2513" s="722">
        <v>0</v>
      </c>
      <c r="X2513" s="722">
        <v>0</v>
      </c>
      <c r="Y2513" s="722">
        <v>0</v>
      </c>
      <c r="Z2513" s="382" t="s">
        <v>770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15790</v>
      </c>
      <c r="B2514" s="372" t="s">
        <v>15791</v>
      </c>
      <c r="C2514" s="372" t="s">
        <v>15792</v>
      </c>
      <c r="D2514" s="374">
        <v>1101118617502</v>
      </c>
      <c r="E2514" s="372" t="s">
        <v>15793</v>
      </c>
      <c r="F2514" s="372" t="s">
        <v>1140</v>
      </c>
      <c r="G2514" s="375" t="s">
        <v>1141</v>
      </c>
      <c r="H2514" s="375" t="s">
        <v>892</v>
      </c>
      <c r="I2514" s="375" t="s">
        <v>859</v>
      </c>
      <c r="J2514" s="375">
        <v>0</v>
      </c>
      <c r="K2514" s="375">
        <v>-39.951700000000002</v>
      </c>
      <c r="L2514" s="375">
        <v>102.47801</v>
      </c>
      <c r="M2514" s="375">
        <v>6518.1944700000004</v>
      </c>
      <c r="N2514" s="372" t="s">
        <v>1023</v>
      </c>
      <c r="O2514" s="704">
        <v>20.82871650851737</v>
      </c>
      <c r="P2514" s="563" t="s">
        <v>619</v>
      </c>
      <c r="Q2514" s="372" t="s">
        <v>619</v>
      </c>
      <c r="R2514" s="696">
        <v>20230811</v>
      </c>
      <c r="S2514" s="372" t="s">
        <v>9015</v>
      </c>
      <c r="T2514" s="697">
        <v>9.9000000000000005E-2</v>
      </c>
      <c r="U2514" s="372">
        <v>0</v>
      </c>
      <c r="V2514" s="722">
        <v>0</v>
      </c>
      <c r="W2514" s="722">
        <v>0</v>
      </c>
      <c r="X2514" s="722">
        <v>0</v>
      </c>
      <c r="Y2514" s="722">
        <v>0</v>
      </c>
      <c r="Z2514" s="382" t="s">
        <v>770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15794</v>
      </c>
      <c r="B2515" s="372" t="s">
        <v>15795</v>
      </c>
      <c r="C2515" s="372" t="s">
        <v>15796</v>
      </c>
      <c r="D2515" s="374">
        <v>1101118358453</v>
      </c>
      <c r="E2515" s="372" t="s">
        <v>15797</v>
      </c>
      <c r="F2515" s="372" t="s">
        <v>1140</v>
      </c>
      <c r="G2515" s="375" t="s">
        <v>1141</v>
      </c>
      <c r="H2515" s="375" t="s">
        <v>892</v>
      </c>
      <c r="I2515" s="375" t="s">
        <v>859</v>
      </c>
      <c r="J2515" s="375">
        <v>0</v>
      </c>
      <c r="K2515" s="375">
        <v>-39.523130000000002</v>
      </c>
      <c r="L2515" s="375">
        <v>162.32409999999999</v>
      </c>
      <c r="M2515" s="375">
        <v>5795.6482999999998</v>
      </c>
      <c r="N2515" s="372">
        <v>0.32400000000000001</v>
      </c>
      <c r="O2515" s="704">
        <v>6.2899458157736303</v>
      </c>
      <c r="P2515" s="563" t="s">
        <v>619</v>
      </c>
      <c r="Q2515" s="372" t="s">
        <v>619</v>
      </c>
      <c r="R2515" s="696">
        <v>20221103</v>
      </c>
      <c r="S2515" s="372" t="s">
        <v>9015</v>
      </c>
      <c r="T2515" s="697">
        <v>9.9000000000000005E-2</v>
      </c>
      <c r="U2515" s="372">
        <v>0</v>
      </c>
      <c r="V2515" s="722">
        <v>0</v>
      </c>
      <c r="W2515" s="722">
        <v>0</v>
      </c>
      <c r="X2515" s="722">
        <v>0</v>
      </c>
      <c r="Y2515" s="722">
        <v>0</v>
      </c>
      <c r="Z2515" s="382" t="s">
        <v>770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4"/>
      <c r="P2516" s="563"/>
      <c r="Q2516" s="372"/>
      <c r="R2516" s="696"/>
      <c r="S2516" s="372"/>
      <c r="T2516" s="697"/>
      <c r="U2516" s="372"/>
      <c r="V2516" s="722"/>
      <c r="W2516" s="722"/>
      <c r="X2516" s="722"/>
      <c r="Y2516" s="722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4"/>
      <c r="P2517" s="563"/>
      <c r="Q2517" s="372"/>
      <c r="R2517" s="696"/>
      <c r="S2517" s="372"/>
      <c r="T2517" s="697"/>
      <c r="U2517" s="372"/>
      <c r="V2517" s="722"/>
      <c r="W2517" s="722"/>
      <c r="X2517" s="722"/>
      <c r="Y2517" s="722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4"/>
      <c r="P2518" s="563"/>
      <c r="Q2518" s="372"/>
      <c r="R2518" s="696"/>
      <c r="S2518" s="372"/>
      <c r="T2518" s="697"/>
      <c r="U2518" s="372"/>
      <c r="V2518" s="722"/>
      <c r="W2518" s="722"/>
      <c r="X2518" s="722"/>
      <c r="Y2518" s="722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4"/>
      <c r="P2519" s="563"/>
      <c r="Q2519" s="372"/>
      <c r="R2519" s="696"/>
      <c r="S2519" s="372"/>
      <c r="T2519" s="697"/>
      <c r="U2519" s="372"/>
      <c r="V2519" s="722"/>
      <c r="W2519" s="722"/>
      <c r="X2519" s="722"/>
      <c r="Y2519" s="722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4"/>
      <c r="P2520" s="563"/>
      <c r="Q2520" s="372"/>
      <c r="R2520" s="696"/>
      <c r="S2520" s="372"/>
      <c r="T2520" s="697"/>
      <c r="U2520" s="372"/>
      <c r="V2520" s="722"/>
      <c r="W2520" s="722"/>
      <c r="X2520" s="722"/>
      <c r="Y2520" s="722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4"/>
      <c r="P2521" s="563"/>
      <c r="Q2521" s="372"/>
      <c r="R2521" s="696"/>
      <c r="S2521" s="372"/>
      <c r="T2521" s="697"/>
      <c r="U2521" s="372"/>
      <c r="V2521" s="722"/>
      <c r="W2521" s="722"/>
      <c r="X2521" s="722"/>
      <c r="Y2521" s="722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4"/>
      <c r="P2522" s="563"/>
      <c r="Q2522" s="372"/>
      <c r="R2522" s="696"/>
      <c r="S2522" s="372"/>
      <c r="T2522" s="697"/>
      <c r="U2522" s="372"/>
      <c r="V2522" s="722"/>
      <c r="W2522" s="722"/>
      <c r="X2522" s="722"/>
      <c r="Y2522" s="722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4"/>
      <c r="P2523" s="563"/>
      <c r="Q2523" s="372"/>
      <c r="R2523" s="696"/>
      <c r="S2523" s="372"/>
      <c r="T2523" s="697"/>
      <c r="U2523" s="372"/>
      <c r="V2523" s="722"/>
      <c r="W2523" s="722"/>
      <c r="X2523" s="722"/>
      <c r="Y2523" s="722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4"/>
      <c r="P2524" s="563"/>
      <c r="Q2524" s="372"/>
      <c r="R2524" s="696"/>
      <c r="S2524" s="372"/>
      <c r="T2524" s="697"/>
      <c r="U2524" s="372"/>
      <c r="V2524" s="722"/>
      <c r="W2524" s="722"/>
      <c r="X2524" s="722"/>
      <c r="Y2524" s="722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4"/>
      <c r="P2525" s="563"/>
      <c r="Q2525" s="372"/>
      <c r="R2525" s="696"/>
      <c r="S2525" s="372"/>
      <c r="T2525" s="697"/>
      <c r="U2525" s="372"/>
      <c r="V2525" s="722"/>
      <c r="W2525" s="722"/>
      <c r="X2525" s="722"/>
      <c r="Y2525" s="722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4"/>
      <c r="P2526" s="563"/>
      <c r="Q2526" s="372"/>
      <c r="R2526" s="696"/>
      <c r="S2526" s="372"/>
      <c r="T2526" s="697"/>
      <c r="U2526" s="372"/>
      <c r="V2526" s="722"/>
      <c r="W2526" s="722"/>
      <c r="X2526" s="722"/>
      <c r="Y2526" s="722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4"/>
      <c r="P2527" s="563"/>
      <c r="Q2527" s="372"/>
      <c r="R2527" s="696"/>
      <c r="S2527" s="372"/>
      <c r="T2527" s="697"/>
      <c r="U2527" s="372"/>
      <c r="V2527" s="722"/>
      <c r="W2527" s="722"/>
      <c r="X2527" s="722"/>
      <c r="Y2527" s="722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4"/>
      <c r="P2528" s="563"/>
      <c r="Q2528" s="372"/>
      <c r="R2528" s="696"/>
      <c r="S2528" s="372"/>
      <c r="T2528" s="697"/>
      <c r="U2528" s="372"/>
      <c r="V2528" s="722"/>
      <c r="W2528" s="722"/>
      <c r="X2528" s="722"/>
      <c r="Y2528" s="722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4"/>
      <c r="P2529" s="563"/>
      <c r="Q2529" s="372"/>
      <c r="R2529" s="696"/>
      <c r="S2529" s="372"/>
      <c r="T2529" s="697"/>
      <c r="U2529" s="372"/>
      <c r="V2529" s="722"/>
      <c r="W2529" s="722"/>
      <c r="X2529" s="722"/>
      <c r="Y2529" s="722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4"/>
      <c r="P2530" s="563"/>
      <c r="Q2530" s="372"/>
      <c r="R2530" s="696"/>
      <c r="S2530" s="372"/>
      <c r="T2530" s="697"/>
      <c r="U2530" s="372"/>
      <c r="V2530" s="722"/>
      <c r="W2530" s="722"/>
      <c r="X2530" s="722"/>
      <c r="Y2530" s="722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4"/>
      <c r="P2531" s="563"/>
      <c r="Q2531" s="372"/>
      <c r="R2531" s="696"/>
      <c r="S2531" s="372"/>
      <c r="T2531" s="697"/>
      <c r="U2531" s="372"/>
      <c r="V2531" s="722"/>
      <c r="W2531" s="722"/>
      <c r="X2531" s="722"/>
      <c r="Y2531" s="722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4"/>
      <c r="P2532" s="563"/>
      <c r="Q2532" s="372"/>
      <c r="R2532" s="696"/>
      <c r="S2532" s="372"/>
      <c r="T2532" s="697"/>
      <c r="U2532" s="372"/>
      <c r="V2532" s="722"/>
      <c r="W2532" s="722"/>
      <c r="X2532" s="722"/>
      <c r="Y2532" s="722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4"/>
      <c r="P2533" s="563"/>
      <c r="Q2533" s="372"/>
      <c r="R2533" s="696"/>
      <c r="S2533" s="372"/>
      <c r="T2533" s="697"/>
      <c r="U2533" s="372"/>
      <c r="V2533" s="722"/>
      <c r="W2533" s="722"/>
      <c r="X2533" s="722"/>
      <c r="Y2533" s="722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4"/>
      <c r="P2534" s="563"/>
      <c r="Q2534" s="372"/>
      <c r="R2534" s="696"/>
      <c r="S2534" s="372"/>
      <c r="T2534" s="697"/>
      <c r="U2534" s="372"/>
      <c r="V2534" s="722"/>
      <c r="W2534" s="722"/>
      <c r="X2534" s="722"/>
      <c r="Y2534" s="722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4"/>
      <c r="P2535" s="563"/>
      <c r="Q2535" s="372"/>
      <c r="R2535" s="696"/>
      <c r="S2535" s="372"/>
      <c r="T2535" s="697"/>
      <c r="U2535" s="372"/>
      <c r="V2535" s="722"/>
      <c r="W2535" s="722"/>
      <c r="X2535" s="722"/>
      <c r="Y2535" s="722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4"/>
      <c r="P2536" s="563"/>
      <c r="Q2536" s="372"/>
      <c r="R2536" s="696"/>
      <c r="S2536" s="372"/>
      <c r="T2536" s="697"/>
      <c r="U2536" s="372"/>
      <c r="V2536" s="722"/>
      <c r="W2536" s="722"/>
      <c r="X2536" s="722"/>
      <c r="Y2536" s="722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4"/>
      <c r="P2537" s="563"/>
      <c r="Q2537" s="372"/>
      <c r="R2537" s="696"/>
      <c r="S2537" s="372"/>
      <c r="T2537" s="697"/>
      <c r="U2537" s="372"/>
      <c r="V2537" s="722"/>
      <c r="W2537" s="722"/>
      <c r="X2537" s="722"/>
      <c r="Y2537" s="722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4"/>
      <c r="P2538" s="563"/>
      <c r="Q2538" s="372"/>
      <c r="R2538" s="696"/>
      <c r="S2538" s="372"/>
      <c r="T2538" s="697"/>
      <c r="U2538" s="372"/>
      <c r="V2538" s="722"/>
      <c r="W2538" s="722"/>
      <c r="X2538" s="722"/>
      <c r="Y2538" s="722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4"/>
      <c r="P2539" s="563"/>
      <c r="Q2539" s="372"/>
      <c r="R2539" s="696"/>
      <c r="S2539" s="372"/>
      <c r="T2539" s="697"/>
      <c r="U2539" s="372"/>
      <c r="V2539" s="722"/>
      <c r="W2539" s="722"/>
      <c r="X2539" s="722"/>
      <c r="Y2539" s="722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4"/>
      <c r="P2540" s="563"/>
      <c r="Q2540" s="372"/>
      <c r="R2540" s="696"/>
      <c r="S2540" s="372"/>
      <c r="T2540" s="697"/>
      <c r="U2540" s="372"/>
      <c r="V2540" s="722"/>
      <c r="W2540" s="722"/>
      <c r="X2540" s="722"/>
      <c r="Y2540" s="722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4"/>
      <c r="P2541" s="563"/>
      <c r="Q2541" s="372"/>
      <c r="R2541" s="696"/>
      <c r="S2541" s="372"/>
      <c r="T2541" s="697"/>
      <c r="U2541" s="372"/>
      <c r="V2541" s="722"/>
      <c r="W2541" s="722"/>
      <c r="X2541" s="722"/>
      <c r="Y2541" s="722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4"/>
      <c r="P2542" s="563"/>
      <c r="Q2542" s="372"/>
      <c r="R2542" s="696"/>
      <c r="S2542" s="372"/>
      <c r="T2542" s="697"/>
      <c r="U2542" s="372"/>
      <c r="V2542" s="722"/>
      <c r="W2542" s="722"/>
      <c r="X2542" s="722"/>
      <c r="Y2542" s="722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4"/>
      <c r="P2543" s="563"/>
      <c r="Q2543" s="372"/>
      <c r="R2543" s="696"/>
      <c r="S2543" s="372"/>
      <c r="T2543" s="697"/>
      <c r="U2543" s="372"/>
      <c r="V2543" s="722"/>
      <c r="W2543" s="722"/>
      <c r="X2543" s="722"/>
      <c r="Y2543" s="722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4"/>
      <c r="P2544" s="563"/>
      <c r="Q2544" s="372"/>
      <c r="R2544" s="696"/>
      <c r="S2544" s="372"/>
      <c r="T2544" s="697"/>
      <c r="U2544" s="372"/>
      <c r="V2544" s="722"/>
      <c r="W2544" s="722"/>
      <c r="X2544" s="722"/>
      <c r="Y2544" s="722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4"/>
      <c r="P2545" s="563"/>
      <c r="Q2545" s="372"/>
      <c r="R2545" s="696"/>
      <c r="S2545" s="372"/>
      <c r="T2545" s="697"/>
      <c r="U2545" s="372"/>
      <c r="V2545" s="722"/>
      <c r="W2545" s="722"/>
      <c r="X2545" s="722"/>
      <c r="Y2545" s="722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4"/>
      <c r="P2546" s="563"/>
      <c r="Q2546" s="372"/>
      <c r="R2546" s="696"/>
      <c r="S2546" s="372"/>
      <c r="T2546" s="697"/>
      <c r="U2546" s="372"/>
      <c r="V2546" s="722"/>
      <c r="W2546" s="722"/>
      <c r="X2546" s="722"/>
      <c r="Y2546" s="722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4"/>
      <c r="P2547" s="563"/>
      <c r="Q2547" s="372"/>
      <c r="R2547" s="696"/>
      <c r="S2547" s="372"/>
      <c r="T2547" s="697"/>
      <c r="U2547" s="372"/>
      <c r="V2547" s="722"/>
      <c r="W2547" s="722"/>
      <c r="X2547" s="722"/>
      <c r="Y2547" s="722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4"/>
      <c r="P2548" s="563"/>
      <c r="Q2548" s="372"/>
      <c r="R2548" s="696"/>
      <c r="S2548" s="372"/>
      <c r="T2548" s="697"/>
      <c r="U2548" s="372"/>
      <c r="V2548" s="722"/>
      <c r="W2548" s="722"/>
      <c r="X2548" s="722"/>
      <c r="Y2548" s="722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4"/>
      <c r="P2549" s="563"/>
      <c r="Q2549" s="372"/>
      <c r="R2549" s="696"/>
      <c r="S2549" s="372"/>
      <c r="T2549" s="697"/>
      <c r="U2549" s="372"/>
      <c r="V2549" s="722"/>
      <c r="W2549" s="722"/>
      <c r="X2549" s="722"/>
      <c r="Y2549" s="722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4"/>
      <c r="P2550" s="563"/>
      <c r="Q2550" s="372"/>
      <c r="R2550" s="696"/>
      <c r="S2550" s="372"/>
      <c r="T2550" s="697"/>
      <c r="U2550" s="372"/>
      <c r="V2550" s="722"/>
      <c r="W2550" s="722"/>
      <c r="X2550" s="722"/>
      <c r="Y2550" s="722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4"/>
      <c r="P2551" s="563"/>
      <c r="Q2551" s="372"/>
      <c r="R2551" s="696"/>
      <c r="S2551" s="372"/>
      <c r="T2551" s="697"/>
      <c r="U2551" s="372"/>
      <c r="V2551" s="722"/>
      <c r="W2551" s="722"/>
      <c r="X2551" s="722"/>
      <c r="Y2551" s="722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4"/>
      <c r="P2552" s="563"/>
      <c r="Q2552" s="372"/>
      <c r="R2552" s="696"/>
      <c r="S2552" s="372"/>
      <c r="T2552" s="697"/>
      <c r="U2552" s="372"/>
      <c r="V2552" s="722"/>
      <c r="W2552" s="722"/>
      <c r="X2552" s="722"/>
      <c r="Y2552" s="722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4"/>
      <c r="P2553" s="563"/>
      <c r="Q2553" s="372"/>
      <c r="R2553" s="696"/>
      <c r="S2553" s="372"/>
      <c r="T2553" s="697"/>
      <c r="U2553" s="372"/>
      <c r="V2553" s="722"/>
      <c r="W2553" s="722"/>
      <c r="X2553" s="722"/>
      <c r="Y2553" s="722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4"/>
      <c r="P2554" s="563"/>
      <c r="Q2554" s="372"/>
      <c r="R2554" s="696"/>
      <c r="S2554" s="372"/>
      <c r="T2554" s="697"/>
      <c r="U2554" s="372"/>
      <c r="V2554" s="722"/>
      <c r="W2554" s="722"/>
      <c r="X2554" s="722"/>
      <c r="Y2554" s="722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4"/>
      <c r="P2555" s="563"/>
      <c r="Q2555" s="372"/>
      <c r="R2555" s="696"/>
      <c r="S2555" s="372"/>
      <c r="T2555" s="697"/>
      <c r="U2555" s="372"/>
      <c r="V2555" s="722"/>
      <c r="W2555" s="722"/>
      <c r="X2555" s="722"/>
      <c r="Y2555" s="722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4"/>
      <c r="P2556" s="563"/>
      <c r="Q2556" s="372"/>
      <c r="R2556" s="696"/>
      <c r="S2556" s="372"/>
      <c r="T2556" s="697"/>
      <c r="U2556" s="372"/>
      <c r="V2556" s="722"/>
      <c r="W2556" s="722"/>
      <c r="X2556" s="722"/>
      <c r="Y2556" s="722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4"/>
      <c r="P2557" s="563"/>
      <c r="Q2557" s="372"/>
      <c r="R2557" s="696"/>
      <c r="S2557" s="372"/>
      <c r="T2557" s="697"/>
      <c r="U2557" s="372"/>
      <c r="V2557" s="722"/>
      <c r="W2557" s="722"/>
      <c r="X2557" s="722"/>
      <c r="Y2557" s="722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4"/>
      <c r="P2558" s="563"/>
      <c r="Q2558" s="372"/>
      <c r="R2558" s="696"/>
      <c r="S2558" s="372"/>
      <c r="T2558" s="697"/>
      <c r="U2558" s="372"/>
      <c r="V2558" s="722"/>
      <c r="W2558" s="722"/>
      <c r="X2558" s="722"/>
      <c r="Y2558" s="722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4"/>
      <c r="P2559" s="563"/>
      <c r="Q2559" s="372"/>
      <c r="R2559" s="696"/>
      <c r="S2559" s="372"/>
      <c r="T2559" s="697"/>
      <c r="U2559" s="372"/>
      <c r="V2559" s="722"/>
      <c r="W2559" s="722"/>
      <c r="X2559" s="722"/>
      <c r="Y2559" s="722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4"/>
      <c r="P2560" s="563"/>
      <c r="Q2560" s="372"/>
      <c r="R2560" s="696"/>
      <c r="S2560" s="372"/>
      <c r="T2560" s="697"/>
      <c r="U2560" s="372"/>
      <c r="V2560" s="722"/>
      <c r="W2560" s="722"/>
      <c r="X2560" s="722"/>
      <c r="Y2560" s="722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4"/>
      <c r="P2561" s="563"/>
      <c r="Q2561" s="372"/>
      <c r="R2561" s="696"/>
      <c r="S2561" s="372"/>
      <c r="T2561" s="697"/>
      <c r="U2561" s="372"/>
      <c r="V2561" s="722"/>
      <c r="W2561" s="722"/>
      <c r="X2561" s="722"/>
      <c r="Y2561" s="722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4"/>
      <c r="P2562" s="563"/>
      <c r="Q2562" s="372"/>
      <c r="R2562" s="696"/>
      <c r="S2562" s="372"/>
      <c r="T2562" s="697"/>
      <c r="U2562" s="372"/>
      <c r="V2562" s="722"/>
      <c r="W2562" s="722"/>
      <c r="X2562" s="722"/>
      <c r="Y2562" s="722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4"/>
      <c r="P2563" s="563"/>
      <c r="Q2563" s="372"/>
      <c r="R2563" s="696"/>
      <c r="S2563" s="372"/>
      <c r="T2563" s="697"/>
      <c r="U2563" s="372"/>
      <c r="V2563" s="722"/>
      <c r="W2563" s="722"/>
      <c r="X2563" s="722"/>
      <c r="Y2563" s="722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4"/>
      <c r="P2564" s="563"/>
      <c r="Q2564" s="372"/>
      <c r="R2564" s="696"/>
      <c r="S2564" s="372"/>
      <c r="T2564" s="697"/>
      <c r="U2564" s="372"/>
      <c r="V2564" s="722"/>
      <c r="W2564" s="722"/>
      <c r="X2564" s="722"/>
      <c r="Y2564" s="722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4"/>
      <c r="P2565" s="563"/>
      <c r="Q2565" s="372"/>
      <c r="R2565" s="696"/>
      <c r="S2565" s="372"/>
      <c r="T2565" s="697"/>
      <c r="U2565" s="372"/>
      <c r="V2565" s="722"/>
      <c r="W2565" s="722"/>
      <c r="X2565" s="722"/>
      <c r="Y2565" s="722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4"/>
      <c r="P2566" s="563"/>
      <c r="Q2566" s="372"/>
      <c r="R2566" s="696"/>
      <c r="S2566" s="372"/>
      <c r="T2566" s="697"/>
      <c r="U2566" s="372"/>
      <c r="V2566" s="722"/>
      <c r="W2566" s="722"/>
      <c r="X2566" s="722"/>
      <c r="Y2566" s="722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4"/>
      <c r="P2567" s="563"/>
      <c r="Q2567" s="372"/>
      <c r="R2567" s="696"/>
      <c r="S2567" s="372"/>
      <c r="T2567" s="697"/>
      <c r="U2567" s="372"/>
      <c r="V2567" s="722"/>
      <c r="W2567" s="722"/>
      <c r="X2567" s="722"/>
      <c r="Y2567" s="722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4"/>
      <c r="P2568" s="563"/>
      <c r="Q2568" s="372"/>
      <c r="R2568" s="696"/>
      <c r="S2568" s="372"/>
      <c r="T2568" s="697"/>
      <c r="U2568" s="372"/>
      <c r="V2568" s="722"/>
      <c r="W2568" s="722"/>
      <c r="X2568" s="722"/>
      <c r="Y2568" s="722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4"/>
      <c r="P2569" s="563"/>
      <c r="Q2569" s="372"/>
      <c r="R2569" s="696"/>
      <c r="S2569" s="372"/>
      <c r="T2569" s="697"/>
      <c r="U2569" s="372"/>
      <c r="V2569" s="722"/>
      <c r="W2569" s="722"/>
      <c r="X2569" s="722"/>
      <c r="Y2569" s="722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4"/>
      <c r="P2570" s="563"/>
      <c r="Q2570" s="372"/>
      <c r="R2570" s="696"/>
      <c r="S2570" s="372"/>
      <c r="T2570" s="697"/>
      <c r="U2570" s="372"/>
      <c r="V2570" s="722"/>
      <c r="W2570" s="722"/>
      <c r="X2570" s="722"/>
      <c r="Y2570" s="722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4"/>
      <c r="P2571" s="563"/>
      <c r="Q2571" s="372"/>
      <c r="R2571" s="696"/>
      <c r="S2571" s="372"/>
      <c r="T2571" s="697"/>
      <c r="U2571" s="372"/>
      <c r="V2571" s="722"/>
      <c r="W2571" s="722"/>
      <c r="X2571" s="722"/>
      <c r="Y2571" s="722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4"/>
      <c r="P2572" s="563"/>
      <c r="Q2572" s="372"/>
      <c r="R2572" s="696"/>
      <c r="S2572" s="372"/>
      <c r="T2572" s="697"/>
      <c r="U2572" s="372"/>
      <c r="V2572" s="722"/>
      <c r="W2572" s="722"/>
      <c r="X2572" s="722"/>
      <c r="Y2572" s="722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4"/>
      <c r="P2573" s="563"/>
      <c r="Q2573" s="372"/>
      <c r="R2573" s="696"/>
      <c r="S2573" s="372"/>
      <c r="T2573" s="697"/>
      <c r="U2573" s="372"/>
      <c r="V2573" s="722"/>
      <c r="W2573" s="722"/>
      <c r="X2573" s="722"/>
      <c r="Y2573" s="722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4"/>
      <c r="P2574" s="563"/>
      <c r="Q2574" s="372"/>
      <c r="R2574" s="696"/>
      <c r="S2574" s="372"/>
      <c r="T2574" s="697"/>
      <c r="U2574" s="372"/>
      <c r="V2574" s="722"/>
      <c r="W2574" s="722"/>
      <c r="X2574" s="722"/>
      <c r="Y2574" s="722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4"/>
      <c r="P2575" s="563"/>
      <c r="Q2575" s="372"/>
      <c r="R2575" s="696"/>
      <c r="S2575" s="372"/>
      <c r="T2575" s="697"/>
      <c r="U2575" s="372"/>
      <c r="V2575" s="722"/>
      <c r="W2575" s="722"/>
      <c r="X2575" s="722"/>
      <c r="Y2575" s="722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4"/>
      <c r="P2576" s="563"/>
      <c r="Q2576" s="372"/>
      <c r="R2576" s="696"/>
      <c r="S2576" s="372"/>
      <c r="T2576" s="697"/>
      <c r="U2576" s="372"/>
      <c r="V2576" s="722"/>
      <c r="W2576" s="722"/>
      <c r="X2576" s="722"/>
      <c r="Y2576" s="722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4"/>
      <c r="P2577" s="563"/>
      <c r="Q2577" s="372"/>
      <c r="R2577" s="696"/>
      <c r="S2577" s="372"/>
      <c r="T2577" s="697"/>
      <c r="U2577" s="372"/>
      <c r="V2577" s="722"/>
      <c r="W2577" s="722"/>
      <c r="X2577" s="722"/>
      <c r="Y2577" s="722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4"/>
      <c r="P2578" s="563"/>
      <c r="Q2578" s="372"/>
      <c r="R2578" s="696"/>
      <c r="S2578" s="372"/>
      <c r="T2578" s="697"/>
      <c r="U2578" s="372"/>
      <c r="V2578" s="722"/>
      <c r="W2578" s="722"/>
      <c r="X2578" s="722"/>
      <c r="Y2578" s="722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4"/>
      <c r="P2579" s="563"/>
      <c r="Q2579" s="372"/>
      <c r="R2579" s="696"/>
      <c r="S2579" s="372"/>
      <c r="T2579" s="697"/>
      <c r="U2579" s="372"/>
      <c r="V2579" s="722"/>
      <c r="W2579" s="722"/>
      <c r="X2579" s="722"/>
      <c r="Y2579" s="722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4"/>
      <c r="P2580" s="563"/>
      <c r="Q2580" s="372"/>
      <c r="R2580" s="696"/>
      <c r="S2580" s="372"/>
      <c r="T2580" s="697"/>
      <c r="U2580" s="372"/>
      <c r="V2580" s="722"/>
      <c r="W2580" s="722"/>
      <c r="X2580" s="722"/>
      <c r="Y2580" s="722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4"/>
      <c r="P2581" s="563"/>
      <c r="Q2581" s="372"/>
      <c r="R2581" s="696"/>
      <c r="S2581" s="372"/>
      <c r="T2581" s="697"/>
      <c r="U2581" s="372"/>
      <c r="V2581" s="722"/>
      <c r="W2581" s="722"/>
      <c r="X2581" s="722"/>
      <c r="Y2581" s="722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4"/>
      <c r="P2582" s="563"/>
      <c r="Q2582" s="372"/>
      <c r="R2582" s="696"/>
      <c r="S2582" s="372"/>
      <c r="T2582" s="697"/>
      <c r="U2582" s="372"/>
      <c r="V2582" s="722"/>
      <c r="W2582" s="722"/>
      <c r="X2582" s="722"/>
      <c r="Y2582" s="722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4"/>
      <c r="P2583" s="563"/>
      <c r="Q2583" s="372"/>
      <c r="R2583" s="696"/>
      <c r="S2583" s="372"/>
      <c r="T2583" s="697"/>
      <c r="U2583" s="372"/>
      <c r="V2583" s="722"/>
      <c r="W2583" s="722"/>
      <c r="X2583" s="722"/>
      <c r="Y2583" s="722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4"/>
      <c r="P2584" s="563"/>
      <c r="Q2584" s="372"/>
      <c r="R2584" s="696"/>
      <c r="S2584" s="372"/>
      <c r="T2584" s="697"/>
      <c r="U2584" s="372"/>
      <c r="V2584" s="722"/>
      <c r="W2584" s="722"/>
      <c r="X2584" s="722"/>
      <c r="Y2584" s="722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4"/>
      <c r="P2585" s="563"/>
      <c r="Q2585" s="372"/>
      <c r="R2585" s="696"/>
      <c r="S2585" s="372"/>
      <c r="T2585" s="697"/>
      <c r="U2585" s="372"/>
      <c r="V2585" s="722"/>
      <c r="W2585" s="722"/>
      <c r="X2585" s="722"/>
      <c r="Y2585" s="722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4"/>
      <c r="P2586" s="563"/>
      <c r="Q2586" s="372"/>
      <c r="R2586" s="696"/>
      <c r="S2586" s="372"/>
      <c r="T2586" s="697"/>
      <c r="U2586" s="372"/>
      <c r="V2586" s="722"/>
      <c r="W2586" s="722"/>
      <c r="X2586" s="722"/>
      <c r="Y2586" s="722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4"/>
      <c r="P2587" s="563"/>
      <c r="Q2587" s="372"/>
      <c r="R2587" s="696"/>
      <c r="S2587" s="372"/>
      <c r="T2587" s="697"/>
      <c r="U2587" s="372"/>
      <c r="V2587" s="722"/>
      <c r="W2587" s="722"/>
      <c r="X2587" s="722"/>
      <c r="Y2587" s="722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4"/>
      <c r="P2588" s="563"/>
      <c r="Q2588" s="372"/>
      <c r="R2588" s="696"/>
      <c r="S2588" s="372"/>
      <c r="T2588" s="697"/>
      <c r="U2588" s="372"/>
      <c r="V2588" s="722"/>
      <c r="W2588" s="722"/>
      <c r="X2588" s="722"/>
      <c r="Y2588" s="722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4"/>
      <c r="P2589" s="563"/>
      <c r="Q2589" s="372"/>
      <c r="R2589" s="696"/>
      <c r="S2589" s="372"/>
      <c r="T2589" s="697"/>
      <c r="U2589" s="372"/>
      <c r="V2589" s="722"/>
      <c r="W2589" s="722"/>
      <c r="X2589" s="722"/>
      <c r="Y2589" s="722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4"/>
      <c r="P2590" s="563"/>
      <c r="Q2590" s="372"/>
      <c r="R2590" s="696"/>
      <c r="S2590" s="372"/>
      <c r="T2590" s="697"/>
      <c r="U2590" s="372"/>
      <c r="V2590" s="722"/>
      <c r="W2590" s="722"/>
      <c r="X2590" s="722"/>
      <c r="Y2590" s="722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4"/>
      <c r="P2591" s="563"/>
      <c r="Q2591" s="372"/>
      <c r="R2591" s="696"/>
      <c r="S2591" s="372"/>
      <c r="T2591" s="697"/>
      <c r="U2591" s="372"/>
      <c r="V2591" s="722"/>
      <c r="W2591" s="722"/>
      <c r="X2591" s="722"/>
      <c r="Y2591" s="722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4"/>
      <c r="P2592" s="563"/>
      <c r="Q2592" s="372"/>
      <c r="R2592" s="696"/>
      <c r="S2592" s="372"/>
      <c r="T2592" s="697"/>
      <c r="U2592" s="372"/>
      <c r="V2592" s="722"/>
      <c r="W2592" s="722"/>
      <c r="X2592" s="722"/>
      <c r="Y2592" s="722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4"/>
      <c r="P2593" s="563"/>
      <c r="Q2593" s="372"/>
      <c r="R2593" s="696"/>
      <c r="S2593" s="372"/>
      <c r="T2593" s="697"/>
      <c r="U2593" s="372"/>
      <c r="V2593" s="722"/>
      <c r="W2593" s="722"/>
      <c r="X2593" s="722"/>
      <c r="Y2593" s="722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4"/>
      <c r="P2594" s="563"/>
      <c r="Q2594" s="372"/>
      <c r="R2594" s="696"/>
      <c r="S2594" s="372"/>
      <c r="T2594" s="697"/>
      <c r="U2594" s="372"/>
      <c r="V2594" s="722"/>
      <c r="W2594" s="722"/>
      <c r="X2594" s="722"/>
      <c r="Y2594" s="722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4"/>
      <c r="P2595" s="563"/>
      <c r="Q2595" s="372"/>
      <c r="R2595" s="696"/>
      <c r="S2595" s="372"/>
      <c r="T2595" s="697"/>
      <c r="U2595" s="372"/>
      <c r="V2595" s="722"/>
      <c r="W2595" s="722"/>
      <c r="X2595" s="722"/>
      <c r="Y2595" s="722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4"/>
      <c r="P2596" s="563"/>
      <c r="Q2596" s="372"/>
      <c r="R2596" s="696"/>
      <c r="S2596" s="372"/>
      <c r="T2596" s="697"/>
      <c r="U2596" s="372"/>
      <c r="V2596" s="722"/>
      <c r="W2596" s="722"/>
      <c r="X2596" s="722"/>
      <c r="Y2596" s="722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4"/>
      <c r="P2597" s="563"/>
      <c r="Q2597" s="372"/>
      <c r="R2597" s="696"/>
      <c r="S2597" s="372"/>
      <c r="T2597" s="697"/>
      <c r="U2597" s="372"/>
      <c r="V2597" s="722"/>
      <c r="W2597" s="722"/>
      <c r="X2597" s="722"/>
      <c r="Y2597" s="722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4"/>
      <c r="P2598" s="563"/>
      <c r="Q2598" s="372"/>
      <c r="R2598" s="696"/>
      <c r="S2598" s="372"/>
      <c r="T2598" s="697"/>
      <c r="U2598" s="372"/>
      <c r="V2598" s="722"/>
      <c r="W2598" s="722"/>
      <c r="X2598" s="722"/>
      <c r="Y2598" s="722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4"/>
      <c r="P2599" s="563"/>
      <c r="Q2599" s="372"/>
      <c r="R2599" s="696"/>
      <c r="S2599" s="372"/>
      <c r="T2599" s="697"/>
      <c r="U2599" s="372"/>
      <c r="V2599" s="722"/>
      <c r="W2599" s="722"/>
      <c r="X2599" s="722"/>
      <c r="Y2599" s="722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4"/>
      <c r="P2600" s="563"/>
      <c r="Q2600" s="372"/>
      <c r="R2600" s="696"/>
      <c r="S2600" s="372"/>
      <c r="T2600" s="697"/>
      <c r="U2600" s="372"/>
      <c r="V2600" s="722"/>
      <c r="W2600" s="722"/>
      <c r="X2600" s="722"/>
      <c r="Y2600" s="722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36"/>
  <sheetViews>
    <sheetView showGridLines="0" topLeftCell="C1" zoomScale="85" zoomScaleNormal="85" workbookViewId="0">
      <selection activeCell="C1" sqref="C1"/>
    </sheetView>
    <sheetView topLeftCell="C1" workbookViewId="1"/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16440</v>
      </c>
      <c r="D1" s="80"/>
      <c r="E1" s="69" t="s">
        <v>16474</v>
      </c>
      <c r="F1" s="69" t="s">
        <v>16476</v>
      </c>
      <c r="G1" s="69" t="s">
        <v>16479</v>
      </c>
      <c r="H1" s="69" t="s">
        <v>16482</v>
      </c>
    </row>
    <row r="2" spans="1:8">
      <c r="A2" s="70" t="s">
        <v>12</v>
      </c>
      <c r="B2" s="70" t="s">
        <v>11</v>
      </c>
      <c r="C2" s="80" t="s">
        <v>16441</v>
      </c>
      <c r="D2" s="74" t="s">
        <v>16442</v>
      </c>
      <c r="E2" s="74"/>
      <c r="F2" s="74"/>
      <c r="G2" s="74"/>
      <c r="H2" s="74"/>
    </row>
    <row r="3" spans="1:8">
      <c r="A3" s="70" t="s">
        <v>12</v>
      </c>
      <c r="B3" s="70" t="s">
        <v>11</v>
      </c>
      <c r="C3" s="80" t="s">
        <v>16443</v>
      </c>
      <c r="D3" s="74" t="s">
        <v>16444</v>
      </c>
      <c r="E3" s="74"/>
      <c r="F3" s="74"/>
      <c r="G3" s="74"/>
      <c r="H3" s="74"/>
    </row>
    <row r="4" spans="1:8">
      <c r="A4" s="70" t="s">
        <v>12</v>
      </c>
      <c r="B4" s="70" t="s">
        <v>11</v>
      </c>
      <c r="C4" s="80" t="s">
        <v>16445</v>
      </c>
      <c r="D4" s="74" t="s">
        <v>16446</v>
      </c>
      <c r="E4" s="74"/>
      <c r="F4" s="74"/>
      <c r="G4" s="74">
        <v>62</v>
      </c>
      <c r="H4" s="74"/>
    </row>
    <row r="5" spans="1:8">
      <c r="A5" s="70" t="s">
        <v>12</v>
      </c>
      <c r="B5" s="70" t="s">
        <v>11</v>
      </c>
      <c r="C5" s="80" t="s">
        <v>16447</v>
      </c>
      <c r="D5" s="74" t="s">
        <v>16448</v>
      </c>
      <c r="E5" s="74"/>
      <c r="F5" s="74"/>
      <c r="G5" s="74"/>
      <c r="H5" s="74"/>
    </row>
    <row r="6" spans="1:8">
      <c r="A6" s="70" t="s">
        <v>12</v>
      </c>
      <c r="B6" s="70" t="s">
        <v>11</v>
      </c>
      <c r="C6" s="80" t="s">
        <v>16449</v>
      </c>
      <c r="D6" s="74" t="s">
        <v>16450</v>
      </c>
      <c r="E6" s="74"/>
      <c r="F6" s="74"/>
      <c r="G6" s="74"/>
      <c r="H6" s="74"/>
    </row>
    <row r="7" spans="1:8">
      <c r="A7" s="70" t="s">
        <v>12</v>
      </c>
      <c r="B7" s="70" t="s">
        <v>11</v>
      </c>
      <c r="C7" s="80" t="s">
        <v>16451</v>
      </c>
      <c r="D7" s="74" t="s">
        <v>16452</v>
      </c>
      <c r="E7" s="74">
        <v>2000</v>
      </c>
      <c r="F7" s="74">
        <v>2700</v>
      </c>
      <c r="G7" s="74">
        <v>2801</v>
      </c>
      <c r="H7" s="74">
        <v>5900</v>
      </c>
    </row>
    <row r="8" spans="1:8">
      <c r="A8" s="70" t="s">
        <v>12</v>
      </c>
      <c r="B8" s="70" t="s">
        <v>11</v>
      </c>
      <c r="C8" s="80" t="s">
        <v>16453</v>
      </c>
      <c r="D8" s="74" t="s">
        <v>16454</v>
      </c>
      <c r="E8" s="74">
        <v>2000</v>
      </c>
      <c r="F8" s="74">
        <v>2700</v>
      </c>
      <c r="G8" s="74">
        <v>2863</v>
      </c>
      <c r="H8" s="74">
        <v>5900</v>
      </c>
    </row>
    <row r="9" spans="1:8">
      <c r="A9" s="70" t="s">
        <v>12</v>
      </c>
      <c r="B9" s="70" t="s">
        <v>11</v>
      </c>
      <c r="C9" s="80" t="s">
        <v>16455</v>
      </c>
      <c r="D9" s="74" t="s">
        <v>16456</v>
      </c>
      <c r="E9" s="84">
        <f>E12+E13</f>
        <v>1167</v>
      </c>
      <c r="F9" s="84">
        <f t="shared" ref="F9:H9" si="0">F12+F13</f>
        <v>7147</v>
      </c>
      <c r="G9" s="84">
        <f t="shared" si="0"/>
        <v>11910</v>
      </c>
      <c r="H9" s="84">
        <f t="shared" si="0"/>
        <v>15958</v>
      </c>
    </row>
    <row r="10" spans="1:8">
      <c r="A10" s="70" t="s">
        <v>12</v>
      </c>
      <c r="B10" s="70" t="s">
        <v>11</v>
      </c>
      <c r="C10" s="80" t="s">
        <v>16457</v>
      </c>
      <c r="D10" s="74" t="s">
        <v>16458</v>
      </c>
      <c r="E10" s="74"/>
      <c r="F10" s="74">
        <v>331</v>
      </c>
      <c r="G10" s="74"/>
      <c r="H10" s="74"/>
    </row>
    <row r="11" spans="1:8">
      <c r="A11" s="70" t="s">
        <v>12</v>
      </c>
      <c r="B11" s="70" t="s">
        <v>11</v>
      </c>
      <c r="C11" s="80" t="s">
        <v>16459</v>
      </c>
      <c r="D11" s="74" t="s">
        <v>16460</v>
      </c>
      <c r="E11" s="74"/>
      <c r="F11" s="74"/>
      <c r="G11" s="74"/>
      <c r="H11" s="74"/>
    </row>
    <row r="12" spans="1:8">
      <c r="A12" s="70" t="s">
        <v>12</v>
      </c>
      <c r="B12" s="70" t="s">
        <v>11</v>
      </c>
      <c r="C12" s="80" t="s">
        <v>16461</v>
      </c>
      <c r="D12" s="74" t="s">
        <v>16462</v>
      </c>
      <c r="E12" s="74">
        <v>1167</v>
      </c>
      <c r="F12" s="74">
        <v>4736</v>
      </c>
      <c r="G12" s="74">
        <v>10514</v>
      </c>
      <c r="H12" s="74">
        <v>13459</v>
      </c>
    </row>
    <row r="13" spans="1:8">
      <c r="A13" s="70" t="s">
        <v>12</v>
      </c>
      <c r="B13" s="70" t="s">
        <v>11</v>
      </c>
      <c r="C13" s="80" t="s">
        <v>16463</v>
      </c>
      <c r="D13" s="74" t="s">
        <v>16464</v>
      </c>
      <c r="E13" s="74"/>
      <c r="F13" s="74">
        <v>2411</v>
      </c>
      <c r="G13" s="74">
        <v>1396</v>
      </c>
      <c r="H13" s="74">
        <v>2499</v>
      </c>
    </row>
    <row r="14" spans="1:8">
      <c r="A14" s="70" t="s">
        <v>12</v>
      </c>
      <c r="B14" s="70" t="s">
        <v>11</v>
      </c>
      <c r="C14" s="80" t="s">
        <v>16465</v>
      </c>
      <c r="D14" s="74" t="s">
        <v>16466</v>
      </c>
      <c r="E14" s="74"/>
      <c r="F14" s="74">
        <v>11885</v>
      </c>
      <c r="G14" s="74">
        <v>12861</v>
      </c>
      <c r="H14" s="74">
        <v>13918</v>
      </c>
    </row>
    <row r="15" spans="1:8">
      <c r="A15" s="70" t="s">
        <v>12</v>
      </c>
      <c r="B15" s="70" t="s">
        <v>11</v>
      </c>
      <c r="C15" s="80" t="s">
        <v>16467</v>
      </c>
      <c r="D15" s="74" t="s">
        <v>16468</v>
      </c>
      <c r="E15" s="74"/>
      <c r="F15" s="74"/>
      <c r="G15" s="74"/>
      <c r="H15" s="74">
        <v>13918</v>
      </c>
    </row>
    <row r="16" spans="1:8">
      <c r="A16" s="70" t="s">
        <v>12</v>
      </c>
      <c r="B16" s="70" t="s">
        <v>11</v>
      </c>
      <c r="C16" s="80" t="s">
        <v>16469</v>
      </c>
      <c r="D16" s="74" t="s">
        <v>16470</v>
      </c>
      <c r="E16" s="74"/>
      <c r="F16" s="74"/>
      <c r="G16" s="74"/>
      <c r="H16" s="74"/>
    </row>
    <row r="17" spans="1:9">
      <c r="A17" s="70" t="s">
        <v>12</v>
      </c>
      <c r="B17" s="70" t="s">
        <v>11</v>
      </c>
      <c r="C17" s="80" t="s">
        <v>16471</v>
      </c>
      <c r="D17" s="74" t="s">
        <v>16472</v>
      </c>
      <c r="E17" s="84">
        <f>E8+E12+E14+E16</f>
        <v>3167</v>
      </c>
      <c r="F17" s="84">
        <f>F8+F12+F14+F16</f>
        <v>19321</v>
      </c>
      <c r="G17" s="84">
        <f>G8+G12+G14+G16</f>
        <v>26238</v>
      </c>
      <c r="H17" s="84">
        <f>H8+H12+H14+H16</f>
        <v>33277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16483</v>
      </c>
      <c r="D21" s="80" t="s">
        <v>16484</v>
      </c>
      <c r="E21" s="80" t="s">
        <v>16495</v>
      </c>
      <c r="F21" s="80" t="s">
        <v>16496</v>
      </c>
      <c r="G21" s="80" t="s">
        <v>16481</v>
      </c>
      <c r="H21" s="80"/>
      <c r="I21" s="80"/>
    </row>
    <row r="22" spans="1:9">
      <c r="A22" s="70" t="s">
        <v>12</v>
      </c>
      <c r="B22" s="70" t="s">
        <v>11</v>
      </c>
      <c r="C22" s="80" t="s">
        <v>16485</v>
      </c>
      <c r="D22" s="79" t="s">
        <v>16486</v>
      </c>
      <c r="E22" s="79">
        <v>312</v>
      </c>
      <c r="F22" s="79">
        <v>-5080</v>
      </c>
      <c r="G22" s="79">
        <v>-5202</v>
      </c>
      <c r="H22" s="78"/>
    </row>
    <row r="23" spans="1:9">
      <c r="A23" s="70" t="s">
        <v>12</v>
      </c>
      <c r="B23" s="70" t="s">
        <v>11</v>
      </c>
      <c r="C23" s="80" t="s">
        <v>16487</v>
      </c>
      <c r="D23" s="79" t="s">
        <v>16488</v>
      </c>
      <c r="E23" s="79">
        <v>-7086</v>
      </c>
      <c r="F23" s="79">
        <v>-31632</v>
      </c>
      <c r="G23" s="79">
        <v>-8954</v>
      </c>
      <c r="H23" s="78"/>
    </row>
    <row r="24" spans="1:9">
      <c r="A24" s="70" t="s">
        <v>12</v>
      </c>
      <c r="B24" s="70" t="s">
        <v>11</v>
      </c>
      <c r="C24" s="80" t="s">
        <v>16489</v>
      </c>
      <c r="D24" s="79" t="s">
        <v>16490</v>
      </c>
      <c r="E24" s="79">
        <v>18863</v>
      </c>
      <c r="F24" s="79">
        <v>32500</v>
      </c>
      <c r="G24" s="79">
        <v>5470</v>
      </c>
      <c r="H24" s="78"/>
    </row>
    <row r="25" spans="1:9">
      <c r="A25" s="70" t="s">
        <v>12</v>
      </c>
      <c r="B25" s="70" t="s">
        <v>16361</v>
      </c>
      <c r="C25" s="80" t="s">
        <v>16491</v>
      </c>
      <c r="D25" s="79" t="s">
        <v>16492</v>
      </c>
      <c r="E25" s="79"/>
      <c r="F25" s="79"/>
      <c r="G25" s="79"/>
      <c r="H25" s="78"/>
    </row>
    <row r="26" spans="1:9">
      <c r="A26" s="70" t="s">
        <v>12</v>
      </c>
      <c r="B26" s="70" t="s">
        <v>16361</v>
      </c>
      <c r="C26" s="80" t="s">
        <v>16493</v>
      </c>
      <c r="D26" s="79" t="s">
        <v>16494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16497</v>
      </c>
      <c r="D30" s="80" t="s">
        <v>16498</v>
      </c>
      <c r="E30" s="72" t="s">
        <v>16617</v>
      </c>
      <c r="F30" s="72" t="s">
        <v>16618</v>
      </c>
      <c r="G30" s="72" t="s">
        <v>16478</v>
      </c>
      <c r="H30" s="72" t="s">
        <v>16481</v>
      </c>
      <c r="I30" s="80"/>
    </row>
    <row r="31" spans="1:9">
      <c r="A31" s="70" t="s">
        <v>12</v>
      </c>
      <c r="B31" s="70" t="s">
        <v>11</v>
      </c>
      <c r="C31" s="80" t="s">
        <v>16499</v>
      </c>
      <c r="D31" s="79" t="s">
        <v>16500</v>
      </c>
      <c r="E31" s="71">
        <v>15182</v>
      </c>
      <c r="F31" s="71">
        <v>18162</v>
      </c>
      <c r="G31" s="71">
        <v>12194</v>
      </c>
      <c r="H31" s="70">
        <v>5015</v>
      </c>
    </row>
    <row r="32" spans="1:9">
      <c r="A32" s="70" t="s">
        <v>12</v>
      </c>
      <c r="B32" s="70" t="s">
        <v>16361</v>
      </c>
      <c r="C32" s="80" t="s">
        <v>16501</v>
      </c>
      <c r="D32" s="79" t="s">
        <v>16502</v>
      </c>
      <c r="E32" s="71"/>
      <c r="F32" s="71"/>
      <c r="G32" s="71"/>
    </row>
    <row r="33" spans="1:9">
      <c r="A33" s="70" t="s">
        <v>12</v>
      </c>
      <c r="B33" s="70" t="s">
        <v>11</v>
      </c>
      <c r="C33" s="80" t="s">
        <v>16503</v>
      </c>
      <c r="D33" s="79" t="s">
        <v>16504</v>
      </c>
      <c r="E33" s="71">
        <v>-192</v>
      </c>
      <c r="F33" s="71">
        <v>294</v>
      </c>
      <c r="G33" s="71">
        <v>-3553</v>
      </c>
      <c r="H33" s="70">
        <v>-8323</v>
      </c>
    </row>
    <row r="34" spans="1:9">
      <c r="A34" s="70" t="s">
        <v>12</v>
      </c>
      <c r="B34" s="70" t="s">
        <v>16361</v>
      </c>
      <c r="C34" s="80" t="s">
        <v>16505</v>
      </c>
      <c r="D34" s="78" t="s">
        <v>16506</v>
      </c>
    </row>
    <row r="35" spans="1:9">
      <c r="A35" s="70" t="s">
        <v>12</v>
      </c>
      <c r="B35" s="70" t="s">
        <v>11</v>
      </c>
      <c r="C35" s="80" t="s">
        <v>16507</v>
      </c>
      <c r="D35" s="78" t="s">
        <v>16508</v>
      </c>
      <c r="E35" s="70">
        <v>-60</v>
      </c>
      <c r="F35" s="70">
        <v>575</v>
      </c>
      <c r="G35" s="70">
        <v>-3441</v>
      </c>
      <c r="H35" s="70">
        <v>-9995</v>
      </c>
    </row>
    <row r="36" spans="1:9">
      <c r="A36" s="70" t="s">
        <v>12</v>
      </c>
      <c r="B36" s="70" t="s">
        <v>16361</v>
      </c>
      <c r="C36" s="80" t="s">
        <v>16509</v>
      </c>
      <c r="D36" s="78" t="s">
        <v>16510</v>
      </c>
    </row>
    <row r="37" spans="1:9">
      <c r="A37" s="70" t="s">
        <v>12</v>
      </c>
      <c r="B37" s="70" t="s">
        <v>16361</v>
      </c>
      <c r="C37" s="80" t="s">
        <v>16511</v>
      </c>
      <c r="D37" s="79" t="s">
        <v>16512</v>
      </c>
      <c r="E37" s="71"/>
      <c r="F37" s="71"/>
      <c r="G37" s="71"/>
    </row>
    <row r="38" spans="1:9">
      <c r="A38" s="70" t="s">
        <v>12</v>
      </c>
      <c r="B38" s="70" t="s">
        <v>11</v>
      </c>
      <c r="C38" s="80" t="s">
        <v>16513</v>
      </c>
      <c r="D38" s="78" t="s">
        <v>16514</v>
      </c>
      <c r="E38" s="70">
        <v>6570</v>
      </c>
      <c r="F38" s="70">
        <v>10173</v>
      </c>
      <c r="G38" s="70">
        <v>32851</v>
      </c>
      <c r="H38" s="70">
        <v>22865</v>
      </c>
    </row>
    <row r="39" spans="1:9">
      <c r="A39" s="70" t="s">
        <v>12</v>
      </c>
      <c r="B39" s="70" t="s">
        <v>11</v>
      </c>
      <c r="C39" s="80" t="s">
        <v>16515</v>
      </c>
      <c r="D39" s="78" t="s">
        <v>16516</v>
      </c>
      <c r="E39" s="70">
        <v>5338</v>
      </c>
      <c r="F39" s="70">
        <v>26884</v>
      </c>
      <c r="G39" s="70">
        <v>31431</v>
      </c>
      <c r="H39" s="70">
        <v>39048</v>
      </c>
    </row>
    <row r="40" spans="1:9">
      <c r="A40" s="70" t="s">
        <v>12</v>
      </c>
      <c r="B40" s="70" t="s">
        <v>16361</v>
      </c>
      <c r="C40" s="80" t="s">
        <v>16517</v>
      </c>
      <c r="D40" s="78" t="s">
        <v>16518</v>
      </c>
    </row>
    <row r="41" spans="1:9">
      <c r="A41" s="70" t="s">
        <v>12</v>
      </c>
      <c r="C41" s="80" t="s">
        <v>16519</v>
      </c>
      <c r="D41" s="80" t="s">
        <v>16520</v>
      </c>
      <c r="E41" s="72"/>
      <c r="F41" s="72"/>
      <c r="G41" s="72"/>
      <c r="H41" s="72"/>
      <c r="I41" s="80"/>
    </row>
    <row r="42" spans="1:9">
      <c r="A42" s="70" t="s">
        <v>12</v>
      </c>
      <c r="B42" s="70" t="s">
        <v>11</v>
      </c>
      <c r="C42" s="80" t="s">
        <v>16521</v>
      </c>
      <c r="D42" s="78" t="s">
        <v>16522</v>
      </c>
      <c r="E42" s="70">
        <v>15182</v>
      </c>
      <c r="F42" s="70">
        <v>18162</v>
      </c>
      <c r="G42" s="70">
        <v>12194</v>
      </c>
      <c r="H42" s="70">
        <v>5015</v>
      </c>
    </row>
    <row r="43" spans="1:9">
      <c r="A43" s="70" t="s">
        <v>12</v>
      </c>
      <c r="B43" s="70" t="s">
        <v>11</v>
      </c>
      <c r="C43" s="80" t="s">
        <v>16523</v>
      </c>
      <c r="D43" s="78" t="s">
        <v>16524</v>
      </c>
      <c r="E43" s="70">
        <v>11780</v>
      </c>
      <c r="F43" s="70">
        <v>14341</v>
      </c>
      <c r="G43" s="70">
        <v>11518</v>
      </c>
      <c r="H43" s="70">
        <v>7282</v>
      </c>
    </row>
    <row r="44" spans="1:9">
      <c r="A44" s="70" t="s">
        <v>12</v>
      </c>
      <c r="B44" s="70" t="s">
        <v>11</v>
      </c>
      <c r="C44" s="80" t="s">
        <v>16525</v>
      </c>
      <c r="D44" s="79" t="s">
        <v>16526</v>
      </c>
      <c r="E44" s="71">
        <v>3402</v>
      </c>
      <c r="F44" s="71">
        <v>3821</v>
      </c>
      <c r="G44" s="71">
        <v>677</v>
      </c>
      <c r="H44" s="70">
        <v>-2266</v>
      </c>
    </row>
    <row r="45" spans="1:9">
      <c r="A45" s="70" t="s">
        <v>12</v>
      </c>
      <c r="B45" s="70" t="s">
        <v>11</v>
      </c>
      <c r="C45" s="80" t="s">
        <v>16527</v>
      </c>
      <c r="D45" s="78" t="s">
        <v>16528</v>
      </c>
      <c r="E45" s="70">
        <v>3594</v>
      </c>
      <c r="F45" s="70">
        <v>3527</v>
      </c>
      <c r="G45" s="70">
        <v>4229</v>
      </c>
      <c r="H45" s="70">
        <v>6057</v>
      </c>
    </row>
    <row r="46" spans="1:9">
      <c r="A46" s="70" t="s">
        <v>12</v>
      </c>
      <c r="B46" s="70" t="s">
        <v>11</v>
      </c>
      <c r="C46" s="80" t="s">
        <v>16529</v>
      </c>
      <c r="D46" s="79" t="s">
        <v>16530</v>
      </c>
      <c r="E46" s="71">
        <v>24</v>
      </c>
      <c r="F46" s="71">
        <v>73</v>
      </c>
      <c r="G46" s="71">
        <v>100</v>
      </c>
      <c r="H46" s="70">
        <v>92</v>
      </c>
    </row>
    <row r="47" spans="1:9">
      <c r="A47" s="70" t="s">
        <v>12</v>
      </c>
      <c r="B47" s="70" t="s">
        <v>11</v>
      </c>
      <c r="C47" s="80" t="s">
        <v>16531</v>
      </c>
      <c r="D47" s="78" t="s">
        <v>16532</v>
      </c>
      <c r="E47" s="70">
        <v>1</v>
      </c>
      <c r="F47" s="70">
        <v>3</v>
      </c>
      <c r="G47" s="70">
        <v>3</v>
      </c>
      <c r="H47" s="70">
        <v>5</v>
      </c>
    </row>
    <row r="48" spans="1:9">
      <c r="A48" s="70" t="s">
        <v>12</v>
      </c>
      <c r="B48" s="70" t="s">
        <v>11</v>
      </c>
      <c r="C48" s="80" t="s">
        <v>16533</v>
      </c>
      <c r="D48" s="78" t="s">
        <v>16534</v>
      </c>
      <c r="E48" s="70">
        <v>80</v>
      </c>
      <c r="F48" s="70">
        <v>358</v>
      </c>
      <c r="G48" s="70">
        <v>422</v>
      </c>
      <c r="H48" s="70">
        <v>641</v>
      </c>
    </row>
    <row r="49" spans="1:8">
      <c r="A49" s="70" t="s">
        <v>12</v>
      </c>
      <c r="B49" s="70" t="s">
        <v>11</v>
      </c>
      <c r="C49" s="80" t="s">
        <v>16535</v>
      </c>
      <c r="D49" s="78" t="s">
        <v>16536</v>
      </c>
    </row>
    <row r="50" spans="1:8">
      <c r="A50" s="70" t="s">
        <v>12</v>
      </c>
      <c r="B50" s="70" t="s">
        <v>11</v>
      </c>
      <c r="C50" s="80" t="s">
        <v>16537</v>
      </c>
      <c r="D50" s="78" t="s">
        <v>16538</v>
      </c>
    </row>
    <row r="51" spans="1:8">
      <c r="A51" s="70" t="s">
        <v>12</v>
      </c>
      <c r="B51" s="70" t="s">
        <v>11</v>
      </c>
      <c r="C51" s="80" t="s">
        <v>16539</v>
      </c>
      <c r="D51" s="78" t="s">
        <v>16540</v>
      </c>
      <c r="E51" s="70">
        <v>42</v>
      </c>
      <c r="F51" s="70">
        <v>178</v>
      </c>
      <c r="G51" s="70">
        <v>283</v>
      </c>
      <c r="H51" s="70">
        <v>224</v>
      </c>
    </row>
    <row r="52" spans="1:8">
      <c r="A52" s="70" t="s">
        <v>12</v>
      </c>
      <c r="B52" s="70" t="s">
        <v>11</v>
      </c>
      <c r="C52" s="80" t="s">
        <v>16541</v>
      </c>
      <c r="D52" s="78" t="s">
        <v>16542</v>
      </c>
      <c r="E52" s="70">
        <v>8</v>
      </c>
      <c r="F52" s="70">
        <v>8</v>
      </c>
      <c r="G52" s="70">
        <v>6</v>
      </c>
      <c r="H52" s="70">
        <v>1</v>
      </c>
    </row>
    <row r="53" spans="1:8" s="74" customFormat="1">
      <c r="A53" s="75" t="s">
        <v>12</v>
      </c>
      <c r="B53" s="75" t="s">
        <v>11</v>
      </c>
      <c r="C53" s="82" t="s">
        <v>16543</v>
      </c>
      <c r="D53" s="81" t="s">
        <v>16544</v>
      </c>
      <c r="E53" s="75"/>
    </row>
    <row r="54" spans="1:8">
      <c r="A54" s="70" t="s">
        <v>12</v>
      </c>
      <c r="B54" s="70" t="s">
        <v>11</v>
      </c>
      <c r="C54" s="80" t="s">
        <v>16545</v>
      </c>
      <c r="D54" s="78" t="s">
        <v>16546</v>
      </c>
    </row>
    <row r="55" spans="1:8">
      <c r="A55" s="75" t="s">
        <v>12</v>
      </c>
      <c r="B55" s="75" t="s">
        <v>11</v>
      </c>
      <c r="C55" s="80" t="s">
        <v>16547</v>
      </c>
      <c r="D55" s="81" t="s">
        <v>16548</v>
      </c>
      <c r="E55" s="75"/>
      <c r="F55" s="70">
        <v>15</v>
      </c>
      <c r="G55" s="70">
        <v>9</v>
      </c>
    </row>
    <row r="56" spans="1:8">
      <c r="A56" s="70" t="s">
        <v>12</v>
      </c>
      <c r="B56" s="70" t="s">
        <v>11</v>
      </c>
      <c r="C56" s="80" t="s">
        <v>16549</v>
      </c>
      <c r="D56" s="78" t="s">
        <v>16550</v>
      </c>
      <c r="E56" s="70">
        <v>1</v>
      </c>
      <c r="F56" s="70">
        <v>2</v>
      </c>
      <c r="G56" s="70">
        <v>73</v>
      </c>
      <c r="H56" s="70">
        <v>59</v>
      </c>
    </row>
    <row r="57" spans="1:8">
      <c r="A57" s="70" t="s">
        <v>12</v>
      </c>
      <c r="B57" s="70" t="s">
        <v>11</v>
      </c>
      <c r="C57" s="80" t="s">
        <v>16551</v>
      </c>
      <c r="D57" s="78" t="s">
        <v>16552</v>
      </c>
    </row>
    <row r="58" spans="1:8">
      <c r="A58" s="70" t="s">
        <v>12</v>
      </c>
      <c r="B58" s="70" t="s">
        <v>11</v>
      </c>
      <c r="C58" s="80" t="s">
        <v>16553</v>
      </c>
      <c r="D58" s="78" t="s">
        <v>16554</v>
      </c>
    </row>
    <row r="59" spans="1:8">
      <c r="A59" s="70" t="s">
        <v>12</v>
      </c>
      <c r="B59" s="70" t="s">
        <v>11</v>
      </c>
      <c r="C59" s="80" t="s">
        <v>16555</v>
      </c>
      <c r="D59" s="78" t="s">
        <v>16556</v>
      </c>
    </row>
    <row r="60" spans="1:8">
      <c r="A60" s="70" t="s">
        <v>12</v>
      </c>
      <c r="B60" s="70" t="s">
        <v>11</v>
      </c>
      <c r="C60" s="80" t="s">
        <v>16557</v>
      </c>
      <c r="D60" s="78" t="s">
        <v>16558</v>
      </c>
      <c r="E60" s="70">
        <v>25</v>
      </c>
      <c r="F60" s="70">
        <v>73</v>
      </c>
      <c r="G60" s="70">
        <v>68</v>
      </c>
      <c r="H60" s="70">
        <v>5</v>
      </c>
    </row>
    <row r="61" spans="1:8">
      <c r="A61" s="70" t="s">
        <v>12</v>
      </c>
      <c r="B61" s="70" t="s">
        <v>11</v>
      </c>
      <c r="C61" s="80" t="s">
        <v>16559</v>
      </c>
      <c r="D61" s="78" t="s">
        <v>16560</v>
      </c>
    </row>
    <row r="62" spans="1:8">
      <c r="A62" s="70" t="s">
        <v>12</v>
      </c>
      <c r="B62" s="70" t="s">
        <v>11</v>
      </c>
      <c r="C62" s="80" t="s">
        <v>16561</v>
      </c>
      <c r="D62" s="78" t="s">
        <v>16562</v>
      </c>
      <c r="G62" s="70">
        <v>6</v>
      </c>
      <c r="H62" s="70">
        <v>-3</v>
      </c>
    </row>
    <row r="63" spans="1:8">
      <c r="A63" s="70" t="s">
        <v>12</v>
      </c>
      <c r="B63" s="70" t="s">
        <v>11</v>
      </c>
      <c r="C63" s="80" t="s">
        <v>16563</v>
      </c>
      <c r="D63" s="78" t="s">
        <v>16564</v>
      </c>
    </row>
    <row r="64" spans="1:8">
      <c r="A64" s="70" t="s">
        <v>12</v>
      </c>
      <c r="B64" s="70" t="s">
        <v>11</v>
      </c>
      <c r="C64" s="80" t="s">
        <v>16565</v>
      </c>
      <c r="D64" s="78" t="s">
        <v>16566</v>
      </c>
    </row>
    <row r="65" spans="1:9">
      <c r="A65" s="70" t="s">
        <v>12</v>
      </c>
      <c r="B65" s="70" t="s">
        <v>11</v>
      </c>
      <c r="C65" s="80" t="s">
        <v>16567</v>
      </c>
      <c r="D65" s="78" t="s">
        <v>16568</v>
      </c>
      <c r="F65" s="70">
        <v>142</v>
      </c>
      <c r="G65" s="70">
        <v>415</v>
      </c>
      <c r="H65" s="70">
        <v>1862</v>
      </c>
    </row>
    <row r="66" spans="1:9">
      <c r="A66" s="70" t="s">
        <v>12</v>
      </c>
      <c r="B66" s="70" t="s">
        <v>11</v>
      </c>
      <c r="C66" s="80" t="s">
        <v>16569</v>
      </c>
      <c r="D66" s="78" t="s">
        <v>16570</v>
      </c>
      <c r="E66" s="70">
        <v>207</v>
      </c>
    </row>
    <row r="67" spans="1:9">
      <c r="A67" s="70" t="s">
        <v>12</v>
      </c>
      <c r="B67" s="70" t="s">
        <v>11</v>
      </c>
      <c r="C67" s="80" t="s">
        <v>16571</v>
      </c>
      <c r="D67" s="78" t="s">
        <v>16572</v>
      </c>
    </row>
    <row r="68" spans="1:9">
      <c r="A68" s="70" t="s">
        <v>12</v>
      </c>
      <c r="B68" s="70" t="s">
        <v>11</v>
      </c>
      <c r="C68" s="80" t="s">
        <v>16573</v>
      </c>
      <c r="D68" s="78" t="s">
        <v>16574</v>
      </c>
      <c r="E68" s="73">
        <v>25</v>
      </c>
      <c r="F68" s="73">
        <v>25</v>
      </c>
      <c r="G68" s="73">
        <v>16</v>
      </c>
      <c r="H68" s="73">
        <v>-10</v>
      </c>
      <c r="I68" s="73">
        <f>SUM(I44:I67)</f>
        <v>0</v>
      </c>
    </row>
    <row r="69" spans="1:9">
      <c r="A69" s="70" t="s">
        <v>12</v>
      </c>
      <c r="B69" s="70" t="s">
        <v>11</v>
      </c>
      <c r="C69" s="80" t="s">
        <v>16575</v>
      </c>
      <c r="D69" s="78" t="s">
        <v>16576</v>
      </c>
    </row>
    <row r="70" spans="1:9">
      <c r="A70" s="70" t="s">
        <v>104</v>
      </c>
      <c r="B70" s="70" t="s">
        <v>11</v>
      </c>
      <c r="C70" s="80" t="s">
        <v>16577</v>
      </c>
      <c r="D70" s="78" t="s">
        <v>16578</v>
      </c>
    </row>
    <row r="71" spans="1:9">
      <c r="A71" s="70" t="s">
        <v>12</v>
      </c>
      <c r="B71" s="70" t="s">
        <v>11</v>
      </c>
      <c r="C71" s="80" t="s">
        <v>16579</v>
      </c>
      <c r="D71" s="78" t="s">
        <v>16580</v>
      </c>
    </row>
    <row r="72" spans="1:9">
      <c r="A72" s="70" t="s">
        <v>12</v>
      </c>
      <c r="B72" s="70" t="s">
        <v>11</v>
      </c>
      <c r="C72" s="80" t="s">
        <v>16581</v>
      </c>
      <c r="D72" s="78" t="s">
        <v>16582</v>
      </c>
      <c r="E72" s="70">
        <v>951</v>
      </c>
      <c r="F72" s="70">
        <v>1635</v>
      </c>
      <c r="G72" s="70">
        <v>1765</v>
      </c>
      <c r="H72" s="70">
        <v>1790</v>
      </c>
    </row>
    <row r="73" spans="1:9">
      <c r="A73" s="70" t="s">
        <v>12</v>
      </c>
      <c r="B73" s="70" t="s">
        <v>11</v>
      </c>
      <c r="C73" s="80" t="s">
        <v>16583</v>
      </c>
      <c r="D73" s="78" t="s">
        <v>16584</v>
      </c>
      <c r="E73" s="73">
        <f>SUM(E69:E72)</f>
        <v>951</v>
      </c>
      <c r="F73" s="73">
        <f t="shared" ref="F73:I73" si="1">SUM(F69:F72)</f>
        <v>1635</v>
      </c>
      <c r="G73" s="73">
        <f t="shared" si="1"/>
        <v>1765</v>
      </c>
      <c r="H73" s="73">
        <f t="shared" si="1"/>
        <v>1790</v>
      </c>
      <c r="I73" s="73">
        <f t="shared" si="1"/>
        <v>0</v>
      </c>
    </row>
    <row r="74" spans="1:9">
      <c r="A74" s="70" t="s">
        <v>12</v>
      </c>
      <c r="B74" s="70" t="s">
        <v>11</v>
      </c>
      <c r="C74" s="80" t="s">
        <v>16585</v>
      </c>
      <c r="D74" s="78" t="s">
        <v>16586</v>
      </c>
    </row>
    <row r="75" spans="1:9">
      <c r="A75" s="70" t="s">
        <v>12</v>
      </c>
      <c r="B75" s="70" t="s">
        <v>11</v>
      </c>
      <c r="C75" s="80" t="s">
        <v>16587</v>
      </c>
      <c r="D75" s="78" t="s">
        <v>16588</v>
      </c>
    </row>
    <row r="76" spans="1:9">
      <c r="A76" s="70" t="s">
        <v>12</v>
      </c>
      <c r="B76" s="70" t="s">
        <v>11</v>
      </c>
      <c r="C76" s="80" t="s">
        <v>16589</v>
      </c>
      <c r="D76" s="78" t="s">
        <v>16590</v>
      </c>
      <c r="E76" s="73">
        <f>SUM(E74:E75)</f>
        <v>0</v>
      </c>
      <c r="F76" s="73">
        <v>452</v>
      </c>
      <c r="G76" s="73">
        <v>132</v>
      </c>
      <c r="H76" s="73">
        <v>273</v>
      </c>
      <c r="I76" s="73">
        <f>SUM(I74:I75)</f>
        <v>0</v>
      </c>
    </row>
    <row r="77" spans="1:9">
      <c r="A77" s="70" t="s">
        <v>12</v>
      </c>
      <c r="B77" s="70" t="s">
        <v>11</v>
      </c>
      <c r="C77" s="80" t="s">
        <v>16591</v>
      </c>
      <c r="D77" s="78" t="s">
        <v>16592</v>
      </c>
      <c r="E77" s="73">
        <v>1813</v>
      </c>
      <c r="F77" s="73">
        <f t="shared" ref="F77:G77" si="2">F73+F76</f>
        <v>2087</v>
      </c>
      <c r="G77" s="73">
        <f t="shared" si="2"/>
        <v>1897</v>
      </c>
      <c r="H77" s="73">
        <f>H73+H76</f>
        <v>2063</v>
      </c>
      <c r="I77" s="73">
        <f>I73+I76</f>
        <v>0</v>
      </c>
    </row>
    <row r="78" spans="1:9">
      <c r="A78" s="70" t="s">
        <v>12</v>
      </c>
      <c r="B78" s="70" t="s">
        <v>11</v>
      </c>
      <c r="C78" s="80" t="s">
        <v>16593</v>
      </c>
      <c r="D78" s="78" t="s">
        <v>16594</v>
      </c>
    </row>
    <row r="79" spans="1:9">
      <c r="A79" s="70" t="s">
        <v>104</v>
      </c>
      <c r="B79" s="70" t="s">
        <v>11</v>
      </c>
      <c r="C79" s="80" t="s">
        <v>16595</v>
      </c>
      <c r="D79" s="78" t="s">
        <v>16596</v>
      </c>
    </row>
    <row r="80" spans="1:9">
      <c r="A80" s="70" t="s">
        <v>12</v>
      </c>
      <c r="B80" s="70" t="s">
        <v>11</v>
      </c>
      <c r="C80" s="80" t="s">
        <v>16597</v>
      </c>
      <c r="D80" s="78" t="s">
        <v>16598</v>
      </c>
      <c r="E80" s="70">
        <v>54</v>
      </c>
      <c r="F80" s="70">
        <v>187</v>
      </c>
      <c r="G80" s="70">
        <v>478</v>
      </c>
      <c r="H80" s="70">
        <v>452</v>
      </c>
    </row>
    <row r="81" spans="1:9">
      <c r="A81" s="70" t="s">
        <v>12</v>
      </c>
      <c r="B81" s="70" t="s">
        <v>11</v>
      </c>
      <c r="C81" s="80" t="s">
        <v>16599</v>
      </c>
      <c r="D81" s="78" t="s">
        <v>16600</v>
      </c>
    </row>
    <row r="82" spans="1:9">
      <c r="A82" s="70" t="s">
        <v>12</v>
      </c>
      <c r="B82" s="70" t="s">
        <v>11</v>
      </c>
      <c r="C82" s="80" t="s">
        <v>16601</v>
      </c>
      <c r="D82" s="78" t="s">
        <v>16602</v>
      </c>
    </row>
    <row r="83" spans="1:9">
      <c r="A83" s="70" t="s">
        <v>12</v>
      </c>
      <c r="B83" s="70" t="s">
        <v>11</v>
      </c>
      <c r="C83" s="80" t="s">
        <v>16603</v>
      </c>
      <c r="D83" s="78" t="s">
        <v>16604</v>
      </c>
      <c r="E83" s="73">
        <v>1</v>
      </c>
      <c r="F83" s="73">
        <v>2</v>
      </c>
      <c r="G83" s="73">
        <v>8</v>
      </c>
      <c r="H83" s="73">
        <v>4</v>
      </c>
      <c r="I83" s="73">
        <f t="shared" ref="I83" si="3">SUM(I78:I82)</f>
        <v>0</v>
      </c>
    </row>
    <row r="84" spans="1:9">
      <c r="A84" s="70" t="s">
        <v>12</v>
      </c>
      <c r="B84" s="70" t="s">
        <v>11</v>
      </c>
      <c r="C84" s="80" t="s">
        <v>16605</v>
      </c>
      <c r="D84" s="78" t="s">
        <v>16606</v>
      </c>
      <c r="E84" s="83">
        <f>E43/E42*100</f>
        <v>77.591885127124229</v>
      </c>
      <c r="F84" s="83">
        <f t="shared" ref="F84:H84" si="4">F43/F42*100</f>
        <v>78.961568109239067</v>
      </c>
      <c r="G84" s="83">
        <f t="shared" si="4"/>
        <v>94.456289978678043</v>
      </c>
      <c r="H84" s="83">
        <f t="shared" si="4"/>
        <v>145.20438683948157</v>
      </c>
      <c r="I84" s="83" t="e">
        <f t="shared" ref="I84" si="5">I43/I42*100</f>
        <v>#DIV/0!</v>
      </c>
    </row>
    <row r="85" spans="1:9">
      <c r="A85" s="70" t="s">
        <v>104</v>
      </c>
      <c r="B85" s="70" t="s">
        <v>11</v>
      </c>
      <c r="C85" s="80" t="s">
        <v>16607</v>
      </c>
      <c r="D85" s="78" t="s">
        <v>16608</v>
      </c>
      <c r="E85" s="83">
        <f>E68/E42*100</f>
        <v>0.16466868660255568</v>
      </c>
      <c r="F85" s="83">
        <f t="shared" ref="F85:H85" si="6">F68/F42*100</f>
        <v>0.13765003854201077</v>
      </c>
      <c r="G85" s="83">
        <f t="shared" si="6"/>
        <v>0.13121207151057895</v>
      </c>
      <c r="H85" s="83">
        <f t="shared" si="6"/>
        <v>-0.19940179461615154</v>
      </c>
      <c r="I85" s="83" t="e">
        <f t="shared" ref="I85" si="7">I68/I42*100</f>
        <v>#DIV/0!</v>
      </c>
    </row>
    <row r="86" spans="1:9">
      <c r="A86" s="70" t="s">
        <v>12</v>
      </c>
      <c r="B86" s="70" t="s">
        <v>16361</v>
      </c>
      <c r="C86" s="80" t="s">
        <v>16609</v>
      </c>
      <c r="D86" s="78" t="s">
        <v>16610</v>
      </c>
      <c r="E86" s="83">
        <f>E76/E73*100</f>
        <v>0</v>
      </c>
      <c r="F86" s="83">
        <f t="shared" ref="F86:G86" si="8">F76/F73*100</f>
        <v>27.645259938837917</v>
      </c>
      <c r="G86" s="83">
        <f t="shared" si="8"/>
        <v>7.4787535410764869</v>
      </c>
      <c r="H86" s="83">
        <f>H76/H73*100</f>
        <v>15.251396648044693</v>
      </c>
      <c r="I86" s="83" t="e">
        <f>I76/I73*100</f>
        <v>#DIV/0!</v>
      </c>
    </row>
    <row r="87" spans="1:9">
      <c r="A87" s="70" t="s">
        <v>12</v>
      </c>
      <c r="B87" s="70" t="s">
        <v>16361</v>
      </c>
      <c r="C87" s="80" t="s">
        <v>16611</v>
      </c>
      <c r="D87" s="79" t="s">
        <v>16612</v>
      </c>
      <c r="E87" s="83">
        <f>E83/E77*100</f>
        <v>5.5157198014340873E-2</v>
      </c>
      <c r="F87" s="83">
        <f t="shared" ref="F87:H87" si="9">F83/F77*100</f>
        <v>9.5831336847149021E-2</v>
      </c>
      <c r="G87" s="83">
        <f t="shared" si="9"/>
        <v>0.42171850289931473</v>
      </c>
      <c r="H87" s="83">
        <f t="shared" si="9"/>
        <v>0.19389238972370335</v>
      </c>
      <c r="I87" s="83" t="e">
        <f t="shared" ref="I87" si="10">I83/I77*100</f>
        <v>#DIV/0!</v>
      </c>
    </row>
    <row r="88" spans="1:9">
      <c r="A88" s="70" t="s">
        <v>12</v>
      </c>
      <c r="B88" s="70" t="s">
        <v>16361</v>
      </c>
      <c r="C88" s="70" t="s">
        <v>16613</v>
      </c>
      <c r="D88" s="70" t="s">
        <v>16614</v>
      </c>
    </row>
    <row r="89" spans="1:9">
      <c r="A89" s="70" t="s">
        <v>12</v>
      </c>
      <c r="B89" s="70" t="s">
        <v>16361</v>
      </c>
      <c r="C89" s="70" t="s">
        <v>16615</v>
      </c>
      <c r="D89" s="70" t="s">
        <v>16616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16620</v>
      </c>
      <c r="D93" s="70" t="s">
        <v>16621</v>
      </c>
      <c r="E93" s="70" t="s">
        <v>16617</v>
      </c>
      <c r="F93" s="70" t="s">
        <v>16476</v>
      </c>
      <c r="G93" s="70" t="s">
        <v>16479</v>
      </c>
      <c r="H93" s="70" t="s">
        <v>16619</v>
      </c>
    </row>
    <row r="94" spans="1:9">
      <c r="A94" s="70" t="s">
        <v>12</v>
      </c>
      <c r="B94" s="70" t="s">
        <v>11</v>
      </c>
      <c r="C94" s="70" t="s">
        <v>16622</v>
      </c>
      <c r="D94" s="70" t="s">
        <v>16623</v>
      </c>
      <c r="E94" s="70">
        <v>11908</v>
      </c>
      <c r="F94" s="70">
        <v>37057</v>
      </c>
      <c r="G94" s="70">
        <v>64283</v>
      </c>
      <c r="H94" s="70">
        <v>61913</v>
      </c>
    </row>
    <row r="95" spans="1:9">
      <c r="A95" s="70" t="s">
        <v>12</v>
      </c>
      <c r="B95" s="70" t="s">
        <v>11</v>
      </c>
      <c r="C95" s="70" t="s">
        <v>16624</v>
      </c>
      <c r="D95" s="70" t="s">
        <v>16625</v>
      </c>
      <c r="E95" s="70">
        <v>8237</v>
      </c>
      <c r="F95" s="70">
        <v>24139</v>
      </c>
      <c r="G95" s="70">
        <v>19389</v>
      </c>
      <c r="H95" s="70">
        <v>9207</v>
      </c>
    </row>
    <row r="96" spans="1:9">
      <c r="A96" s="70" t="s">
        <v>12</v>
      </c>
      <c r="B96" s="70" t="s">
        <v>11</v>
      </c>
      <c r="C96" s="70" t="s">
        <v>16626</v>
      </c>
      <c r="D96" s="70" t="s">
        <v>16627</v>
      </c>
      <c r="E96" s="70">
        <v>3670</v>
      </c>
      <c r="F96" s="70">
        <v>12917</v>
      </c>
      <c r="G96" s="70">
        <v>44894</v>
      </c>
      <c r="H96" s="70">
        <v>52706</v>
      </c>
    </row>
    <row r="97" spans="1:8">
      <c r="A97" s="70" t="s">
        <v>12</v>
      </c>
      <c r="B97" s="70" t="s">
        <v>11</v>
      </c>
      <c r="C97" s="70" t="s">
        <v>16628</v>
      </c>
      <c r="D97" s="70" t="s">
        <v>16629</v>
      </c>
      <c r="E97" s="70">
        <v>4171</v>
      </c>
      <c r="F97" s="70">
        <v>10263</v>
      </c>
      <c r="G97" s="70">
        <v>7792</v>
      </c>
      <c r="H97" s="70">
        <v>24953</v>
      </c>
    </row>
    <row r="98" spans="1:8">
      <c r="A98" s="70" t="s">
        <v>12</v>
      </c>
      <c r="B98" s="70" t="s">
        <v>11</v>
      </c>
      <c r="C98" s="70" t="s">
        <v>16630</v>
      </c>
      <c r="D98" s="70" t="s">
        <v>16631</v>
      </c>
      <c r="E98" s="70">
        <v>1167</v>
      </c>
      <c r="F98" s="70">
        <v>16621</v>
      </c>
      <c r="G98" s="70">
        <v>23640</v>
      </c>
      <c r="H98" s="70">
        <v>14095</v>
      </c>
    </row>
    <row r="102" spans="1:8">
      <c r="A102" s="775">
        <v>9</v>
      </c>
      <c r="B102" s="775"/>
      <c r="C102" s="775"/>
      <c r="D102" s="775" t="s">
        <v>16375</v>
      </c>
      <c r="E102" s="776" t="s">
        <v>16632</v>
      </c>
      <c r="F102" s="775" t="s">
        <v>16633</v>
      </c>
      <c r="G102" s="775" t="s">
        <v>16634</v>
      </c>
    </row>
    <row r="103" spans="1:8">
      <c r="D103" s="70">
        <v>20231231</v>
      </c>
      <c r="E103" s="77" t="s">
        <v>16635</v>
      </c>
      <c r="F103" s="70">
        <v>6</v>
      </c>
      <c r="G103" s="70">
        <v>15.79</v>
      </c>
    </row>
    <row r="104" spans="1:8">
      <c r="D104" s="70">
        <v>20231231</v>
      </c>
      <c r="E104" s="70" t="s">
        <v>16636</v>
      </c>
      <c r="F104" s="70">
        <v>6</v>
      </c>
      <c r="G104" s="70">
        <v>14.99</v>
      </c>
    </row>
    <row r="105" spans="1:8">
      <c r="D105" s="70">
        <v>20231231</v>
      </c>
      <c r="E105" s="70" t="s">
        <v>16637</v>
      </c>
      <c r="F105" s="70">
        <v>4</v>
      </c>
      <c r="G105" s="70">
        <v>11.43</v>
      </c>
    </row>
    <row r="106" spans="1:8">
      <c r="D106" s="70">
        <v>20231231</v>
      </c>
      <c r="E106" s="70" t="s">
        <v>16638</v>
      </c>
      <c r="F106" s="70">
        <v>3</v>
      </c>
      <c r="G106" s="70">
        <v>7.03</v>
      </c>
    </row>
    <row r="107" spans="1:8">
      <c r="D107" s="70">
        <v>20231231</v>
      </c>
      <c r="E107" s="70" t="s">
        <v>16639</v>
      </c>
      <c r="F107" s="70">
        <v>2</v>
      </c>
      <c r="G107" s="70">
        <v>6.38</v>
      </c>
    </row>
    <row r="108" spans="1:8">
      <c r="D108" s="70">
        <v>20231231</v>
      </c>
      <c r="E108" s="70" t="s">
        <v>16640</v>
      </c>
      <c r="F108" s="70">
        <v>0</v>
      </c>
      <c r="G108" s="70">
        <v>0</v>
      </c>
    </row>
    <row r="109" spans="1:8">
      <c r="D109" s="70">
        <v>20231231</v>
      </c>
      <c r="E109" s="70" t="s">
        <v>16641</v>
      </c>
      <c r="F109" s="70">
        <v>0</v>
      </c>
      <c r="G109" s="70">
        <v>0</v>
      </c>
    </row>
    <row r="110" spans="1:8">
      <c r="D110" s="70">
        <v>20231231</v>
      </c>
      <c r="E110" s="70" t="s">
        <v>16642</v>
      </c>
      <c r="F110" s="70">
        <v>0</v>
      </c>
      <c r="G110" s="70">
        <v>0</v>
      </c>
    </row>
    <row r="111" spans="1:8">
      <c r="D111" s="70">
        <v>20231231</v>
      </c>
      <c r="E111" s="70" t="s">
        <v>16643</v>
      </c>
      <c r="F111" s="70">
        <v>18</v>
      </c>
      <c r="G111" s="70">
        <v>44.37</v>
      </c>
    </row>
    <row r="115" spans="1:5">
      <c r="A115" s="775">
        <v>21</v>
      </c>
      <c r="B115" s="775"/>
      <c r="C115" s="775"/>
      <c r="D115" s="775" t="s">
        <v>16375</v>
      </c>
      <c r="E115" s="775" t="s">
        <v>16644</v>
      </c>
    </row>
    <row r="116" spans="1:5">
      <c r="D116" s="70">
        <v>20000112</v>
      </c>
      <c r="E116" s="70" t="s">
        <v>16645</v>
      </c>
    </row>
    <row r="117" spans="1:5">
      <c r="D117" s="70">
        <v>20000112</v>
      </c>
      <c r="E117" s="70" t="s">
        <v>16646</v>
      </c>
    </row>
    <row r="118" spans="1:5">
      <c r="D118" s="70">
        <v>20010403</v>
      </c>
      <c r="E118" s="70" t="s">
        <v>16647</v>
      </c>
    </row>
    <row r="119" spans="1:5">
      <c r="D119" s="70">
        <v>20010403</v>
      </c>
      <c r="E119" s="70" t="s">
        <v>16647</v>
      </c>
    </row>
    <row r="120" spans="1:5">
      <c r="D120" s="70">
        <v>20041100</v>
      </c>
      <c r="E120" s="77" t="s">
        <v>16648</v>
      </c>
    </row>
    <row r="121" spans="1:5">
      <c r="D121" s="70">
        <v>20041100</v>
      </c>
      <c r="E121" s="70" t="s">
        <v>16648</v>
      </c>
    </row>
    <row r="122" spans="1:5">
      <c r="D122" s="70">
        <v>20041101</v>
      </c>
      <c r="E122" s="70" t="s">
        <v>16649</v>
      </c>
    </row>
    <row r="123" spans="1:5">
      <c r="D123" s="70">
        <v>20041101</v>
      </c>
      <c r="E123" s="70" t="s">
        <v>16649</v>
      </c>
    </row>
    <row r="124" spans="1:5">
      <c r="D124" s="70">
        <v>20041218</v>
      </c>
      <c r="E124" s="70" t="s">
        <v>16650</v>
      </c>
    </row>
    <row r="125" spans="1:5">
      <c r="D125" s="70">
        <v>20041218</v>
      </c>
      <c r="E125" s="70" t="s">
        <v>16650</v>
      </c>
    </row>
    <row r="126" spans="1:5">
      <c r="D126" s="70">
        <v>20060301</v>
      </c>
      <c r="E126" s="70" t="s">
        <v>16651</v>
      </c>
    </row>
    <row r="127" spans="1:5">
      <c r="D127" s="70">
        <v>20060301</v>
      </c>
      <c r="E127" s="70" t="s">
        <v>16651</v>
      </c>
    </row>
    <row r="128" spans="1:5">
      <c r="D128" s="70">
        <v>20070814</v>
      </c>
      <c r="E128" s="70" t="s">
        <v>16652</v>
      </c>
    </row>
    <row r="129" spans="4:5">
      <c r="D129" s="70">
        <v>20070814</v>
      </c>
      <c r="E129" s="70" t="s">
        <v>16652</v>
      </c>
    </row>
    <row r="130" spans="4:5">
      <c r="D130" s="70">
        <v>20100900</v>
      </c>
      <c r="E130" s="70" t="s">
        <v>16653</v>
      </c>
    </row>
    <row r="131" spans="4:5">
      <c r="D131" s="70">
        <v>20100900</v>
      </c>
      <c r="E131" s="70" t="s">
        <v>16653</v>
      </c>
    </row>
    <row r="132" spans="4:5">
      <c r="D132" s="70">
        <v>20160300</v>
      </c>
      <c r="E132" s="70" t="s">
        <v>16654</v>
      </c>
    </row>
    <row r="133" spans="4:5">
      <c r="D133" s="70">
        <v>20170200</v>
      </c>
      <c r="E133" s="70" t="s">
        <v>16655</v>
      </c>
    </row>
    <row r="134" spans="4:5">
      <c r="D134" s="70">
        <v>20170300</v>
      </c>
      <c r="E134" s="70" t="s">
        <v>16656</v>
      </c>
    </row>
    <row r="135" spans="4:5">
      <c r="D135" s="70">
        <v>20170600</v>
      </c>
      <c r="E135" s="70" t="s">
        <v>16657</v>
      </c>
    </row>
    <row r="136" spans="4:5">
      <c r="D136" s="70">
        <v>20200800</v>
      </c>
      <c r="E136" s="70" t="s">
        <v>16658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E31" sqref="E31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5" width="17.25" style="2" customWidth="1"/>
    <col min="6" max="6" width="17.375" style="2" customWidth="1"/>
    <col min="7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16659</v>
      </c>
      <c r="D1" s="12" t="s">
        <v>16660</v>
      </c>
      <c r="E1" s="12" t="s">
        <v>16752</v>
      </c>
      <c r="F1"/>
      <c r="I1" s="109" t="s">
        <v>15</v>
      </c>
      <c r="J1" s="115">
        <v>20231231</v>
      </c>
      <c r="L1" s="279" t="s">
        <v>110</v>
      </c>
      <c r="M1" s="279" t="s">
        <v>17685</v>
      </c>
      <c r="N1" s="279" t="s">
        <v>17686</v>
      </c>
      <c r="O1" s="279" t="s">
        <v>17687</v>
      </c>
      <c r="P1" s="279"/>
      <c r="Q1" s="279"/>
      <c r="R1" s="279"/>
      <c r="S1" s="279"/>
    </row>
    <row r="2" spans="1:19">
      <c r="A2" s="1" t="s">
        <v>12</v>
      </c>
      <c r="B2" s="1" t="s">
        <v>2</v>
      </c>
      <c r="C2" s="12" t="s">
        <v>16661</v>
      </c>
      <c r="D2" s="2" t="s">
        <v>16662</v>
      </c>
      <c r="E2" s="18">
        <v>61913</v>
      </c>
      <c r="I2" s="209">
        <f>IF(E2=J2," ",E2-J2)</f>
        <v>-6442.8097240000061</v>
      </c>
      <c r="J2" s="101">
        <v>68355.809724000006</v>
      </c>
      <c r="K2" s="99"/>
      <c r="L2" s="280" t="s">
        <v>111</v>
      </c>
      <c r="M2" s="280" t="s">
        <v>17688</v>
      </c>
      <c r="N2" s="280" t="s">
        <v>17688</v>
      </c>
      <c r="O2" s="280" t="s">
        <v>17688</v>
      </c>
      <c r="P2" s="280"/>
      <c r="Q2" s="280"/>
      <c r="R2" s="280"/>
      <c r="S2" s="280"/>
    </row>
    <row r="3" spans="1:19">
      <c r="A3" s="1" t="s">
        <v>12</v>
      </c>
      <c r="B3" s="1" t="s">
        <v>2</v>
      </c>
      <c r="C3" s="12" t="s">
        <v>16663</v>
      </c>
      <c r="D3" s="2" t="s">
        <v>16664</v>
      </c>
      <c r="E3" s="18">
        <v>39048</v>
      </c>
      <c r="I3" s="209">
        <f t="shared" ref="I3:I39" si="0">IF(E3=J3," ",E3-J3)</f>
        <v>-6442.9115010000023</v>
      </c>
      <c r="J3" s="101">
        <v>45490.911501000002</v>
      </c>
      <c r="K3" s="99"/>
      <c r="L3" s="281" t="s">
        <v>112</v>
      </c>
      <c r="M3" s="282">
        <v>44729</v>
      </c>
      <c r="N3" s="282">
        <v>44756</v>
      </c>
      <c r="O3" s="282">
        <v>44756</v>
      </c>
      <c r="P3" s="282"/>
      <c r="Q3" s="282"/>
      <c r="R3" s="282"/>
      <c r="S3" s="282"/>
    </row>
    <row r="4" spans="1:19">
      <c r="A4" s="1" t="s">
        <v>12</v>
      </c>
      <c r="B4" s="1" t="s">
        <v>2</v>
      </c>
      <c r="C4" s="12" t="s">
        <v>16665</v>
      </c>
      <c r="D4" s="2" t="s">
        <v>16666</v>
      </c>
      <c r="E4" s="18">
        <v>22865</v>
      </c>
      <c r="I4" s="209">
        <f t="shared" si="0"/>
        <v>0.10177699999621836</v>
      </c>
      <c r="J4" s="101">
        <v>22864.898223000004</v>
      </c>
      <c r="K4" s="99"/>
      <c r="L4" s="281" t="s">
        <v>113</v>
      </c>
      <c r="M4" s="283">
        <v>8000100000</v>
      </c>
      <c r="N4" s="283">
        <v>3999375000</v>
      </c>
      <c r="O4" s="283">
        <v>999675000</v>
      </c>
      <c r="P4" s="283"/>
      <c r="Q4" s="283"/>
      <c r="R4" s="283"/>
      <c r="S4" s="283"/>
    </row>
    <row r="5" spans="1:19">
      <c r="A5" s="1" t="s">
        <v>104</v>
      </c>
      <c r="B5" s="1" t="s">
        <v>16667</v>
      </c>
      <c r="C5" s="12" t="s">
        <v>16668</v>
      </c>
      <c r="D5" s="2" t="s">
        <v>16669</v>
      </c>
      <c r="E5" s="22">
        <f>E3/E4*100</f>
        <v>170.77629564837088</v>
      </c>
      <c r="F5" s="205"/>
      <c r="I5" s="209">
        <f t="shared" si="0"/>
        <v>-28.178937203880764</v>
      </c>
      <c r="J5" s="110">
        <v>198.95523285225164</v>
      </c>
      <c r="K5" s="99"/>
      <c r="L5" s="281" t="s">
        <v>114</v>
      </c>
      <c r="M5" s="284">
        <v>11852</v>
      </c>
      <c r="N5" s="284">
        <v>5925</v>
      </c>
      <c r="O5" s="284">
        <v>1481</v>
      </c>
      <c r="P5" s="284"/>
      <c r="Q5" s="284"/>
      <c r="R5" s="284"/>
      <c r="S5" s="284"/>
    </row>
    <row r="6" spans="1:19">
      <c r="A6" s="1" t="s">
        <v>12</v>
      </c>
      <c r="B6" s="1" t="s">
        <v>16670</v>
      </c>
      <c r="C6" s="12" t="s">
        <v>16671</v>
      </c>
      <c r="D6" s="2" t="s">
        <v>16672</v>
      </c>
      <c r="E6" s="258">
        <v>5900</v>
      </c>
      <c r="I6" s="209">
        <f t="shared" si="0"/>
        <v>-3230</v>
      </c>
      <c r="J6" s="90">
        <v>9130</v>
      </c>
      <c r="K6" s="99"/>
      <c r="L6" s="280" t="s">
        <v>115</v>
      </c>
      <c r="M6" s="285">
        <v>675000</v>
      </c>
      <c r="N6" s="285">
        <v>675000</v>
      </c>
      <c r="O6" s="285">
        <v>675000</v>
      </c>
      <c r="P6" s="285" t="str">
        <f t="shared" ref="N6:S6" si="1">IFERROR(P4/P5,"")</f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12</v>
      </c>
      <c r="B7" s="1" t="s">
        <v>2</v>
      </c>
      <c r="C7" s="12" t="s">
        <v>16673</v>
      </c>
      <c r="D7" s="2" t="s">
        <v>16674</v>
      </c>
      <c r="E7" s="258">
        <v>16417</v>
      </c>
      <c r="I7" s="209">
        <f t="shared" si="0"/>
        <v>-832.58983100000114</v>
      </c>
      <c r="J7" s="90">
        <v>17249.589831000001</v>
      </c>
      <c r="K7" s="99"/>
      <c r="L7" s="99"/>
      <c r="M7" s="99"/>
      <c r="N7" s="99"/>
    </row>
    <row r="8" spans="1:19">
      <c r="A8" s="1" t="s">
        <v>12</v>
      </c>
      <c r="B8" s="1" t="s">
        <v>16670</v>
      </c>
      <c r="C8" s="12" t="s">
        <v>16675</v>
      </c>
      <c r="D8" s="2" t="s">
        <v>16676</v>
      </c>
      <c r="E8" s="258"/>
      <c r="I8" s="209" t="str">
        <f t="shared" si="0"/>
        <v xml:space="preserve"> </v>
      </c>
      <c r="J8" s="90"/>
      <c r="K8" s="99"/>
    </row>
    <row r="9" spans="1:19">
      <c r="A9" s="1" t="s">
        <v>12</v>
      </c>
      <c r="B9" s="1" t="s">
        <v>2</v>
      </c>
      <c r="C9" s="12" t="s">
        <v>16677</v>
      </c>
      <c r="D9" s="2" t="s">
        <v>16678</v>
      </c>
      <c r="E9" s="258">
        <v>13459</v>
      </c>
      <c r="I9" s="209">
        <f t="shared" si="0"/>
        <v>-1807.8199999999997</v>
      </c>
      <c r="J9" s="90">
        <v>15266.82</v>
      </c>
      <c r="K9" s="99"/>
      <c r="L9" s="268" t="s">
        <v>16319</v>
      </c>
      <c r="M9" s="269" t="s">
        <v>89</v>
      </c>
      <c r="N9" s="269" t="s">
        <v>90</v>
      </c>
      <c r="O9" s="269" t="s">
        <v>91</v>
      </c>
      <c r="P9" s="269" t="s">
        <v>92</v>
      </c>
      <c r="Q9" s="269" t="s">
        <v>93</v>
      </c>
    </row>
    <row r="10" spans="1:19">
      <c r="A10" s="1" t="s">
        <v>12</v>
      </c>
      <c r="B10" s="1" t="s">
        <v>2</v>
      </c>
      <c r="C10" s="12" t="s">
        <v>16679</v>
      </c>
      <c r="D10" s="2" t="s">
        <v>16680</v>
      </c>
      <c r="E10" s="259"/>
      <c r="I10" s="209" t="str">
        <f t="shared" si="0"/>
        <v xml:space="preserve"> </v>
      </c>
      <c r="J10" s="91"/>
      <c r="K10" s="99"/>
      <c r="L10" s="205" t="s">
        <v>88</v>
      </c>
      <c r="M10" s="270" t="s">
        <v>94</v>
      </c>
      <c r="N10" s="205">
        <v>3.5</v>
      </c>
      <c r="O10" s="205">
        <v>3.64</v>
      </c>
      <c r="P10" s="205">
        <v>3.8</v>
      </c>
      <c r="Q10" s="271">
        <v>4.29</v>
      </c>
    </row>
    <row r="11" spans="1:19">
      <c r="A11" s="1" t="s">
        <v>12</v>
      </c>
      <c r="B11" s="1" t="s">
        <v>11</v>
      </c>
      <c r="C11" s="12" t="s">
        <v>16681</v>
      </c>
      <c r="D11" s="3" t="s">
        <v>16682</v>
      </c>
      <c r="E11" s="258"/>
      <c r="I11" s="209" t="str">
        <f t="shared" si="0"/>
        <v xml:space="preserve"> </v>
      </c>
      <c r="J11" s="90"/>
      <c r="K11" s="99"/>
      <c r="L11" s="205" t="s">
        <v>88</v>
      </c>
      <c r="M11" s="270" t="s">
        <v>95</v>
      </c>
      <c r="N11" s="205">
        <v>3.69</v>
      </c>
      <c r="O11" s="205">
        <v>3.81</v>
      </c>
      <c r="P11" s="205">
        <v>4.0599999999999996</v>
      </c>
      <c r="Q11" s="271">
        <v>4.71</v>
      </c>
    </row>
    <row r="12" spans="1:19">
      <c r="A12" s="1" t="s">
        <v>104</v>
      </c>
      <c r="B12" s="1" t="s">
        <v>16683</v>
      </c>
      <c r="C12" s="12" t="s">
        <v>16684</v>
      </c>
      <c r="D12" s="2" t="s">
        <v>16685</v>
      </c>
      <c r="E12" s="26">
        <f>SUM(E6:E11)</f>
        <v>35776</v>
      </c>
      <c r="F12" s="256">
        <f>100*E12/E4</f>
        <v>156.46621473868359</v>
      </c>
      <c r="G12" s="155" t="s">
        <v>68</v>
      </c>
      <c r="I12" s="209">
        <f t="shared" si="0"/>
        <v>-5870.4098309999972</v>
      </c>
      <c r="J12" s="147">
        <v>41646.409830999997</v>
      </c>
      <c r="K12" s="99"/>
      <c r="L12" s="205" t="s">
        <v>88</v>
      </c>
      <c r="M12" s="270" t="s">
        <v>96</v>
      </c>
      <c r="N12" s="205">
        <v>3.95</v>
      </c>
      <c r="O12" s="205">
        <v>4.13</v>
      </c>
      <c r="P12" s="205">
        <v>4.51</v>
      </c>
      <c r="Q12" s="271">
        <v>5.26</v>
      </c>
    </row>
    <row r="13" spans="1:19">
      <c r="A13" s="1" t="s">
        <v>12</v>
      </c>
      <c r="B13" s="1" t="s">
        <v>2</v>
      </c>
      <c r="C13" s="12" t="s">
        <v>16686</v>
      </c>
      <c r="D13" s="100" t="s">
        <v>16687</v>
      </c>
      <c r="E13" s="90">
        <v>326</v>
      </c>
      <c r="F13" s="99"/>
      <c r="G13" s="224"/>
      <c r="I13" s="209">
        <f t="shared" si="0"/>
        <v>326</v>
      </c>
      <c r="J13" s="90">
        <v>0</v>
      </c>
      <c r="K13" s="99"/>
      <c r="L13" s="205" t="s">
        <v>88</v>
      </c>
      <c r="M13" s="270" t="s">
        <v>97</v>
      </c>
      <c r="N13" s="205">
        <v>5.14</v>
      </c>
      <c r="O13" s="205">
        <v>6.23</v>
      </c>
      <c r="P13" s="205">
        <v>6.86</v>
      </c>
      <c r="Q13" s="271">
        <v>7.22</v>
      </c>
    </row>
    <row r="14" spans="1:19">
      <c r="A14" s="1" t="s">
        <v>12</v>
      </c>
      <c r="B14" s="1" t="s">
        <v>16670</v>
      </c>
      <c r="C14" s="12" t="s">
        <v>16688</v>
      </c>
      <c r="D14" s="2" t="s">
        <v>16689</v>
      </c>
      <c r="E14" s="19">
        <f>E4-E13</f>
        <v>22539</v>
      </c>
      <c r="F14" s="205"/>
      <c r="G14" s="96"/>
      <c r="H14" s="96"/>
      <c r="I14" s="209">
        <f t="shared" si="0"/>
        <v>-325.89822300000378</v>
      </c>
      <c r="J14" s="111">
        <v>22864.898223000004</v>
      </c>
      <c r="K14" s="99"/>
      <c r="L14" s="205" t="s">
        <v>88</v>
      </c>
      <c r="M14" s="270" t="s">
        <v>98</v>
      </c>
      <c r="N14" s="205">
        <v>5.81</v>
      </c>
      <c r="O14" s="205">
        <v>7.18</v>
      </c>
      <c r="P14" s="205">
        <v>7.89</v>
      </c>
      <c r="Q14" s="271">
        <v>8.27</v>
      </c>
    </row>
    <row r="15" spans="1:19">
      <c r="A15" s="1" t="s">
        <v>104</v>
      </c>
      <c r="B15" s="1" t="s">
        <v>2</v>
      </c>
      <c r="C15" s="12" t="s">
        <v>16690</v>
      </c>
      <c r="D15" s="2" t="s">
        <v>16691</v>
      </c>
      <c r="E15" s="19">
        <f>E13+E14+E12</f>
        <v>58641</v>
      </c>
      <c r="F15" s="77"/>
      <c r="G15" s="96"/>
      <c r="H15" s="96"/>
      <c r="I15" s="209">
        <f t="shared" si="0"/>
        <v>-5870.308054000001</v>
      </c>
      <c r="J15" s="111">
        <v>64511.308054000001</v>
      </c>
      <c r="K15" s="99"/>
      <c r="L15" s="205" t="s">
        <v>88</v>
      </c>
      <c r="M15" s="270" t="s">
        <v>99</v>
      </c>
      <c r="N15" s="205">
        <v>6.81</v>
      </c>
      <c r="O15" s="205">
        <v>8.35</v>
      </c>
      <c r="P15" s="205">
        <v>9.26</v>
      </c>
      <c r="Q15" s="271">
        <v>9.69</v>
      </c>
    </row>
    <row r="16" spans="1:19">
      <c r="A16" s="1" t="s">
        <v>12</v>
      </c>
      <c r="B16" s="1" t="s">
        <v>16692</v>
      </c>
      <c r="C16" s="12" t="s">
        <v>16693</v>
      </c>
      <c r="D16" s="2" t="s">
        <v>16694</v>
      </c>
      <c r="E16" s="18">
        <v>42743</v>
      </c>
      <c r="F16" s="292"/>
      <c r="G16" s="96"/>
      <c r="H16" s="96"/>
      <c r="I16" s="209">
        <f t="shared" si="0"/>
        <v>-32588</v>
      </c>
      <c r="J16" s="101">
        <v>75331</v>
      </c>
      <c r="K16" s="99"/>
      <c r="L16" s="205" t="s">
        <v>88</v>
      </c>
      <c r="M16" s="270" t="s">
        <v>100</v>
      </c>
      <c r="N16" s="205">
        <v>8.89</v>
      </c>
      <c r="O16" s="205">
        <v>10.33</v>
      </c>
      <c r="P16" s="205">
        <v>11.54</v>
      </c>
      <c r="Q16" s="271">
        <v>12.21</v>
      </c>
    </row>
    <row r="17" spans="1:17">
      <c r="A17" s="1" t="s">
        <v>12</v>
      </c>
      <c r="B17" s="1" t="s">
        <v>2</v>
      </c>
      <c r="C17" s="12" t="s">
        <v>16695</v>
      </c>
      <c r="D17" s="60" t="s">
        <v>16696</v>
      </c>
      <c r="F17" s="205"/>
      <c r="G17" s="96"/>
      <c r="H17" s="96"/>
      <c r="I17" s="209" t="str">
        <f t="shared" si="0"/>
        <v xml:space="preserve"> </v>
      </c>
      <c r="J17" s="99"/>
      <c r="K17" s="99"/>
      <c r="L17" s="205" t="s">
        <v>88</v>
      </c>
      <c r="M17" s="270" t="s">
        <v>101</v>
      </c>
      <c r="N17" s="205">
        <v>9.73</v>
      </c>
      <c r="O17" s="205">
        <v>11.25</v>
      </c>
      <c r="P17" s="205">
        <v>12.94</v>
      </c>
      <c r="Q17" s="271">
        <v>13.31</v>
      </c>
    </row>
    <row r="18" spans="1:17">
      <c r="A18" s="1" t="s">
        <v>16697</v>
      </c>
      <c r="B18" s="1" t="s">
        <v>16698</v>
      </c>
      <c r="C18" s="12" t="s">
        <v>16699</v>
      </c>
      <c r="D18" s="8" t="s">
        <v>16700</v>
      </c>
      <c r="E18" s="20">
        <f>E16-E17</f>
        <v>42743</v>
      </c>
      <c r="F18" s="205"/>
      <c r="G18" s="96"/>
      <c r="H18" s="96"/>
      <c r="I18" s="209">
        <f t="shared" si="0"/>
        <v>-32588</v>
      </c>
      <c r="J18" s="112">
        <v>75331</v>
      </c>
      <c r="K18" s="99"/>
      <c r="L18" s="205" t="s">
        <v>88</v>
      </c>
      <c r="M18" s="270" t="s">
        <v>102</v>
      </c>
      <c r="N18" s="205">
        <v>10.87</v>
      </c>
      <c r="O18" s="205">
        <v>12.51</v>
      </c>
      <c r="P18" s="205">
        <v>14.19</v>
      </c>
      <c r="Q18" s="271">
        <v>14.54</v>
      </c>
    </row>
    <row r="19" spans="1:17">
      <c r="A19" s="1" t="s">
        <v>12</v>
      </c>
      <c r="B19" s="1" t="s">
        <v>16701</v>
      </c>
      <c r="C19" s="12" t="s">
        <v>16702</v>
      </c>
      <c r="D19" s="2" t="s">
        <v>16703</v>
      </c>
      <c r="E19" s="22">
        <f>E12/E15*100</f>
        <v>61.008509404682734</v>
      </c>
      <c r="F19" s="257">
        <f ca="1">100-F21</f>
        <v>29.809405562424772</v>
      </c>
      <c r="G19" s="96"/>
      <c r="H19" s="96"/>
      <c r="I19" s="216">
        <f t="shared" si="0"/>
        <v>-3.5482498477251525</v>
      </c>
      <c r="J19" s="110">
        <v>64.556759252407886</v>
      </c>
      <c r="K19" s="99"/>
      <c r="L19" s="205" t="s">
        <v>88</v>
      </c>
      <c r="M19" s="270" t="s">
        <v>103</v>
      </c>
      <c r="N19" s="205">
        <v>12.96</v>
      </c>
      <c r="O19" s="205">
        <v>14.49</v>
      </c>
      <c r="P19" s="205">
        <v>16.12</v>
      </c>
      <c r="Q19" s="271">
        <v>16.850000000000001</v>
      </c>
    </row>
    <row r="20" spans="1:17">
      <c r="A20" s="1" t="s">
        <v>12</v>
      </c>
      <c r="B20" s="1" t="s">
        <v>16667</v>
      </c>
      <c r="C20" s="12" t="s">
        <v>16704</v>
      </c>
      <c r="D20" s="2" t="s">
        <v>16705</v>
      </c>
      <c r="E20"/>
      <c r="F20" s="205"/>
      <c r="G20" s="96"/>
      <c r="H20" s="96"/>
      <c r="I20" s="216" t="str">
        <f t="shared" si="0"/>
        <v xml:space="preserve"> </v>
      </c>
      <c r="J20" s="110"/>
      <c r="K20" s="99"/>
      <c r="L20" s="205" t="s">
        <v>88</v>
      </c>
      <c r="M20" s="270" t="s">
        <v>104</v>
      </c>
      <c r="N20" s="205">
        <v>14.66</v>
      </c>
      <c r="O20" s="205">
        <v>16.239999999999998</v>
      </c>
      <c r="P20" s="205">
        <v>17.63</v>
      </c>
      <c r="Q20" s="271">
        <v>18.57</v>
      </c>
    </row>
    <row r="21" spans="1:17">
      <c r="A21" s="1" t="s">
        <v>12</v>
      </c>
      <c r="B21" s="1" t="s">
        <v>3</v>
      </c>
      <c r="C21" s="12" t="s">
        <v>16706</v>
      </c>
      <c r="D21" s="60" t="s">
        <v>16707</v>
      </c>
      <c r="E21" s="22">
        <f>E14/$E$15*100</f>
        <v>38.435565559932471</v>
      </c>
      <c r="F21" s="257">
        <f ca="1">100*(1/(1+E26/100))</f>
        <v>70.190594437575228</v>
      </c>
      <c r="G21" s="96"/>
      <c r="H21" s="96"/>
      <c r="I21" s="216">
        <f t="shared" si="0"/>
        <v>2.9923248123403496</v>
      </c>
      <c r="J21" s="110">
        <v>35.443240747592121</v>
      </c>
      <c r="K21" s="99"/>
      <c r="L21" s="272" t="s">
        <v>88</v>
      </c>
      <c r="M21" s="273" t="s">
        <v>105</v>
      </c>
      <c r="N21" s="272">
        <v>15.75</v>
      </c>
      <c r="O21" s="272">
        <v>17.489999999999998</v>
      </c>
      <c r="P21" s="272">
        <v>18.95</v>
      </c>
      <c r="Q21" s="274">
        <v>19.79</v>
      </c>
    </row>
    <row r="22" spans="1:17">
      <c r="A22" s="1" t="s">
        <v>4</v>
      </c>
      <c r="B22" s="1" t="s">
        <v>16708</v>
      </c>
      <c r="C22" s="12" t="s">
        <v>16709</v>
      </c>
      <c r="D22" s="8" t="s">
        <v>16710</v>
      </c>
      <c r="E22" s="21">
        <f>RATE!F7</f>
        <v>3.35</v>
      </c>
      <c r="F22" s="293"/>
      <c r="G22" s="157"/>
      <c r="H22" s="96"/>
      <c r="I22" s="216">
        <f t="shared" si="0"/>
        <v>-0.23999999999999977</v>
      </c>
      <c r="J22" s="152">
        <v>3.59</v>
      </c>
      <c r="K22" s="99"/>
      <c r="L22" s="205" t="s">
        <v>106</v>
      </c>
      <c r="M22" s="270" t="s">
        <v>94</v>
      </c>
      <c r="N22" s="205">
        <v>3.79</v>
      </c>
      <c r="O22" s="205">
        <v>3.96</v>
      </c>
      <c r="P22" s="205">
        <v>4.17</v>
      </c>
      <c r="Q22" s="271">
        <v>4.66</v>
      </c>
    </row>
    <row r="23" spans="1:17">
      <c r="A23" s="1" t="s">
        <v>16711</v>
      </c>
      <c r="B23" s="1" t="s">
        <v>3</v>
      </c>
      <c r="C23" s="12" t="s">
        <v>16712</v>
      </c>
      <c r="D23" s="8" t="s">
        <v>16713</v>
      </c>
      <c r="E23" s="21">
        <f>RATE!F8</f>
        <v>11.97</v>
      </c>
      <c r="F23" s="294"/>
      <c r="G23" s="295"/>
      <c r="H23" s="96"/>
      <c r="I23" s="216">
        <f t="shared" si="0"/>
        <v>0.28000000000000114</v>
      </c>
      <c r="J23" s="152">
        <v>11.69</v>
      </c>
      <c r="K23" s="99"/>
      <c r="L23" s="205" t="s">
        <v>106</v>
      </c>
      <c r="M23" s="270" t="s">
        <v>95</v>
      </c>
      <c r="N23" s="205">
        <v>4.01</v>
      </c>
      <c r="O23" s="205">
        <v>4.17</v>
      </c>
      <c r="P23" s="205">
        <v>4.47</v>
      </c>
      <c r="Q23" s="271">
        <v>5.15</v>
      </c>
    </row>
    <row r="24" spans="1:17">
      <c r="A24" s="1" t="s">
        <v>4</v>
      </c>
      <c r="B24" s="1" t="s">
        <v>16714</v>
      </c>
      <c r="C24" s="12" t="s">
        <v>16715</v>
      </c>
      <c r="D24" s="8" t="s">
        <v>16716</v>
      </c>
      <c r="E24" s="63">
        <f ca="1">Bloomberg!K6</f>
        <v>1.0193999999999999</v>
      </c>
      <c r="F24" s="294"/>
      <c r="G24" s="295"/>
      <c r="H24" s="96"/>
      <c r="I24" s="216">
        <f t="shared" ca="1" si="0"/>
        <v>-1.1200000000000321E-2</v>
      </c>
      <c r="J24" s="153">
        <v>1.0306000000000002</v>
      </c>
      <c r="K24" s="99"/>
      <c r="L24" s="205" t="s">
        <v>106</v>
      </c>
      <c r="M24" s="270" t="s">
        <v>96</v>
      </c>
      <c r="N24" s="205">
        <v>4.3600000000000003</v>
      </c>
      <c r="O24" s="205">
        <v>4.55</v>
      </c>
      <c r="P24" s="205">
        <v>4.99</v>
      </c>
      <c r="Q24" s="271">
        <v>5.74</v>
      </c>
    </row>
    <row r="25" spans="1:17">
      <c r="A25" s="1" t="s">
        <v>4</v>
      </c>
      <c r="B25" s="1" t="s">
        <v>16717</v>
      </c>
      <c r="C25" s="12" t="s">
        <v>16718</v>
      </c>
      <c r="D25" s="8" t="s">
        <v>16719</v>
      </c>
      <c r="E25" s="63"/>
      <c r="F25" s="294"/>
      <c r="G25" s="296"/>
      <c r="H25" s="205"/>
      <c r="I25" s="216" t="str">
        <f t="shared" si="0"/>
        <v xml:space="preserve"> </v>
      </c>
      <c r="J25" s="153"/>
      <c r="K25" s="99"/>
      <c r="L25" s="205" t="s">
        <v>106</v>
      </c>
      <c r="M25" s="270" t="s">
        <v>97</v>
      </c>
      <c r="N25" s="205">
        <v>5.71</v>
      </c>
      <c r="O25" s="205">
        <v>6.75</v>
      </c>
      <c r="P25" s="205">
        <v>7.47</v>
      </c>
      <c r="Q25" s="271">
        <v>7.86</v>
      </c>
    </row>
    <row r="26" spans="1:17">
      <c r="A26" s="1" t="s">
        <v>16720</v>
      </c>
      <c r="B26" s="1" t="s">
        <v>16721</v>
      </c>
      <c r="C26" s="12" t="s">
        <v>16722</v>
      </c>
      <c r="D26" s="8" t="s">
        <v>16723</v>
      </c>
      <c r="E26" s="21">
        <f ca="1">Bloomberg!L6</f>
        <v>42.469230815442231</v>
      </c>
      <c r="F26" s="294"/>
      <c r="G26" s="296"/>
      <c r="H26" s="205"/>
      <c r="I26" s="216">
        <f t="shared" ca="1" si="0"/>
        <v>13.037755521211302</v>
      </c>
      <c r="J26" s="152">
        <v>29.431475294230928</v>
      </c>
      <c r="K26" s="99"/>
      <c r="L26" s="205" t="s">
        <v>106</v>
      </c>
      <c r="M26" s="270" t="s">
        <v>98</v>
      </c>
      <c r="N26" s="205">
        <v>6.49</v>
      </c>
      <c r="O26" s="205">
        <v>7.81</v>
      </c>
      <c r="P26" s="205">
        <v>8.61</v>
      </c>
      <c r="Q26" s="271">
        <v>9.06</v>
      </c>
    </row>
    <row r="27" spans="1:17">
      <c r="A27" s="1" t="s">
        <v>104</v>
      </c>
      <c r="B27" s="1" t="s">
        <v>16721</v>
      </c>
      <c r="C27" s="12" t="s">
        <v>16724</v>
      </c>
      <c r="D27" s="60" t="s">
        <v>16725</v>
      </c>
      <c r="E27" s="22">
        <f ca="1">E24/(1+E26/100*(1-E30/100))</f>
        <v>0.71552291969664172</v>
      </c>
      <c r="F27" s="297"/>
      <c r="G27" s="297"/>
      <c r="H27" s="96"/>
      <c r="I27" s="216">
        <f t="shared" ca="1" si="0"/>
        <v>-0.12487211505067253</v>
      </c>
      <c r="J27" s="22">
        <v>0.84039503474731425</v>
      </c>
      <c r="K27" s="99"/>
      <c r="L27" s="205" t="s">
        <v>106</v>
      </c>
      <c r="M27" s="270" t="s">
        <v>99</v>
      </c>
      <c r="N27" s="205">
        <v>7.5</v>
      </c>
      <c r="O27" s="205">
        <v>9.1</v>
      </c>
      <c r="P27" s="205">
        <v>10.1</v>
      </c>
      <c r="Q27" s="271">
        <v>10.55</v>
      </c>
    </row>
    <row r="28" spans="1:17">
      <c r="A28" s="1" t="s">
        <v>104</v>
      </c>
      <c r="B28" s="1" t="s">
        <v>16726</v>
      </c>
      <c r="C28" s="12" t="s">
        <v>16727</v>
      </c>
      <c r="D28" s="60" t="s">
        <v>16728</v>
      </c>
      <c r="E28" s="257">
        <f ca="1">Bloomberg!Q6</f>
        <v>1.9241585348497039</v>
      </c>
      <c r="F28" s="257">
        <f ca="1">Bloomberg!R6</f>
        <v>1.0688869358731061</v>
      </c>
      <c r="G28"/>
      <c r="H28" s="205"/>
      <c r="I28" s="216">
        <f t="shared" ca="1" si="0"/>
        <v>-0.11086903309397522</v>
      </c>
      <c r="J28" s="22">
        <v>2.0350275679436791</v>
      </c>
      <c r="K28" s="99"/>
      <c r="L28" s="205" t="s">
        <v>106</v>
      </c>
      <c r="M28" s="270" t="s">
        <v>100</v>
      </c>
      <c r="N28" s="205">
        <v>9.4700000000000006</v>
      </c>
      <c r="O28" s="205">
        <v>11.13</v>
      </c>
      <c r="P28" s="205">
        <v>12.45</v>
      </c>
      <c r="Q28" s="271">
        <v>13.12</v>
      </c>
    </row>
    <row r="29" spans="1:17">
      <c r="A29" s="1" t="s">
        <v>16729</v>
      </c>
      <c r="B29" s="1" t="s">
        <v>16708</v>
      </c>
      <c r="C29" s="12" t="s">
        <v>16730</v>
      </c>
      <c r="D29" s="8" t="s">
        <v>16731</v>
      </c>
      <c r="E29" s="23"/>
      <c r="F29" s="291"/>
      <c r="G29" s="93"/>
      <c r="H29" s="93"/>
      <c r="I29" s="216" t="str">
        <f t="shared" si="0"/>
        <v xml:space="preserve"> </v>
      </c>
      <c r="J29" s="149"/>
      <c r="K29" s="99"/>
      <c r="L29" s="205" t="s">
        <v>106</v>
      </c>
      <c r="M29" s="270" t="s">
        <v>101</v>
      </c>
      <c r="N29" s="205">
        <v>10.49</v>
      </c>
      <c r="O29" s="205">
        <v>12.08</v>
      </c>
      <c r="P29" s="205">
        <v>13.83</v>
      </c>
      <c r="Q29" s="271">
        <v>14.22</v>
      </c>
    </row>
    <row r="30" spans="1:17" ht="17.25" thickBot="1">
      <c r="A30" s="1" t="s">
        <v>12</v>
      </c>
      <c r="B30" s="1" t="s">
        <v>16732</v>
      </c>
      <c r="C30" s="12" t="s">
        <v>16733</v>
      </c>
      <c r="D30" s="61" t="s">
        <v>16734</v>
      </c>
      <c r="E30" s="27">
        <f ca="1">FCF추정!K10</f>
        <v>0</v>
      </c>
      <c r="F30" s="225">
        <v>2029</v>
      </c>
      <c r="G30" s="154" t="s">
        <v>16</v>
      </c>
      <c r="H30" s="96"/>
      <c r="I30" s="216">
        <f t="shared" ca="1" si="0"/>
        <v>-23.1</v>
      </c>
      <c r="J30" s="150">
        <v>23.1</v>
      </c>
      <c r="K30" s="99"/>
      <c r="L30" s="205" t="s">
        <v>106</v>
      </c>
      <c r="M30" s="270" t="s">
        <v>102</v>
      </c>
      <c r="N30" s="205">
        <v>11.65</v>
      </c>
      <c r="O30" s="205">
        <v>13.37</v>
      </c>
      <c r="P30" s="205">
        <v>15.11</v>
      </c>
      <c r="Q30" s="271">
        <v>15.52</v>
      </c>
    </row>
    <row r="31" spans="1:17" ht="17.25" thickBot="1">
      <c r="A31" s="1" t="s">
        <v>16711</v>
      </c>
      <c r="B31" s="1" t="s">
        <v>3</v>
      </c>
      <c r="C31" s="12" t="s">
        <v>16735</v>
      </c>
      <c r="D31" s="148" t="s">
        <v>16736</v>
      </c>
      <c r="E31" s="377">
        <f>Q27</f>
        <v>10.55</v>
      </c>
      <c r="F31" s="96"/>
      <c r="G31" s="215"/>
      <c r="H31" s="94"/>
      <c r="I31" s="216">
        <f t="shared" si="0"/>
        <v>-8.9999999999999858E-2</v>
      </c>
      <c r="J31" s="151">
        <v>10.64</v>
      </c>
      <c r="K31" s="99"/>
      <c r="L31" s="205" t="s">
        <v>106</v>
      </c>
      <c r="M31" s="270" t="s">
        <v>103</v>
      </c>
      <c r="N31" s="205">
        <v>13.74</v>
      </c>
      <c r="O31" s="205">
        <v>15.32</v>
      </c>
      <c r="P31" s="205">
        <v>17.05</v>
      </c>
      <c r="Q31" s="271">
        <v>17.84</v>
      </c>
    </row>
    <row r="32" spans="1:17">
      <c r="A32" s="1" t="s">
        <v>12</v>
      </c>
      <c r="B32" s="1" t="s">
        <v>3</v>
      </c>
      <c r="C32" s="12" t="s">
        <v>16737</v>
      </c>
      <c r="D32" s="2" t="s">
        <v>16738</v>
      </c>
      <c r="E32" s="22">
        <f ca="1">E31*(1-(E30/100))</f>
        <v>10.55</v>
      </c>
      <c r="F32" s="94"/>
      <c r="G32" s="99"/>
      <c r="H32" s="95"/>
      <c r="I32" s="216">
        <f t="shared" ca="1" si="0"/>
        <v>2.3678399999999993</v>
      </c>
      <c r="J32" s="22">
        <v>8.1821600000000014</v>
      </c>
      <c r="K32" s="99"/>
      <c r="L32" s="205" t="s">
        <v>106</v>
      </c>
      <c r="M32" s="270" t="s">
        <v>104</v>
      </c>
      <c r="N32" s="205">
        <v>15.46</v>
      </c>
      <c r="O32" s="205">
        <v>17.149999999999999</v>
      </c>
      <c r="P32" s="205">
        <v>18.59</v>
      </c>
      <c r="Q32" s="271">
        <v>19.559999999999999</v>
      </c>
    </row>
    <row r="33" spans="1:17">
      <c r="A33" s="1" t="s">
        <v>12</v>
      </c>
      <c r="B33" s="1" t="s">
        <v>3</v>
      </c>
      <c r="C33" s="12" t="s">
        <v>16739</v>
      </c>
      <c r="D33" s="2" t="s">
        <v>16740</v>
      </c>
      <c r="E33"/>
      <c r="F33" s="226"/>
      <c r="G33" s="154" t="s">
        <v>17</v>
      </c>
      <c r="H33" s="94"/>
      <c r="I33" s="216" t="str">
        <f t="shared" si="0"/>
        <v xml:space="preserve"> </v>
      </c>
      <c r="J33" s="22"/>
      <c r="K33" s="99"/>
      <c r="L33" s="205" t="s">
        <v>106</v>
      </c>
      <c r="M33" s="270" t="s">
        <v>105</v>
      </c>
      <c r="N33" s="205">
        <v>16.63</v>
      </c>
      <c r="O33" s="205">
        <v>18.43</v>
      </c>
      <c r="P33" s="205">
        <v>19.96</v>
      </c>
      <c r="Q33" s="271">
        <v>20.8</v>
      </c>
    </row>
    <row r="34" spans="1:17">
      <c r="A34" s="1" t="s">
        <v>12</v>
      </c>
      <c r="B34" s="1" t="s">
        <v>16726</v>
      </c>
      <c r="C34" s="12" t="s">
        <v>16741</v>
      </c>
      <c r="D34" s="2" t="s">
        <v>16742</v>
      </c>
      <c r="E34" s="257">
        <f ca="1">E22+E23*F28+E43</f>
        <v>18.144576622401082</v>
      </c>
      <c r="G34" s="645" t="str">
        <f ca="1">IF(E32&gt;E34,"자본비용역전","이상없음")</f>
        <v>이상없음</v>
      </c>
      <c r="H34" s="94"/>
      <c r="I34" s="216">
        <f t="shared" ca="1" si="0"/>
        <v>0.40224260638863285</v>
      </c>
      <c r="J34" s="110">
        <v>17.74233401601245</v>
      </c>
      <c r="K34" s="99"/>
      <c r="L34" s="205"/>
      <c r="M34" s="205"/>
      <c r="N34" s="205"/>
      <c r="O34" s="205"/>
      <c r="P34" s="205"/>
      <c r="Q34" s="205"/>
    </row>
    <row r="35" spans="1:17" ht="17.25" thickBot="1">
      <c r="A35" s="2" t="s">
        <v>16743</v>
      </c>
      <c r="B35" s="2" t="s">
        <v>16726</v>
      </c>
      <c r="C35" s="12" t="s">
        <v>16744</v>
      </c>
      <c r="D35" s="2" t="s">
        <v>16745</v>
      </c>
      <c r="E35" s="22">
        <f ca="1">(F19/100)*E32+(F21/100)*E34</f>
        <v>15.880678476280444</v>
      </c>
      <c r="G35" s="205"/>
      <c r="H35" s="99"/>
      <c r="I35" s="216">
        <f t="shared" ca="1" si="0"/>
        <v>0.31223628002197934</v>
      </c>
      <c r="J35" s="110">
        <v>15.568442196258465</v>
      </c>
      <c r="K35" s="99"/>
      <c r="L35" s="206" t="s">
        <v>107</v>
      </c>
      <c r="M35" s="205"/>
      <c r="N35" s="205"/>
      <c r="O35" s="205"/>
      <c r="P35" s="205"/>
      <c r="Q35" s="205"/>
    </row>
    <row r="36" spans="1:17">
      <c r="A36" s="2" t="s">
        <v>12</v>
      </c>
      <c r="B36" s="2" t="s">
        <v>16698</v>
      </c>
      <c r="C36" s="12" t="s">
        <v>16746</v>
      </c>
      <c r="D36" s="2" t="s">
        <v>16747</v>
      </c>
      <c r="E36" s="24">
        <f>E4</f>
        <v>22865</v>
      </c>
      <c r="G36" s="154" t="s">
        <v>18</v>
      </c>
      <c r="H36" s="99"/>
      <c r="I36" s="209">
        <f t="shared" si="0"/>
        <v>0.10177699999621836</v>
      </c>
      <c r="J36" s="187">
        <v>22864.898223000004</v>
      </c>
      <c r="K36" s="99"/>
      <c r="L36" s="275" t="s">
        <v>108</v>
      </c>
      <c r="M36" s="276"/>
      <c r="N36" s="205"/>
      <c r="O36" s="205"/>
      <c r="P36" s="205"/>
      <c r="Q36" s="205"/>
    </row>
    <row r="37" spans="1:17" ht="17.25" thickBot="1">
      <c r="A37" s="2" t="s">
        <v>12</v>
      </c>
      <c r="B37" s="2" t="s">
        <v>16698</v>
      </c>
      <c r="C37" s="12" t="s">
        <v>16748</v>
      </c>
      <c r="D37" s="60" t="s">
        <v>16749</v>
      </c>
      <c r="E37" s="24">
        <f>E18</f>
        <v>42743</v>
      </c>
      <c r="F37"/>
      <c r="G37" s="645" t="str">
        <f>IF(E37=J37,"변동없음","주식수변동")</f>
        <v>주식수변동</v>
      </c>
      <c r="H37" s="99"/>
      <c r="I37" s="209">
        <f t="shared" si="0"/>
        <v>-32588</v>
      </c>
      <c r="J37" s="187">
        <v>75331</v>
      </c>
      <c r="K37" s="99"/>
      <c r="L37" s="277" t="s">
        <v>109</v>
      </c>
      <c r="M37" s="278">
        <f>IS추정!H50</f>
        <v>1.5132408575031526</v>
      </c>
      <c r="N37" s="205"/>
      <c r="O37" s="205"/>
      <c r="P37" s="205"/>
      <c r="Q37" s="205"/>
    </row>
    <row r="38" spans="1:17">
      <c r="A38" s="2" t="s">
        <v>16697</v>
      </c>
      <c r="B38" s="2" t="s">
        <v>2</v>
      </c>
      <c r="C38" s="12" t="s">
        <v>16750</v>
      </c>
      <c r="D38" s="9" t="s">
        <v>16751</v>
      </c>
      <c r="E38" s="25">
        <f>E36*1000000/E37</f>
        <v>534941.39391245355</v>
      </c>
      <c r="F38" s="94"/>
      <c r="G38" s="205"/>
      <c r="H38" s="99"/>
      <c r="I38" s="209">
        <f t="shared" si="0"/>
        <v>231415.64457950956</v>
      </c>
      <c r="J38" s="113">
        <v>303525.74933294399</v>
      </c>
      <c r="K38" s="99"/>
      <c r="N38" s="205"/>
      <c r="O38" s="205"/>
      <c r="P38" s="205"/>
      <c r="Q38" s="205"/>
    </row>
    <row r="39" spans="1:17">
      <c r="C39" s="12"/>
      <c r="D39" s="144" t="s">
        <v>1</v>
      </c>
      <c r="E39" s="62">
        <f ca="1">+민감도!B7</f>
        <v>-3237369.4615647378</v>
      </c>
      <c r="F39" s="350">
        <f ca="1">IFERROR(E39/J39-1,"")</f>
        <v>-13.110442567424654</v>
      </c>
      <c r="G39" s="154" t="s">
        <v>19</v>
      </c>
      <c r="H39" s="99"/>
      <c r="I39" s="209">
        <f t="shared" ca="1" si="0"/>
        <v>-3504689.9532429525</v>
      </c>
      <c r="J39" s="201">
        <v>267320.49167821457</v>
      </c>
      <c r="K39" s="99"/>
      <c r="N39" s="205"/>
      <c r="O39" s="205"/>
      <c r="P39" s="205"/>
      <c r="Q39" s="205"/>
    </row>
    <row r="40" spans="1:17">
      <c r="G40" s="645" t="str">
        <f>IF(BS추정!H40&lt;0,"자본잠식","해당없음")</f>
        <v>자본잠식</v>
      </c>
    </row>
    <row r="41" spans="1:17">
      <c r="D41" s="97"/>
      <c r="E41" s="298" t="str">
        <f>IF(E43=0,"RP=0 경고","")</f>
        <v/>
      </c>
      <c r="F41" s="99"/>
    </row>
    <row r="42" spans="1:17">
      <c r="A42" s="14">
        <v>1</v>
      </c>
      <c r="C42" s="107" t="s">
        <v>16753</v>
      </c>
      <c r="D42" s="107" t="s">
        <v>16754</v>
      </c>
      <c r="E42" s="107" t="s">
        <v>16480</v>
      </c>
      <c r="F42" s="107"/>
      <c r="G42" s="99"/>
    </row>
    <row r="43" spans="1:17">
      <c r="A43" s="2" t="s">
        <v>12</v>
      </c>
      <c r="B43" s="2" t="s">
        <v>16361</v>
      </c>
      <c r="C43" s="107" t="s">
        <v>16755</v>
      </c>
      <c r="D43" s="205" t="s">
        <v>16756</v>
      </c>
      <c r="E43" s="286">
        <v>2</v>
      </c>
      <c r="F43" s="205"/>
      <c r="G43" s="99"/>
    </row>
    <row r="47" spans="1:17">
      <c r="D47" s="299" t="s">
        <v>121</v>
      </c>
      <c r="E47" s="299" t="s">
        <v>122</v>
      </c>
      <c r="H47"/>
    </row>
    <row r="48" spans="1:17">
      <c r="D48" s="300" t="s">
        <v>123</v>
      </c>
      <c r="E48" s="125" t="s">
        <v>693</v>
      </c>
      <c r="F48" s="667" t="s">
        <v>694</v>
      </c>
    </row>
    <row r="49" spans="3:23">
      <c r="D49" s="300" t="s">
        <v>124</v>
      </c>
      <c r="E49" s="125" t="s">
        <v>125</v>
      </c>
    </row>
    <row r="50" spans="3:23">
      <c r="D50" s="300" t="s">
        <v>126</v>
      </c>
      <c r="E50" s="125" t="s">
        <v>127</v>
      </c>
    </row>
    <row r="51" spans="3:23">
      <c r="D51" s="300" t="s">
        <v>128</v>
      </c>
      <c r="E51" s="125" t="s">
        <v>129</v>
      </c>
    </row>
    <row r="52" spans="3:23">
      <c r="D52" s="300" t="s">
        <v>130</v>
      </c>
      <c r="E52" s="125" t="s">
        <v>131</v>
      </c>
    </row>
    <row r="54" spans="3:23">
      <c r="D54"/>
      <c r="E54"/>
      <c r="F54"/>
      <c r="G54"/>
      <c r="H54" s="205"/>
      <c r="I54" s="205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5"/>
      <c r="I55" s="205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5"/>
      <c r="I56" s="205"/>
      <c r="J56" s="99"/>
      <c r="K56" s="99"/>
      <c r="L56" s="99"/>
    </row>
    <row r="57" spans="3:23">
      <c r="D57" s="99"/>
      <c r="E57" s="227">
        <f ca="1">E59/$G$59-1</f>
        <v>0</v>
      </c>
      <c r="F57" s="227">
        <f ca="1">F59/$G$59-1</f>
        <v>-1</v>
      </c>
      <c r="G57" s="227">
        <f t="shared" ref="G57:I57" ca="1" si="2">G59/G60-1</f>
        <v>-13.110442567424654</v>
      </c>
      <c r="H57" s="227">
        <f t="shared" si="2"/>
        <v>0.76242508284087851</v>
      </c>
      <c r="I57" s="227" t="e">
        <f t="shared" si="2"/>
        <v>#DIV/0!</v>
      </c>
    </row>
    <row r="58" spans="3:23">
      <c r="D58" s="156" t="s">
        <v>707</v>
      </c>
      <c r="E58" s="154" t="s">
        <v>63</v>
      </c>
      <c r="F58" s="154" t="s">
        <v>84</v>
      </c>
      <c r="G58" s="154" t="s">
        <v>64</v>
      </c>
      <c r="H58" s="154" t="s">
        <v>20</v>
      </c>
      <c r="I58" s="154" t="s">
        <v>54</v>
      </c>
      <c r="J58" s="154" t="s">
        <v>21</v>
      </c>
      <c r="K58" s="154" t="s">
        <v>22</v>
      </c>
      <c r="L58" s="99"/>
      <c r="M58" s="550" t="s">
        <v>229</v>
      </c>
      <c r="N58" s="550" t="s">
        <v>605</v>
      </c>
      <c r="O58" s="550" t="s">
        <v>606</v>
      </c>
      <c r="P58" s="550" t="s">
        <v>607</v>
      </c>
      <c r="Q58" s="550" t="s">
        <v>117</v>
      </c>
      <c r="R58" s="550" t="s">
        <v>118</v>
      </c>
      <c r="S58" s="550" t="s">
        <v>119</v>
      </c>
      <c r="T58" s="550" t="s">
        <v>120</v>
      </c>
      <c r="U58" s="551" t="s">
        <v>608</v>
      </c>
      <c r="V58" s="550" t="s">
        <v>609</v>
      </c>
      <c r="W58" s="551" t="s">
        <v>610</v>
      </c>
    </row>
    <row r="59" spans="3:23">
      <c r="C59" s="227"/>
      <c r="D59" s="553" t="str">
        <f>LEFT(평가기준일,10)</f>
        <v>2024-12-31</v>
      </c>
      <c r="E59" s="554">
        <f ca="1">E39</f>
        <v>-3237369.4615647378</v>
      </c>
      <c r="F59" s="554"/>
      <c r="G59" s="554">
        <f ca="1">AVERAGE(E59:F59)</f>
        <v>-3237369.4615647378</v>
      </c>
      <c r="H59" s="555">
        <f>E38</f>
        <v>534941.39391245355</v>
      </c>
      <c r="I59" s="554">
        <f>비용추정!H83</f>
        <v>-233628.89829913669</v>
      </c>
      <c r="J59" s="556">
        <f ca="1">G59/I59</f>
        <v>13.856887932671899</v>
      </c>
      <c r="K59" s="557">
        <f ca="1">G59/H59</f>
        <v>-6.0518208132806288</v>
      </c>
      <c r="L59" s="99"/>
      <c r="M59" s="558" t="str">
        <f>TRIM(COMPANY!E2)</f>
        <v>(주)미래세라텍</v>
      </c>
      <c r="N59" s="777" t="s">
        <v>17684</v>
      </c>
      <c r="O59" s="559" t="str">
        <f>LEFT(평가기준일,10)</f>
        <v>2024-12-31</v>
      </c>
      <c r="P59" s="560">
        <f ca="1">G59</f>
        <v>-3237369.4615647378</v>
      </c>
      <c r="Q59" s="561">
        <v>3</v>
      </c>
      <c r="R59" s="561"/>
      <c r="S59" s="561"/>
      <c r="T59" s="561"/>
      <c r="U59" s="561">
        <v>0</v>
      </c>
      <c r="V59" s="561"/>
      <c r="W59" s="562">
        <f>E18</f>
        <v>42743</v>
      </c>
    </row>
    <row r="60" spans="3:23">
      <c r="D60" s="202" t="s">
        <v>17667</v>
      </c>
      <c r="E60" s="250">
        <v>267320.49167821457</v>
      </c>
      <c r="F60" s="250"/>
      <c r="G60" s="251">
        <v>267320.49167821457</v>
      </c>
      <c r="H60" s="252">
        <v>303525.74933294399</v>
      </c>
      <c r="I60" s="250">
        <v>0</v>
      </c>
      <c r="J60" s="668"/>
      <c r="K60" s="669">
        <v>0.88071767309924309</v>
      </c>
      <c r="L60" s="99"/>
      <c r="M60" s="777" t="s">
        <v>17678</v>
      </c>
      <c r="N60" s="777" t="s">
        <v>17682</v>
      </c>
      <c r="O60" s="559" t="s">
        <v>17667</v>
      </c>
      <c r="P60" s="560">
        <v>267320.49167821457</v>
      </c>
      <c r="Q60" s="561">
        <v>3</v>
      </c>
      <c r="R60" s="561" t="s">
        <v>17683</v>
      </c>
      <c r="S60" s="561">
        <v>2</v>
      </c>
      <c r="T60" s="561">
        <v>24</v>
      </c>
      <c r="U60" s="561">
        <v>0</v>
      </c>
      <c r="V60" s="561" t="s">
        <v>17681</v>
      </c>
      <c r="W60" s="562">
        <v>75331</v>
      </c>
    </row>
    <row r="61" spans="3:23">
      <c r="D61" s="202" t="s">
        <v>17668</v>
      </c>
      <c r="E61" s="250">
        <v>288989.86720326438</v>
      </c>
      <c r="F61" s="250"/>
      <c r="G61" s="251">
        <v>288989.86720326438</v>
      </c>
      <c r="H61" s="252">
        <v>303525.74933294399</v>
      </c>
      <c r="I61" s="250">
        <v>0</v>
      </c>
      <c r="J61" s="668"/>
      <c r="K61" s="669">
        <v>0.95210988800250063</v>
      </c>
      <c r="L61" s="99"/>
      <c r="M61" s="645" t="s">
        <v>17678</v>
      </c>
      <c r="N61" s="645" t="s">
        <v>17679</v>
      </c>
      <c r="O61" s="287" t="s">
        <v>17668</v>
      </c>
      <c r="P61" s="288">
        <v>288989.86720326438</v>
      </c>
      <c r="Q61" s="289">
        <v>3</v>
      </c>
      <c r="R61" s="289" t="s">
        <v>17680</v>
      </c>
      <c r="S61" s="289">
        <v>2</v>
      </c>
      <c r="T61" s="289">
        <v>24</v>
      </c>
      <c r="U61" s="289">
        <v>0</v>
      </c>
      <c r="V61" s="289" t="s">
        <v>17681</v>
      </c>
      <c r="W61" s="290">
        <v>75331</v>
      </c>
    </row>
    <row r="62" spans="3:23">
      <c r="D62" s="202" t="s">
        <v>17669</v>
      </c>
      <c r="E62" s="250">
        <v>294312.67693632154</v>
      </c>
      <c r="F62" s="250">
        <v>678246.61</v>
      </c>
      <c r="G62" s="251">
        <v>294312.67693632154</v>
      </c>
      <c r="H62" s="252">
        <v>303525.74933294399</v>
      </c>
      <c r="I62" s="250">
        <v>0</v>
      </c>
      <c r="J62" s="668"/>
      <c r="K62" s="669">
        <v>0.96964648825719091</v>
      </c>
      <c r="L62" s="99"/>
      <c r="M62" s="645" t="s">
        <v>17678</v>
      </c>
      <c r="N62" s="645" t="s">
        <v>17679</v>
      </c>
      <c r="O62" s="287" t="s">
        <v>17669</v>
      </c>
      <c r="P62" s="288">
        <v>294312.67693632154</v>
      </c>
      <c r="Q62" s="289">
        <v>3</v>
      </c>
      <c r="R62" s="289" t="s">
        <v>17680</v>
      </c>
      <c r="S62" s="289">
        <v>2</v>
      </c>
      <c r="T62" s="289">
        <v>24</v>
      </c>
      <c r="U62" s="289">
        <v>0</v>
      </c>
      <c r="V62" s="289" t="s">
        <v>17681</v>
      </c>
      <c r="W62" s="290">
        <v>75331</v>
      </c>
    </row>
    <row r="63" spans="3:23">
      <c r="D63" s="202" t="s">
        <v>17670</v>
      </c>
      <c r="E63" s="250">
        <v>327619.70176748413</v>
      </c>
      <c r="F63" s="250">
        <v>649790.68999999994</v>
      </c>
      <c r="G63" s="251">
        <v>327619.70176748413</v>
      </c>
      <c r="H63" s="252">
        <v>432743.49205506366</v>
      </c>
      <c r="I63" s="250">
        <v>-47138.628187598733</v>
      </c>
      <c r="J63" s="668">
        <v>-6.9501322877629814</v>
      </c>
      <c r="K63" s="669">
        <v>0.75707597637493007</v>
      </c>
      <c r="L63" s="99"/>
      <c r="M63" s="645" t="s">
        <v>17678</v>
      </c>
      <c r="N63" s="645" t="s">
        <v>17679</v>
      </c>
      <c r="O63" s="287" t="s">
        <v>17670</v>
      </c>
      <c r="P63" s="288">
        <v>327619.70176748413</v>
      </c>
      <c r="Q63" s="289">
        <v>3</v>
      </c>
      <c r="R63" s="289" t="s">
        <v>17680</v>
      </c>
      <c r="S63" s="289">
        <v>2</v>
      </c>
      <c r="T63" s="289">
        <v>24</v>
      </c>
      <c r="U63" s="289">
        <v>0</v>
      </c>
      <c r="V63" s="289" t="s">
        <v>17681</v>
      </c>
      <c r="W63" s="290">
        <v>75331</v>
      </c>
    </row>
    <row r="64" spans="3:23">
      <c r="D64" s="202" t="s">
        <v>17671</v>
      </c>
      <c r="E64" s="250">
        <v>306179.05903295055</v>
      </c>
      <c r="F64" s="250">
        <v>608162.43000000005</v>
      </c>
      <c r="G64" s="251">
        <v>306179.05903295055</v>
      </c>
      <c r="H64" s="252">
        <v>432743.49205506366</v>
      </c>
      <c r="I64" s="250">
        <v>-47138.628187598733</v>
      </c>
      <c r="J64" s="668">
        <v>-6.4952899735317366</v>
      </c>
      <c r="K64" s="669">
        <v>0.70753012963622186</v>
      </c>
      <c r="L64" s="205"/>
      <c r="M64" s="552"/>
      <c r="N64" s="552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2" t="s">
        <v>17672</v>
      </c>
      <c r="E65" s="250">
        <v>423013.75057836517</v>
      </c>
      <c r="F65" s="250">
        <v>616399.78</v>
      </c>
      <c r="G65" s="251">
        <v>423013.75057836517</v>
      </c>
      <c r="H65" s="252">
        <v>432743.49205506366</v>
      </c>
      <c r="I65" s="250">
        <v>-47138.628187598733</v>
      </c>
      <c r="J65" s="668">
        <v>-8.9738239495406429</v>
      </c>
      <c r="K65" s="669">
        <v>0.9775161460418671</v>
      </c>
      <c r="L65" s="205"/>
      <c r="M65" s="552"/>
      <c r="N65" s="552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2" t="s">
        <v>17673</v>
      </c>
      <c r="E66" s="250">
        <v>400239.783295492</v>
      </c>
      <c r="F66" s="250">
        <v>591083.6</v>
      </c>
      <c r="G66" s="251">
        <v>400239.783295492</v>
      </c>
      <c r="H66" s="252">
        <v>432743.49205506366</v>
      </c>
      <c r="I66" s="250">
        <v>7632.979782559637</v>
      </c>
      <c r="J66" s="668">
        <v>52.43558802683949</v>
      </c>
      <c r="K66" s="669">
        <v>0.92488920259617491</v>
      </c>
      <c r="L66" s="205"/>
      <c r="M66" s="552"/>
      <c r="N66" s="552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2" t="s">
        <v>17674</v>
      </c>
      <c r="E67" s="250">
        <v>456486.55710807868</v>
      </c>
      <c r="F67" s="250">
        <v>570178.18000000005</v>
      </c>
      <c r="G67" s="251">
        <v>456486.55710807868</v>
      </c>
      <c r="H67" s="252">
        <v>474221.53890164738</v>
      </c>
      <c r="I67" s="250">
        <v>7632.979782559637</v>
      </c>
      <c r="J67" s="668">
        <v>59.80450231914552</v>
      </c>
      <c r="K67" s="669">
        <v>0.9626019057787949</v>
      </c>
      <c r="L67" s="205"/>
      <c r="M67" s="552"/>
      <c r="N67" s="552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2" t="s">
        <v>17675</v>
      </c>
      <c r="E68" s="250">
        <v>674012.85957950936</v>
      </c>
      <c r="F68" s="250">
        <v>683076.32</v>
      </c>
      <c r="G68" s="251">
        <v>674012.85957950936</v>
      </c>
      <c r="H68" s="252">
        <v>496794.79149354185</v>
      </c>
      <c r="I68" s="250">
        <v>7632.979782559637</v>
      </c>
      <c r="J68" s="668">
        <v>88.302717782580899</v>
      </c>
      <c r="K68" s="669">
        <v>1.3567228785816916</v>
      </c>
      <c r="L68" s="205"/>
      <c r="M68" s="552"/>
      <c r="N68" s="552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2" t="s">
        <v>17676</v>
      </c>
      <c r="E69" s="250">
        <v>675000</v>
      </c>
      <c r="F69" s="250"/>
      <c r="G69" s="251"/>
      <c r="H69" s="252"/>
      <c r="I69" s="250"/>
      <c r="J69" s="668" t="s">
        <v>17677</v>
      </c>
      <c r="K69" s="669" t="s">
        <v>17677</v>
      </c>
      <c r="L69" s="205"/>
      <c r="M69" s="552"/>
      <c r="N69" s="552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2"/>
      <c r="E70" s="250"/>
      <c r="F70" s="250"/>
      <c r="G70" s="251"/>
      <c r="H70" s="252"/>
      <c r="I70" s="250"/>
      <c r="J70" s="668" t="str">
        <f t="shared" ref="J61:J73" si="3">IFERROR(G70/I70,"")</f>
        <v/>
      </c>
      <c r="K70" s="669" t="str">
        <f t="shared" ref="K61:K73" si="4">IFERROR(G70/H70,"")</f>
        <v/>
      </c>
      <c r="L70" s="205"/>
      <c r="M70" s="552"/>
      <c r="N70" s="552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2"/>
      <c r="E71" s="250"/>
      <c r="F71" s="250"/>
      <c r="G71" s="251"/>
      <c r="H71" s="252"/>
      <c r="I71" s="250"/>
      <c r="J71" s="668" t="str">
        <f t="shared" si="3"/>
        <v/>
      </c>
      <c r="K71" s="669" t="str">
        <f t="shared" si="4"/>
        <v/>
      </c>
      <c r="L71" s="205"/>
      <c r="M71" s="552"/>
      <c r="N71" s="552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2"/>
      <c r="E72" s="250"/>
      <c r="F72" s="250"/>
      <c r="G72" s="251"/>
      <c r="H72" s="252"/>
      <c r="I72" s="250"/>
      <c r="J72" s="668" t="str">
        <f t="shared" si="3"/>
        <v/>
      </c>
      <c r="K72" s="669" t="str">
        <f t="shared" si="4"/>
        <v/>
      </c>
      <c r="L72" s="205"/>
      <c r="M72" s="552"/>
      <c r="N72" s="552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2"/>
      <c r="E73" s="250"/>
      <c r="F73" s="250"/>
      <c r="G73" s="251"/>
      <c r="H73" s="252"/>
      <c r="I73" s="250"/>
      <c r="J73" s="668" t="str">
        <f t="shared" si="3"/>
        <v/>
      </c>
      <c r="K73" s="669" t="str">
        <f t="shared" si="4"/>
        <v/>
      </c>
      <c r="L73" s="205"/>
      <c r="M73" s="552"/>
      <c r="N73" s="552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P6:S6" unlockedFormula="1"/>
    <ignoredError sqref="G43" evalError="1"/>
    <ignoredError sqref="I5:I25 I28:I33 I35:I36 I38:I39" evalError="1" unlocked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L22" sqref="L22"/>
    </sheetView>
    <sheetView topLeftCell="C1" workbookViewId="1"/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16757</v>
      </c>
      <c r="D1" s="1" t="s">
        <v>16758</v>
      </c>
      <c r="E1" s="1" t="s">
        <v>16796</v>
      </c>
      <c r="F1" s="1" t="s">
        <v>16798</v>
      </c>
      <c r="G1" s="1" t="s">
        <v>16802</v>
      </c>
      <c r="H1" s="1" t="s">
        <v>16803</v>
      </c>
      <c r="I1" s="1" t="s">
        <v>16804</v>
      </c>
      <c r="J1" s="1" t="s">
        <v>16805</v>
      </c>
      <c r="K1" s="1" t="s">
        <v>16806</v>
      </c>
      <c r="L1" s="1" t="s">
        <v>16807</v>
      </c>
      <c r="M1" s="1" t="s">
        <v>16808</v>
      </c>
      <c r="N1" s="1" t="s">
        <v>16809</v>
      </c>
      <c r="O1" s="1" t="s">
        <v>16810</v>
      </c>
    </row>
    <row r="2" spans="1:20">
      <c r="A2" s="1" t="s">
        <v>12</v>
      </c>
      <c r="B2" s="1" t="s">
        <v>16708</v>
      </c>
      <c r="C2" s="1" t="s">
        <v>16759</v>
      </c>
      <c r="D2" s="2" t="s">
        <v>16760</v>
      </c>
      <c r="F2" s="27">
        <f t="shared" ref="F2:F7" si="0">F22</f>
        <v>9.1170295060227655</v>
      </c>
      <c r="G2" s="27">
        <f t="shared" ref="G2:H2" si="1">G22</f>
        <v>3.0929504480190002</v>
      </c>
      <c r="H2" s="27">
        <f t="shared" si="1"/>
        <v>3.0915196418101378</v>
      </c>
      <c r="I2" s="27">
        <f>H2</f>
        <v>3.0915196418101378</v>
      </c>
      <c r="J2" s="27">
        <f>$J$22</f>
        <v>3.091996577213092</v>
      </c>
      <c r="K2" s="27">
        <f t="shared" ref="K2:M2" si="2">$J$22</f>
        <v>3.091996577213092</v>
      </c>
      <c r="L2" s="27">
        <f t="shared" si="2"/>
        <v>3.091996577213092</v>
      </c>
      <c r="M2" s="27">
        <f t="shared" si="2"/>
        <v>3.091996577213092</v>
      </c>
      <c r="N2" s="27">
        <f>$J$22</f>
        <v>3.091996577213092</v>
      </c>
      <c r="O2" s="27">
        <f>$J$22</f>
        <v>3.091996577213092</v>
      </c>
    </row>
    <row r="3" spans="1:20">
      <c r="A3" s="1" t="s">
        <v>12</v>
      </c>
      <c r="B3" s="1" t="s">
        <v>16726</v>
      </c>
      <c r="C3" s="1" t="s">
        <v>16761</v>
      </c>
      <c r="D3" s="2" t="s">
        <v>16762</v>
      </c>
      <c r="F3" s="27">
        <f t="shared" si="0"/>
        <v>4.2424242424242431</v>
      </c>
      <c r="G3" s="27">
        <f t="shared" ref="G3" si="3">G23</f>
        <v>10.99476439790576</v>
      </c>
      <c r="H3" s="27">
        <f>H23</f>
        <v>10.775862068965516</v>
      </c>
      <c r="I3" s="27">
        <f t="shared" ref="I3:I7" si="4">H3</f>
        <v>10.775862068965516</v>
      </c>
      <c r="J3" s="27">
        <f>$J$23</f>
        <v>10.848829511945597</v>
      </c>
      <c r="K3" s="27">
        <f>$J$23</f>
        <v>10.848829511945597</v>
      </c>
      <c r="L3" s="27">
        <f t="shared" ref="L3" si="5">$J$23</f>
        <v>10.848829511945597</v>
      </c>
      <c r="M3" s="27">
        <f>$J$23</f>
        <v>10.848829511945597</v>
      </c>
      <c r="N3" s="27">
        <f>$J$23</f>
        <v>10.848829511945597</v>
      </c>
      <c r="O3" s="27">
        <f>$J$23</f>
        <v>10.848829511945597</v>
      </c>
    </row>
    <row r="4" spans="1:20">
      <c r="A4" s="1" t="s">
        <v>12</v>
      </c>
      <c r="B4" s="1" t="s">
        <v>16732</v>
      </c>
      <c r="C4" s="1" t="s">
        <v>16763</v>
      </c>
      <c r="D4" s="2" t="s">
        <v>16764</v>
      </c>
      <c r="F4" s="27">
        <f t="shared" si="0"/>
        <v>1149.4545454545455</v>
      </c>
      <c r="G4" s="27">
        <f t="shared" ref="G4:H4" si="6">G24</f>
        <v>3320.4188481675396</v>
      </c>
      <c r="H4" s="27">
        <f t="shared" si="6"/>
        <v>971.98275862068965</v>
      </c>
      <c r="I4" s="27">
        <f t="shared" si="4"/>
        <v>971.98275862068965</v>
      </c>
      <c r="J4" s="27">
        <f ca="1">$J$24</f>
        <v>216.28950561144188</v>
      </c>
      <c r="K4" s="27">
        <f t="shared" ref="K4:O4" ca="1" si="7">$J$24</f>
        <v>216.28950561144188</v>
      </c>
      <c r="L4" s="27">
        <f t="shared" ca="1" si="7"/>
        <v>216.28950561144188</v>
      </c>
      <c r="M4" s="27">
        <f t="shared" ca="1" si="7"/>
        <v>216.28950561144188</v>
      </c>
      <c r="N4" s="27">
        <f t="shared" ca="1" si="7"/>
        <v>216.28950561144188</v>
      </c>
      <c r="O4" s="27">
        <f t="shared" ca="1" si="7"/>
        <v>216.28950561144188</v>
      </c>
    </row>
    <row r="5" spans="1:20">
      <c r="A5" s="1" t="s">
        <v>12</v>
      </c>
      <c r="B5" s="1" t="s">
        <v>16765</v>
      </c>
      <c r="C5" s="1" t="s">
        <v>16766</v>
      </c>
      <c r="D5" s="2" t="s">
        <v>16767</v>
      </c>
      <c r="F5" s="27">
        <f t="shared" si="0"/>
        <v>32.307692307692307</v>
      </c>
      <c r="G5" s="27">
        <f t="shared" ref="G5:H5" si="8">G25</f>
        <v>5.2427184466019421</v>
      </c>
      <c r="H5" s="27">
        <f t="shared" si="8"/>
        <v>0.94398993077407178</v>
      </c>
      <c r="I5" s="27">
        <f t="shared" si="4"/>
        <v>0.94398993077407178</v>
      </c>
      <c r="J5" s="27">
        <f>$J$25</f>
        <v>2.3768994360500284</v>
      </c>
      <c r="K5" s="27">
        <f t="shared" ref="K5:O5" si="9">$J$25</f>
        <v>2.3768994360500284</v>
      </c>
      <c r="L5" s="27">
        <f t="shared" si="9"/>
        <v>2.3768994360500284</v>
      </c>
      <c r="M5" s="27">
        <f t="shared" si="9"/>
        <v>2.3768994360500284</v>
      </c>
      <c r="N5" s="27">
        <f t="shared" si="9"/>
        <v>2.3768994360500284</v>
      </c>
      <c r="O5" s="27">
        <f t="shared" si="9"/>
        <v>2.3768994360500284</v>
      </c>
    </row>
    <row r="6" spans="1:20">
      <c r="A6" s="1" t="s">
        <v>12</v>
      </c>
      <c r="B6" s="1" t="s">
        <v>16708</v>
      </c>
      <c r="C6" s="1" t="s">
        <v>16768</v>
      </c>
      <c r="D6" s="2" t="s">
        <v>16769</v>
      </c>
      <c r="F6" s="27">
        <f t="shared" si="0"/>
        <v>100</v>
      </c>
      <c r="G6" s="27">
        <f t="shared" ref="G6:H6" si="10">G26</f>
        <v>85.18518518518519</v>
      </c>
      <c r="H6" s="27">
        <f t="shared" si="10"/>
        <v>100</v>
      </c>
      <c r="I6" s="27">
        <f t="shared" si="4"/>
        <v>100</v>
      </c>
      <c r="J6" s="27">
        <f>$J$26</f>
        <v>95.061728395061735</v>
      </c>
      <c r="K6" s="27">
        <f t="shared" ref="K6:O6" si="11">$J$26</f>
        <v>95.061728395061735</v>
      </c>
      <c r="L6" s="27">
        <f t="shared" si="11"/>
        <v>95.061728395061735</v>
      </c>
      <c r="M6" s="27">
        <f t="shared" si="11"/>
        <v>95.061728395061735</v>
      </c>
      <c r="N6" s="27">
        <f t="shared" si="11"/>
        <v>95.061728395061735</v>
      </c>
      <c r="O6" s="27">
        <f t="shared" si="11"/>
        <v>95.061728395061735</v>
      </c>
    </row>
    <row r="7" spans="1:20">
      <c r="A7" s="1" t="s">
        <v>12</v>
      </c>
      <c r="B7" s="1" t="s">
        <v>16770</v>
      </c>
      <c r="C7" s="1" t="s">
        <v>16771</v>
      </c>
      <c r="D7" s="2" t="s">
        <v>16772</v>
      </c>
      <c r="F7" s="27">
        <f t="shared" si="0"/>
        <v>2242.8571428571427</v>
      </c>
      <c r="G7" s="27">
        <f t="shared" ref="G7:H7" si="12">G27</f>
        <v>4077.7777777777778</v>
      </c>
      <c r="H7" s="27">
        <f t="shared" si="12"/>
        <v>12646.666666666666</v>
      </c>
      <c r="I7" s="27">
        <f t="shared" si="4"/>
        <v>12646.666666666666</v>
      </c>
      <c r="J7" s="27">
        <f ca="1">$J$27</f>
        <v>216.28950561144188</v>
      </c>
      <c r="K7" s="27">
        <f t="shared" ref="K7:O7" ca="1" si="13">$J$27</f>
        <v>216.28950561144188</v>
      </c>
      <c r="L7" s="27">
        <f t="shared" ca="1" si="13"/>
        <v>216.28950561144188</v>
      </c>
      <c r="M7" s="27">
        <f t="shared" ca="1" si="13"/>
        <v>216.28950561144188</v>
      </c>
      <c r="N7" s="27">
        <f t="shared" ca="1" si="13"/>
        <v>216.28950561144188</v>
      </c>
      <c r="O7" s="27">
        <f t="shared" ca="1" si="13"/>
        <v>216.28950561144188</v>
      </c>
    </row>
    <row r="8" spans="1:20">
      <c r="A8" s="1" t="s">
        <v>4</v>
      </c>
      <c r="B8" s="1" t="s">
        <v>16692</v>
      </c>
      <c r="C8" s="1" t="s">
        <v>16773</v>
      </c>
      <c r="D8" s="9" t="s">
        <v>16774</v>
      </c>
      <c r="E8" s="29"/>
      <c r="F8" s="29">
        <v>825</v>
      </c>
      <c r="G8" s="29">
        <v>573</v>
      </c>
      <c r="H8" s="29">
        <v>1160</v>
      </c>
      <c r="I8" s="54">
        <v>1160</v>
      </c>
      <c r="J8" s="30">
        <f ca="1">INT(MIN(I12*J2/100, I10))</f>
        <v>1504</v>
      </c>
      <c r="K8" s="30">
        <f t="shared" ref="K8:O8" ca="1" si="14">INT(MIN(J12*K2/100, J10))</f>
        <v>1605</v>
      </c>
      <c r="L8" s="30">
        <f t="shared" ca="1" si="14"/>
        <v>1712</v>
      </c>
      <c r="M8" s="30">
        <f t="shared" ca="1" si="14"/>
        <v>1827</v>
      </c>
      <c r="N8" s="30">
        <f t="shared" ca="1" si="14"/>
        <v>1949</v>
      </c>
      <c r="O8" s="30">
        <f t="shared" ca="1" si="14"/>
        <v>2079</v>
      </c>
    </row>
    <row r="9" spans="1:20">
      <c r="A9" s="1" t="s">
        <v>4</v>
      </c>
      <c r="B9" s="1" t="s">
        <v>2</v>
      </c>
      <c r="C9" s="1" t="s">
        <v>16775</v>
      </c>
      <c r="D9" s="9" t="s">
        <v>16776</v>
      </c>
      <c r="E9" s="29">
        <v>26</v>
      </c>
      <c r="F9" s="29">
        <v>35</v>
      </c>
      <c r="G9" s="29">
        <v>63</v>
      </c>
      <c r="H9" s="29">
        <v>125</v>
      </c>
      <c r="I9" s="54">
        <v>125</v>
      </c>
      <c r="J9" s="30">
        <f ca="1">INT(J8*J3/100)</f>
        <v>163</v>
      </c>
      <c r="K9" s="30">
        <f t="shared" ref="K9:N9" ca="1" si="15">INT(K8*K3/100)</f>
        <v>174</v>
      </c>
      <c r="L9" s="30">
        <f t="shared" ca="1" si="15"/>
        <v>185</v>
      </c>
      <c r="M9" s="30">
        <f t="shared" ca="1" si="15"/>
        <v>198</v>
      </c>
      <c r="N9" s="30">
        <f t="shared" ca="1" si="15"/>
        <v>211</v>
      </c>
      <c r="O9" s="30">
        <f t="shared" ref="O9" ca="1" si="16">INT(O8*O3/100)</f>
        <v>225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4</v>
      </c>
      <c r="B10" s="1" t="s">
        <v>16777</v>
      </c>
      <c r="C10" s="1" t="s">
        <v>16778</v>
      </c>
      <c r="D10" s="8" t="s">
        <v>16779</v>
      </c>
      <c r="E10" s="49">
        <v>2839</v>
      </c>
      <c r="F10" s="49">
        <v>11497</v>
      </c>
      <c r="G10" s="49">
        <v>29950</v>
      </c>
      <c r="H10" s="49">
        <v>40065</v>
      </c>
      <c r="I10" s="30">
        <f ca="1">INT(H10-(1-J4/100)*(I8-H8))</f>
        <v>40065</v>
      </c>
      <c r="J10" s="30">
        <f ca="1">INT(I10-(1-J4/100)*J8)</f>
        <v>41813</v>
      </c>
      <c r="K10" s="30">
        <f t="shared" ref="K10:O10" ca="1" si="17">INT(J10-(1-K4/100)*K8)</f>
        <v>43679</v>
      </c>
      <c r="L10" s="30">
        <f t="shared" ca="1" si="17"/>
        <v>45669</v>
      </c>
      <c r="M10" s="30">
        <f t="shared" ca="1" si="17"/>
        <v>47793</v>
      </c>
      <c r="N10" s="30">
        <f t="shared" ca="1" si="17"/>
        <v>50059</v>
      </c>
      <c r="O10" s="30">
        <f t="shared" ca="1" si="17"/>
        <v>52476</v>
      </c>
      <c r="Q10" s="319" t="s">
        <v>183</v>
      </c>
      <c r="R10" s="320"/>
      <c r="S10" s="320"/>
      <c r="T10" s="321"/>
    </row>
    <row r="11" spans="1:20">
      <c r="A11" s="1" t="s">
        <v>12</v>
      </c>
      <c r="B11" s="1" t="s">
        <v>16698</v>
      </c>
      <c r="C11" s="1" t="s">
        <v>16780</v>
      </c>
      <c r="D11" s="2" t="s">
        <v>16781</v>
      </c>
      <c r="E11" s="31">
        <v>6210</v>
      </c>
      <c r="F11" s="31">
        <v>7029</v>
      </c>
      <c r="G11" s="31">
        <v>7572</v>
      </c>
      <c r="H11" s="31">
        <v>8599</v>
      </c>
      <c r="I11" s="64">
        <f>H11+(I8-H8)</f>
        <v>8599</v>
      </c>
      <c r="J11" s="32">
        <f ca="1">INT(I11+J8)</f>
        <v>10103</v>
      </c>
      <c r="K11" s="32">
        <f t="shared" ref="K11:O11" ca="1" si="18">INT(J11+K8)</f>
        <v>11708</v>
      </c>
      <c r="L11" s="32">
        <f t="shared" ca="1" si="18"/>
        <v>13420</v>
      </c>
      <c r="M11" s="32">
        <f t="shared" ca="1" si="18"/>
        <v>15247</v>
      </c>
      <c r="N11" s="32">
        <f t="shared" ca="1" si="18"/>
        <v>17196</v>
      </c>
      <c r="O11" s="32">
        <f t="shared" ca="1" si="18"/>
        <v>19275</v>
      </c>
      <c r="Q11" s="319" t="s">
        <v>179</v>
      </c>
      <c r="R11" s="320"/>
      <c r="S11" s="320"/>
      <c r="T11" s="321"/>
    </row>
    <row r="12" spans="1:20">
      <c r="A12" s="1" t="s">
        <v>12</v>
      </c>
      <c r="B12" s="1" t="s">
        <v>16692</v>
      </c>
      <c r="C12" s="1" t="s">
        <v>16782</v>
      </c>
      <c r="D12" s="2" t="s">
        <v>16783</v>
      </c>
      <c r="E12" s="32">
        <f>E10+E11</f>
        <v>9049</v>
      </c>
      <c r="F12" s="32">
        <f t="shared" ref="F12:H12" si="19">F10+F11</f>
        <v>18526</v>
      </c>
      <c r="G12" s="32">
        <f t="shared" si="19"/>
        <v>37522</v>
      </c>
      <c r="H12" s="32">
        <f t="shared" si="19"/>
        <v>48664</v>
      </c>
      <c r="I12" s="32">
        <f ca="1">I10+I11</f>
        <v>48664</v>
      </c>
      <c r="J12" s="32">
        <f ca="1">INT(J10+J11)</f>
        <v>51916</v>
      </c>
      <c r="K12" s="32">
        <f t="shared" ref="K12:N12" ca="1" si="20">INT(K10+K11)</f>
        <v>55387</v>
      </c>
      <c r="L12" s="32">
        <f t="shared" ca="1" si="20"/>
        <v>59089</v>
      </c>
      <c r="M12" s="32">
        <f t="shared" ca="1" si="20"/>
        <v>63040</v>
      </c>
      <c r="N12" s="32">
        <f t="shared" ca="1" si="20"/>
        <v>67255</v>
      </c>
      <c r="O12" s="32">
        <f t="shared" ref="O12" ca="1" si="21">INT(O10+O11)</f>
        <v>71751</v>
      </c>
      <c r="Q12" s="322" t="s">
        <v>180</v>
      </c>
      <c r="R12" s="323"/>
      <c r="S12" s="323"/>
      <c r="T12" s="324"/>
    </row>
    <row r="13" spans="1:20">
      <c r="A13" s="1" t="s">
        <v>12</v>
      </c>
      <c r="B13" s="1" t="s">
        <v>16692</v>
      </c>
      <c r="C13" s="1" t="s">
        <v>16784</v>
      </c>
      <c r="D13" s="2" t="s">
        <v>16785</v>
      </c>
      <c r="E13" s="31"/>
      <c r="F13" s="32">
        <f>F10-E10+F8</f>
        <v>9483</v>
      </c>
      <c r="G13" s="32">
        <f t="shared" ref="G13:H13" si="22">G10-F10+G8</f>
        <v>19026</v>
      </c>
      <c r="H13" s="32">
        <f t="shared" si="22"/>
        <v>11275</v>
      </c>
      <c r="I13" s="32">
        <f ca="1">I10-G10+I8</f>
        <v>11275</v>
      </c>
      <c r="J13" s="32">
        <f ca="1">INT(J10-I10+J8)</f>
        <v>3252</v>
      </c>
      <c r="K13" s="32">
        <f t="shared" ref="K13:O13" ca="1" si="23">INT(K10-J10+K8)</f>
        <v>3471</v>
      </c>
      <c r="L13" s="32">
        <f t="shared" ca="1" si="23"/>
        <v>3702</v>
      </c>
      <c r="M13" s="32">
        <f t="shared" ca="1" si="23"/>
        <v>3951</v>
      </c>
      <c r="N13" s="32">
        <f t="shared" ca="1" si="23"/>
        <v>4215</v>
      </c>
      <c r="O13" s="32">
        <f t="shared" ca="1" si="23"/>
        <v>4496</v>
      </c>
    </row>
    <row r="14" spans="1:20">
      <c r="A14" s="1" t="s">
        <v>4</v>
      </c>
      <c r="B14" s="1" t="s">
        <v>16777</v>
      </c>
      <c r="C14" s="1" t="s">
        <v>16786</v>
      </c>
      <c r="D14" s="8" t="s">
        <v>16787</v>
      </c>
      <c r="E14" s="29"/>
      <c r="F14" s="29">
        <v>21</v>
      </c>
      <c r="G14" s="29">
        <v>27</v>
      </c>
      <c r="H14" s="29">
        <v>15</v>
      </c>
      <c r="I14" s="54">
        <v>15</v>
      </c>
      <c r="J14" s="30">
        <f ca="1">INT(MIN(I16*J5/100,I16))</f>
        <v>82</v>
      </c>
      <c r="K14" s="30">
        <f t="shared" ref="K14:O14" ca="1" si="24">INT(MIN(J16*K5/100,J16))</f>
        <v>84</v>
      </c>
      <c r="L14" s="30">
        <f t="shared" ca="1" si="24"/>
        <v>87</v>
      </c>
      <c r="M14" s="30">
        <f t="shared" ca="1" si="24"/>
        <v>89</v>
      </c>
      <c r="N14" s="30">
        <f t="shared" ca="1" si="24"/>
        <v>91</v>
      </c>
      <c r="O14" s="30">
        <f t="shared" ca="1" si="24"/>
        <v>94</v>
      </c>
    </row>
    <row r="15" spans="1:20">
      <c r="A15" s="1" t="s">
        <v>4</v>
      </c>
      <c r="B15" s="1" t="s">
        <v>16698</v>
      </c>
      <c r="C15" s="1" t="s">
        <v>16788</v>
      </c>
      <c r="D15" s="8" t="s">
        <v>16789</v>
      </c>
      <c r="E15" s="29"/>
      <c r="F15" s="29">
        <v>21</v>
      </c>
      <c r="G15" s="29">
        <v>23</v>
      </c>
      <c r="H15" s="29">
        <v>15</v>
      </c>
      <c r="I15" s="54">
        <v>15</v>
      </c>
      <c r="J15" s="30">
        <f ca="1">INT(J14*J6/100)</f>
        <v>77</v>
      </c>
      <c r="K15" s="30">
        <f t="shared" ref="K15:N15" ca="1" si="25">INT(K14*K6/100)</f>
        <v>79</v>
      </c>
      <c r="L15" s="30">
        <f t="shared" ca="1" si="25"/>
        <v>82</v>
      </c>
      <c r="M15" s="30">
        <f t="shared" ca="1" si="25"/>
        <v>84</v>
      </c>
      <c r="N15" s="30">
        <f t="shared" ca="1" si="25"/>
        <v>86</v>
      </c>
      <c r="O15" s="30">
        <f t="shared" ref="O15" ca="1" si="26">INT(O14*O6/100)</f>
        <v>89</v>
      </c>
    </row>
    <row r="16" spans="1:20">
      <c r="A16" s="1" t="s">
        <v>16720</v>
      </c>
      <c r="B16" s="1" t="s">
        <v>16790</v>
      </c>
      <c r="C16" s="1" t="s">
        <v>16791</v>
      </c>
      <c r="D16" s="8" t="s">
        <v>16792</v>
      </c>
      <c r="E16" s="29">
        <v>65</v>
      </c>
      <c r="F16" s="29">
        <v>515</v>
      </c>
      <c r="G16" s="29">
        <v>1589</v>
      </c>
      <c r="H16" s="29">
        <v>3471</v>
      </c>
      <c r="I16" s="30">
        <f ca="1">INT(H16-(1-J7/100)*(I14-H14))</f>
        <v>3471</v>
      </c>
      <c r="J16" s="30">
        <f ca="1">INT(I16-J14*(1-J7/100))</f>
        <v>3566</v>
      </c>
      <c r="K16" s="30">
        <f t="shared" ref="K16:O16" ca="1" si="27">INT(J16-K14*(1-K7/100))</f>
        <v>3663</v>
      </c>
      <c r="L16" s="30">
        <f t="shared" ca="1" si="27"/>
        <v>3764</v>
      </c>
      <c r="M16" s="30">
        <f t="shared" ca="1" si="27"/>
        <v>3867</v>
      </c>
      <c r="N16" s="30">
        <f t="shared" ca="1" si="27"/>
        <v>3972</v>
      </c>
      <c r="O16" s="30">
        <f t="shared" ca="1" si="27"/>
        <v>4081</v>
      </c>
    </row>
    <row r="17" spans="1:18">
      <c r="A17" s="1" t="s">
        <v>12</v>
      </c>
      <c r="B17" s="1" t="s">
        <v>16793</v>
      </c>
      <c r="C17" s="1" t="s">
        <v>16794</v>
      </c>
      <c r="D17" s="2" t="s">
        <v>16795</v>
      </c>
      <c r="E17" s="31"/>
      <c r="F17" s="32">
        <f>F16-E16+F14</f>
        <v>471</v>
      </c>
      <c r="G17" s="32">
        <f t="shared" ref="G17:H17" si="28">G16-F16+G14</f>
        <v>1101</v>
      </c>
      <c r="H17" s="32">
        <f t="shared" si="28"/>
        <v>1897</v>
      </c>
      <c r="I17" s="32">
        <f ca="1">I16-G16+I14</f>
        <v>1897</v>
      </c>
      <c r="J17" s="32">
        <f ca="1">J16-I16+J14</f>
        <v>177</v>
      </c>
      <c r="K17" s="32">
        <f t="shared" ref="K17:O17" ca="1" si="29">K16-J16+K14</f>
        <v>181</v>
      </c>
      <c r="L17" s="32">
        <f t="shared" ca="1" si="29"/>
        <v>188</v>
      </c>
      <c r="M17" s="32">
        <f t="shared" ca="1" si="29"/>
        <v>192</v>
      </c>
      <c r="N17" s="32">
        <f t="shared" ca="1" si="29"/>
        <v>196</v>
      </c>
      <c r="O17" s="32">
        <f t="shared" ca="1" si="29"/>
        <v>203</v>
      </c>
    </row>
    <row r="18" spans="1:18">
      <c r="I18" s="253" t="s">
        <v>85</v>
      </c>
      <c r="J18" s="95">
        <f>100+RATE!F9</f>
        <v>101.66</v>
      </c>
      <c r="K18" s="14"/>
      <c r="L18" s="14"/>
      <c r="M18" s="14"/>
      <c r="N18" s="14"/>
    </row>
    <row r="19" spans="1:18">
      <c r="F19" s="31"/>
      <c r="I19" s="127" t="s">
        <v>86</v>
      </c>
      <c r="J19" s="95">
        <f ca="1">100+성장률추정!L8</f>
        <v>102.2056</v>
      </c>
      <c r="L19" s="56" t="s">
        <v>0</v>
      </c>
    </row>
    <row r="20" spans="1:18">
      <c r="I20" s="127" t="s">
        <v>87</v>
      </c>
      <c r="J20" s="95">
        <f ca="1">100+성장률추정!L9</f>
        <v>216.28950561144188</v>
      </c>
      <c r="L20" s="57">
        <f ca="1">+민감도!B7</f>
        <v>-3237369.4615647378</v>
      </c>
    </row>
    <row r="21" spans="1:18" ht="17.25" thickBot="1">
      <c r="A21" s="367">
        <f>ROW(C27)-ROW(C21)</f>
        <v>6</v>
      </c>
      <c r="B21" s="1"/>
      <c r="C21" s="1" t="s">
        <v>16811</v>
      </c>
      <c r="D21" s="1" t="s">
        <v>16812</v>
      </c>
      <c r="E21" s="1" t="s">
        <v>16473</v>
      </c>
      <c r="F21" s="1" t="s">
        <v>16475</v>
      </c>
      <c r="G21" s="1" t="s">
        <v>16477</v>
      </c>
      <c r="H21" s="1" t="s">
        <v>16480</v>
      </c>
      <c r="I21" s="1" t="s">
        <v>16826</v>
      </c>
      <c r="J21" s="355" t="s">
        <v>16244</v>
      </c>
      <c r="L21" s="116" t="s">
        <v>23</v>
      </c>
      <c r="M21" s="14"/>
      <c r="N21" s="126" t="s">
        <v>24</v>
      </c>
      <c r="O21" s="126" t="s">
        <v>25</v>
      </c>
      <c r="P21" s="126" t="s">
        <v>201</v>
      </c>
      <c r="Q21" s="126" t="s">
        <v>26</v>
      </c>
      <c r="R21" s="354" t="s">
        <v>203</v>
      </c>
    </row>
    <row r="22" spans="1:18">
      <c r="A22" s="1" t="s">
        <v>12</v>
      </c>
      <c r="B22" s="1" t="s">
        <v>16726</v>
      </c>
      <c r="C22" s="1" t="s">
        <v>16813</v>
      </c>
      <c r="D22" s="2" t="s">
        <v>16814</v>
      </c>
      <c r="F22" s="28">
        <f>IF(E12=0,0,F8/E12*100)</f>
        <v>9.1170295060227655</v>
      </c>
      <c r="G22" s="28">
        <f t="shared" ref="G22" si="30">IF(F12=0,0,G8/F12*100)</f>
        <v>3.0929504480190002</v>
      </c>
      <c r="H22" s="28">
        <f>IF(G12=0,0,I8/G12*100)</f>
        <v>3.0915196418101378</v>
      </c>
      <c r="I22" s="28">
        <f>(F22+G22*2+H22*3)/6</f>
        <v>4.0962482212485298</v>
      </c>
      <c r="J22" s="356">
        <f>HLOOKUP($J$21,$N$21:$R$27,$M22,0)</f>
        <v>3.091996577213092</v>
      </c>
      <c r="L22" s="159"/>
      <c r="M22" s="359">
        <v>2</v>
      </c>
      <c r="N22" s="117">
        <f>AVERAGE(F22:H22)</f>
        <v>5.1004998652839673</v>
      </c>
      <c r="O22" s="117">
        <f>AVERAGE(G22:H22)</f>
        <v>3.092235044914569</v>
      </c>
      <c r="P22" s="117">
        <f>AVERAGE(F22:G22)</f>
        <v>6.1049899770208826</v>
      </c>
      <c r="Q22" s="117">
        <f>(2*H22+G22)/3</f>
        <v>3.091996577213092</v>
      </c>
      <c r="R22" s="353">
        <f>(F22+G22*2+H22*3)/6</f>
        <v>4.0962482212485298</v>
      </c>
    </row>
    <row r="23" spans="1:18">
      <c r="A23" s="1" t="s">
        <v>12</v>
      </c>
      <c r="B23" s="1" t="s">
        <v>3</v>
      </c>
      <c r="C23" s="1" t="s">
        <v>16815</v>
      </c>
      <c r="D23" s="2" t="s">
        <v>16816</v>
      </c>
      <c r="F23" s="28">
        <f>IF(F8=0,0,F9/F8*100)</f>
        <v>4.2424242424242431</v>
      </c>
      <c r="G23" s="28">
        <f>IF(G8=0,0,G9/G8*100)</f>
        <v>10.99476439790576</v>
      </c>
      <c r="H23" s="28">
        <f>IF(H8=0,0,H9/H8*100)</f>
        <v>10.775862068965516</v>
      </c>
      <c r="I23" s="28">
        <f t="shared" ref="I23:I27" si="31">(F23+G23*2+H23*3)/6</f>
        <v>9.7599232075220517</v>
      </c>
      <c r="J23" s="357">
        <f t="shared" ref="J23:J27" si="32">HLOOKUP($J$21,$N$21:$R$27,$M23,0)</f>
        <v>10.848829511945597</v>
      </c>
      <c r="L23" s="159"/>
      <c r="M23" s="359">
        <v>3</v>
      </c>
      <c r="N23" s="117">
        <f t="shared" ref="N23:N27" si="33">AVERAGE(F23:H23)</f>
        <v>8.671016903098506</v>
      </c>
      <c r="O23" s="117">
        <f t="shared" ref="O23:O27" si="34">AVERAGE(G23:H23)</f>
        <v>10.885313233435639</v>
      </c>
      <c r="P23" s="117">
        <f t="shared" ref="P23:P27" si="35">AVERAGE(F23:G23)</f>
        <v>7.6185943201650019</v>
      </c>
      <c r="Q23" s="117">
        <f t="shared" ref="Q23:Q27" si="36">(2*H23+G23)/3</f>
        <v>10.848829511945597</v>
      </c>
      <c r="R23" s="353">
        <f t="shared" ref="R23:R27" si="37">(F23+G23*2+H23*3)/6</f>
        <v>9.7599232075220517</v>
      </c>
    </row>
    <row r="24" spans="1:18">
      <c r="A24" s="1" t="s">
        <v>4</v>
      </c>
      <c r="B24" s="1" t="s">
        <v>3</v>
      </c>
      <c r="C24" s="1" t="s">
        <v>16817</v>
      </c>
      <c r="D24" s="8" t="s">
        <v>16818</v>
      </c>
      <c r="F24" s="28">
        <f>IF(F8=0,0,F13/F8*100)</f>
        <v>1149.4545454545455</v>
      </c>
      <c r="G24" s="28">
        <f t="shared" ref="G24:H24" si="38">IF(G8=0,0,G13/G8*100)</f>
        <v>3320.4188481675396</v>
      </c>
      <c r="H24" s="28">
        <f t="shared" si="38"/>
        <v>971.98275862068965</v>
      </c>
      <c r="I24" s="28">
        <f t="shared" si="31"/>
        <v>1784.3734196086154</v>
      </c>
      <c r="J24" s="357">
        <f ca="1">J20</f>
        <v>216.28950561144188</v>
      </c>
      <c r="K24" s="85">
        <f>IF(E10=0,0,(H10/E10)^(1/3)*100)</f>
        <v>241.65729961812116</v>
      </c>
      <c r="L24" s="159"/>
      <c r="M24" s="359">
        <v>4</v>
      </c>
      <c r="N24" s="117">
        <f t="shared" si="33"/>
        <v>1813.9520507475916</v>
      </c>
      <c r="O24" s="117">
        <f t="shared" si="34"/>
        <v>2146.2008033941147</v>
      </c>
      <c r="P24" s="117">
        <f t="shared" si="35"/>
        <v>2234.9366968110426</v>
      </c>
      <c r="Q24" s="117">
        <f t="shared" si="36"/>
        <v>1754.7947884696396</v>
      </c>
      <c r="R24" s="353">
        <f t="shared" si="37"/>
        <v>1784.3734196086154</v>
      </c>
    </row>
    <row r="25" spans="1:18">
      <c r="A25" s="1" t="s">
        <v>12</v>
      </c>
      <c r="B25" s="1" t="s">
        <v>3</v>
      </c>
      <c r="C25" s="1" t="s">
        <v>16819</v>
      </c>
      <c r="D25" s="2" t="s">
        <v>16820</v>
      </c>
      <c r="F25" s="28">
        <f>IF(E16=0,0,F14/E16*100)</f>
        <v>32.307692307692307</v>
      </c>
      <c r="G25" s="28">
        <f t="shared" ref="G25" si="39">IF(F16=0,0,G14/F16*100)</f>
        <v>5.2427184466019421</v>
      </c>
      <c r="H25" s="28">
        <f>IF(G16=0,0,I14/G16*100)</f>
        <v>0.94398993077407178</v>
      </c>
      <c r="I25" s="28">
        <f t="shared" si="31"/>
        <v>7.6041831655364005</v>
      </c>
      <c r="J25" s="357">
        <f t="shared" si="32"/>
        <v>2.3768994360500284</v>
      </c>
      <c r="K25" s="85"/>
      <c r="L25" s="159"/>
      <c r="M25" s="359">
        <v>5</v>
      </c>
      <c r="N25" s="117">
        <f t="shared" si="33"/>
        <v>12.831466895022773</v>
      </c>
      <c r="O25" s="117">
        <f t="shared" si="34"/>
        <v>3.0933541886880072</v>
      </c>
      <c r="P25" s="117">
        <f t="shared" si="35"/>
        <v>18.775205377147124</v>
      </c>
      <c r="Q25" s="117">
        <f t="shared" si="36"/>
        <v>2.3768994360500284</v>
      </c>
      <c r="R25" s="353">
        <f t="shared" si="37"/>
        <v>7.6041831655364005</v>
      </c>
    </row>
    <row r="26" spans="1:18">
      <c r="A26" s="1" t="s">
        <v>12</v>
      </c>
      <c r="B26" s="1" t="s">
        <v>3</v>
      </c>
      <c r="C26" s="1" t="s">
        <v>16821</v>
      </c>
      <c r="D26" s="2" t="s">
        <v>16822</v>
      </c>
      <c r="F26" s="28">
        <f>IF(F14=0,0,F15/F14*100)</f>
        <v>100</v>
      </c>
      <c r="G26" s="28">
        <f t="shared" ref="G26:H26" si="40">IF(G14=0,0,G15/G14*100)</f>
        <v>85.18518518518519</v>
      </c>
      <c r="H26" s="28">
        <f t="shared" si="40"/>
        <v>100</v>
      </c>
      <c r="I26" s="28">
        <f>(F26+G26*2+H26*3)/6</f>
        <v>95.061728395061735</v>
      </c>
      <c r="J26" s="357">
        <f t="shared" si="32"/>
        <v>95.061728395061735</v>
      </c>
      <c r="K26" s="85"/>
      <c r="L26" s="159"/>
      <c r="M26" s="359">
        <v>6</v>
      </c>
      <c r="N26" s="117">
        <f t="shared" si="33"/>
        <v>95.061728395061735</v>
      </c>
      <c r="O26" s="117">
        <f t="shared" si="34"/>
        <v>92.592592592592595</v>
      </c>
      <c r="P26" s="117">
        <f t="shared" si="35"/>
        <v>92.592592592592595</v>
      </c>
      <c r="Q26" s="117">
        <f t="shared" si="36"/>
        <v>95.061728395061735</v>
      </c>
      <c r="R26" s="353">
        <f t="shared" si="37"/>
        <v>95.061728395061735</v>
      </c>
    </row>
    <row r="27" spans="1:18" ht="17.25" thickBot="1">
      <c r="A27" s="1" t="s">
        <v>16823</v>
      </c>
      <c r="B27" s="1" t="s">
        <v>16726</v>
      </c>
      <c r="C27" s="1" t="s">
        <v>16824</v>
      </c>
      <c r="D27" s="8" t="s">
        <v>16825</v>
      </c>
      <c r="F27" s="28">
        <f>IF(F14=0,0,F17/F14*100)</f>
        <v>2242.8571428571427</v>
      </c>
      <c r="G27" s="28">
        <f t="shared" ref="G27:H27" si="41">IF(G14=0,0,G17/G14*100)</f>
        <v>4077.7777777777778</v>
      </c>
      <c r="H27" s="28">
        <f t="shared" si="41"/>
        <v>12646.666666666666</v>
      </c>
      <c r="I27" s="28">
        <f t="shared" si="31"/>
        <v>8056.4021164021169</v>
      </c>
      <c r="J27" s="358">
        <f ca="1">J20</f>
        <v>216.28950561144188</v>
      </c>
      <c r="K27" s="85">
        <f>IF(E16=0,0,(H16/E16)^(1/3)*100)</f>
        <v>376.57118558617799</v>
      </c>
      <c r="L27" s="159"/>
      <c r="M27" s="359">
        <v>7</v>
      </c>
      <c r="N27" s="117">
        <f t="shared" si="33"/>
        <v>6322.4338624338625</v>
      </c>
      <c r="O27" s="117">
        <f t="shared" si="34"/>
        <v>8362.2222222222226</v>
      </c>
      <c r="P27" s="117">
        <f t="shared" si="35"/>
        <v>3160.3174603174602</v>
      </c>
      <c r="Q27" s="117">
        <f t="shared" si="36"/>
        <v>9790.3703703703704</v>
      </c>
      <c r="R27" s="353">
        <f t="shared" si="37"/>
        <v>8056.4021164021169</v>
      </c>
    </row>
    <row r="28" spans="1:18">
      <c r="F28" s="227">
        <f>F8/IS추정!F14</f>
        <v>4.5424512718863559E-2</v>
      </c>
      <c r="G28" s="227">
        <f>G8/IS추정!G14</f>
        <v>4.6990323109726097E-2</v>
      </c>
      <c r="H28" s="227">
        <f>H8/IS추정!H14</f>
        <v>0.2313060817547358</v>
      </c>
      <c r="I28" s="227">
        <f>I8/IS추정!I14</f>
        <v>0.2313060817547358</v>
      </c>
      <c r="J28" s="227">
        <f ca="1">J8/IS추정!J14</f>
        <v>0.26483535833773553</v>
      </c>
      <c r="K28" s="227">
        <f ca="1">K8/IS추정!K14</f>
        <v>5.651607450966583E-2</v>
      </c>
      <c r="L28" s="227">
        <f ca="1">L8/IS추정!L14</f>
        <v>4.1329696062573931E-2</v>
      </c>
      <c r="M28" s="227">
        <f ca="1">M8/IS추정!M14</f>
        <v>2.011760042283298E-2</v>
      </c>
      <c r="N28" s="227">
        <f ca="1">N8/IS추정!N14</f>
        <v>2.0836005986743639E-2</v>
      </c>
      <c r="O28" s="227">
        <f ca="1">O8/IS추정!O14</f>
        <v>2.1790168745414527E-2</v>
      </c>
    </row>
    <row r="29" spans="1:18" s="205" customFormat="1">
      <c r="F29" s="227"/>
      <c r="G29" s="227"/>
      <c r="H29" s="227"/>
      <c r="I29" s="227"/>
      <c r="J29" s="227"/>
      <c r="K29" s="227"/>
      <c r="L29" s="227"/>
      <c r="M29" s="227"/>
      <c r="N29" s="227"/>
      <c r="O29" s="227"/>
    </row>
    <row r="30" spans="1:18" s="205" customFormat="1">
      <c r="F30" s="227"/>
      <c r="G30" s="227"/>
      <c r="H30" s="227"/>
      <c r="I30" s="227"/>
      <c r="J30" s="227"/>
      <c r="K30" s="227"/>
      <c r="L30" s="227"/>
      <c r="M30" s="227"/>
      <c r="N30" s="227"/>
      <c r="O30" s="227"/>
    </row>
    <row r="31" spans="1:18" s="205" customFormat="1">
      <c r="A31" s="564">
        <f>ROW(C35)-ROW(C31)</f>
        <v>4</v>
      </c>
      <c r="B31" s="120"/>
      <c r="C31" s="1" t="s">
        <v>16827</v>
      </c>
      <c r="D31" s="1" t="s">
        <v>16828</v>
      </c>
      <c r="E31" s="1"/>
      <c r="F31" s="367"/>
      <c r="G31" s="367"/>
      <c r="H31" s="367"/>
      <c r="I31" s="493" t="str">
        <f t="shared" ref="I31:O31" si="42">LEFT(I1,4)</f>
        <v>2023</v>
      </c>
      <c r="J31" s="493" t="str">
        <f t="shared" si="42"/>
        <v>2024</v>
      </c>
      <c r="K31" s="493" t="str">
        <f t="shared" si="42"/>
        <v>2025</v>
      </c>
      <c r="L31" s="493" t="str">
        <f t="shared" si="42"/>
        <v>2026</v>
      </c>
      <c r="M31" s="493" t="str">
        <f t="shared" si="42"/>
        <v>2027</v>
      </c>
      <c r="N31" s="493" t="str">
        <f t="shared" si="42"/>
        <v>2028</v>
      </c>
      <c r="O31" s="493" t="str">
        <f t="shared" si="42"/>
        <v>2029</v>
      </c>
    </row>
    <row r="32" spans="1:18" s="205" customFormat="1">
      <c r="A32" s="488" t="s">
        <v>12</v>
      </c>
      <c r="B32" s="120"/>
      <c r="C32" s="1" t="s">
        <v>16829</v>
      </c>
      <c r="D32" s="74" t="s">
        <v>16830</v>
      </c>
      <c r="F32" s="489"/>
      <c r="G32" s="489"/>
      <c r="H32" s="489"/>
      <c r="I32" s="489">
        <f>I8+I14</f>
        <v>1175</v>
      </c>
      <c r="J32" s="489">
        <f ca="1">J8+J14</f>
        <v>1586</v>
      </c>
      <c r="K32" s="489">
        <f t="shared" ref="K32:O32" ca="1" si="43">K8+K14</f>
        <v>1689</v>
      </c>
      <c r="L32" s="489">
        <f t="shared" ca="1" si="43"/>
        <v>1799</v>
      </c>
      <c r="M32" s="489">
        <f t="shared" ca="1" si="43"/>
        <v>1916</v>
      </c>
      <c r="N32" s="489">
        <f t="shared" ca="1" si="43"/>
        <v>2040</v>
      </c>
      <c r="O32" s="489">
        <f t="shared" ca="1" si="43"/>
        <v>2173</v>
      </c>
    </row>
    <row r="33" spans="1:15" s="205" customFormat="1">
      <c r="A33" s="488" t="s">
        <v>12</v>
      </c>
      <c r="B33" s="120"/>
      <c r="C33" s="1" t="s">
        <v>16831</v>
      </c>
      <c r="D33" s="74" t="s">
        <v>16832</v>
      </c>
      <c r="F33" s="489">
        <f t="shared" ref="F33:O33" si="44">F13+F17</f>
        <v>9954</v>
      </c>
      <c r="G33" s="489">
        <f t="shared" si="44"/>
        <v>20127</v>
      </c>
      <c r="H33" s="489">
        <f t="shared" si="44"/>
        <v>13172</v>
      </c>
      <c r="I33" s="489">
        <f t="shared" ca="1" si="44"/>
        <v>13172</v>
      </c>
      <c r="J33" s="489">
        <f t="shared" ca="1" si="44"/>
        <v>3429</v>
      </c>
      <c r="K33" s="489">
        <f t="shared" ca="1" si="44"/>
        <v>3652</v>
      </c>
      <c r="L33" s="489">
        <f t="shared" ca="1" si="44"/>
        <v>3890</v>
      </c>
      <c r="M33" s="489">
        <f t="shared" ca="1" si="44"/>
        <v>4143</v>
      </c>
      <c r="N33" s="489">
        <f t="shared" ca="1" si="44"/>
        <v>4411</v>
      </c>
      <c r="O33" s="489">
        <f t="shared" ca="1" si="44"/>
        <v>4699</v>
      </c>
    </row>
    <row r="34" spans="1:15" s="205" customFormat="1">
      <c r="A34" s="488" t="s">
        <v>12</v>
      </c>
      <c r="B34" s="120"/>
      <c r="C34" s="1" t="s">
        <v>16833</v>
      </c>
      <c r="D34" s="74" t="s">
        <v>16834</v>
      </c>
      <c r="F34" s="489"/>
      <c r="G34" s="489"/>
      <c r="H34" s="489"/>
      <c r="I34" s="489"/>
      <c r="J34" s="489">
        <f ca="1">OFFSET(NWC추정!$I$12,11,MATCH(J31,NWC추정!$J$12:$O$12,0))</f>
        <v>-576.20280771856096</v>
      </c>
      <c r="K34" s="489">
        <f ca="1">OFFSET(NWC추정!$I$12,11,MATCH(K31,NWC추정!$J$12:$O$12,0))</f>
        <v>11519</v>
      </c>
      <c r="L34" s="489">
        <f ca="1">OFFSET(NWC추정!$I$12,11,MATCH(L31,NWC추정!$J$12:$O$12,0))</f>
        <v>4496</v>
      </c>
      <c r="M34" s="489">
        <f ca="1">OFFSET(NWC추정!$I$12,11,MATCH(M31,NWC추정!$J$12:$O$12,0))</f>
        <v>22306</v>
      </c>
      <c r="N34" s="489">
        <f ca="1">OFFSET(NWC추정!$I$12,11,MATCH(N31,NWC추정!$J$12:$O$12,0))</f>
        <v>-444</v>
      </c>
      <c r="O34" s="489">
        <f ca="1">OFFSET(NWC추정!$I$12,11,MATCH(O31,NWC추정!$J$12:$O$12,0))</f>
        <v>736</v>
      </c>
    </row>
    <row r="35" spans="1:15" s="205" customFormat="1">
      <c r="A35" s="488" t="s">
        <v>12</v>
      </c>
      <c r="B35" s="120"/>
      <c r="C35" s="1" t="s">
        <v>16835</v>
      </c>
      <c r="D35" s="206" t="s">
        <v>16836</v>
      </c>
      <c r="F35" s="489"/>
      <c r="G35" s="489"/>
      <c r="H35" s="489"/>
      <c r="I35" s="489"/>
      <c r="J35" s="489">
        <f ca="1">-J32+J33+J34</f>
        <v>1266.797192281439</v>
      </c>
      <c r="K35" s="489">
        <f t="shared" ref="K35:O35" ca="1" si="45">-K32+K33+K34</f>
        <v>13482</v>
      </c>
      <c r="L35" s="489">
        <f t="shared" ca="1" si="45"/>
        <v>6587</v>
      </c>
      <c r="M35" s="489">
        <f t="shared" ca="1" si="45"/>
        <v>24533</v>
      </c>
      <c r="N35" s="489">
        <f t="shared" ca="1" si="45"/>
        <v>1927</v>
      </c>
      <c r="O35" s="489">
        <f t="shared" ca="1" si="45"/>
        <v>3262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142</v>
      </c>
      <c r="E37" s="302" t="s">
        <v>182</v>
      </c>
      <c r="F37" s="303" t="s">
        <v>143</v>
      </c>
      <c r="G37" s="303" t="s">
        <v>144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145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146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147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148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149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150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151</v>
      </c>
      <c r="E45" s="302" t="s">
        <v>152</v>
      </c>
      <c r="F45" s="303" t="s">
        <v>153</v>
      </c>
      <c r="G45" s="302" t="s">
        <v>154</v>
      </c>
      <c r="H45" s="303" t="s">
        <v>155</v>
      </c>
      <c r="I45" s="302" t="s">
        <v>156</v>
      </c>
      <c r="J45" s="303" t="s">
        <v>157</v>
      </c>
      <c r="K45" s="302" t="s">
        <v>158</v>
      </c>
      <c r="L45" s="302" t="s">
        <v>159</v>
      </c>
      <c r="M45" s="302" t="s">
        <v>160</v>
      </c>
    </row>
    <row r="46" spans="1:15" customFormat="1">
      <c r="D46" s="306" t="s">
        <v>145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146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147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161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162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150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163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164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165</v>
      </c>
      <c r="E56" s="302" t="s">
        <v>181</v>
      </c>
      <c r="F56" s="303" t="s">
        <v>166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167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168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169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170</v>
      </c>
      <c r="E61" s="302" t="s">
        <v>171</v>
      </c>
      <c r="F61" s="303" t="s">
        <v>172</v>
      </c>
      <c r="G61" s="302" t="s">
        <v>154</v>
      </c>
      <c r="H61" s="303" t="s">
        <v>155</v>
      </c>
      <c r="I61" s="302" t="s">
        <v>173</v>
      </c>
      <c r="J61" s="303" t="s">
        <v>174</v>
      </c>
      <c r="K61" s="302" t="s">
        <v>175</v>
      </c>
      <c r="L61" s="302" t="s">
        <v>159</v>
      </c>
      <c r="M61" s="302" t="s">
        <v>160</v>
      </c>
    </row>
    <row r="62" spans="4:13">
      <c r="D62" s="306" t="s">
        <v>176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168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177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178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47" activePane="bottomLeft" state="frozen"/>
      <selection activeCell="D26" sqref="D26"/>
      <selection pane="bottomLeft" activeCell="O65" sqref="O65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67">
        <f>ROW(C69)-ROW(C1)</f>
        <v>68</v>
      </c>
      <c r="B1" s="1"/>
      <c r="C1" s="1" t="s">
        <v>16837</v>
      </c>
      <c r="D1" s="1" t="s">
        <v>16838</v>
      </c>
      <c r="E1" s="1" t="s">
        <v>16981</v>
      </c>
      <c r="F1" s="1" t="s">
        <v>16800</v>
      </c>
      <c r="G1" s="1" t="s">
        <v>16984</v>
      </c>
      <c r="H1" s="1" t="s">
        <v>16986</v>
      </c>
      <c r="I1" s="1" t="s">
        <v>16804</v>
      </c>
      <c r="J1" s="1" t="s">
        <v>16805</v>
      </c>
      <c r="K1" s="1" t="s">
        <v>16806</v>
      </c>
      <c r="L1" s="1" t="s">
        <v>16807</v>
      </c>
      <c r="M1" s="1" t="s">
        <v>16808</v>
      </c>
      <c r="N1" s="1" t="s">
        <v>16809</v>
      </c>
      <c r="O1" s="1" t="s">
        <v>16810</v>
      </c>
    </row>
    <row r="2" spans="1:15">
      <c r="A2" s="1" t="s">
        <v>12</v>
      </c>
      <c r="B2" s="1" t="s">
        <v>16839</v>
      </c>
      <c r="C2" s="1" t="s">
        <v>16840</v>
      </c>
      <c r="D2" s="2" t="s">
        <v>16841</v>
      </c>
      <c r="E2" s="31">
        <v>15182</v>
      </c>
      <c r="F2" s="31">
        <v>18162</v>
      </c>
      <c r="G2" s="31">
        <v>12194</v>
      </c>
      <c r="H2" s="31">
        <v>5015</v>
      </c>
      <c r="I2" s="118">
        <f>IS추정!I14</f>
        <v>5015</v>
      </c>
      <c r="J2" s="118">
        <f>IS추정!J14</f>
        <v>5679</v>
      </c>
      <c r="K2" s="118">
        <f>IS추정!K14</f>
        <v>28399</v>
      </c>
      <c r="L2" s="118">
        <f>IS추정!L14</f>
        <v>41423</v>
      </c>
      <c r="M2" s="118">
        <f>IS추정!M14</f>
        <v>90816</v>
      </c>
      <c r="N2" s="118">
        <f>IS추정!N14</f>
        <v>93540</v>
      </c>
      <c r="O2" s="118">
        <f>IS추정!O14</f>
        <v>95410</v>
      </c>
    </row>
    <row r="3" spans="1:15">
      <c r="A3" s="1" t="s">
        <v>12</v>
      </c>
      <c r="B3" s="1" t="s">
        <v>16698</v>
      </c>
      <c r="C3" s="1" t="s">
        <v>16842</v>
      </c>
      <c r="D3" s="2" t="s">
        <v>16843</v>
      </c>
      <c r="E3" s="31">
        <v>11780</v>
      </c>
      <c r="F3" s="31">
        <v>14341</v>
      </c>
      <c r="G3" s="31">
        <v>11518</v>
      </c>
      <c r="H3" s="31">
        <v>7282</v>
      </c>
      <c r="I3" s="217">
        <f>IS추정!I15</f>
        <v>7282</v>
      </c>
      <c r="J3" s="118">
        <f>IS추정!J15</f>
        <v>5312</v>
      </c>
      <c r="K3" s="118">
        <f>IS추정!K15</f>
        <v>26564</v>
      </c>
      <c r="L3" s="118">
        <f>IS추정!L15</f>
        <v>32769</v>
      </c>
      <c r="M3" s="118">
        <f>IS추정!M15</f>
        <v>71206</v>
      </c>
      <c r="N3" s="118">
        <f>IS추정!N15</f>
        <v>68572</v>
      </c>
      <c r="O3" s="118">
        <f>IS추정!O15</f>
        <v>69719</v>
      </c>
    </row>
    <row r="4" spans="1:15">
      <c r="A4" s="1" t="s">
        <v>4</v>
      </c>
      <c r="B4" s="1" t="s">
        <v>16698</v>
      </c>
      <c r="C4" s="1" t="s">
        <v>16844</v>
      </c>
      <c r="D4" s="8" t="s">
        <v>16845</v>
      </c>
      <c r="E4" s="30">
        <f>E2-E3</f>
        <v>3402</v>
      </c>
      <c r="F4" s="30">
        <f>F2-F3</f>
        <v>3821</v>
      </c>
      <c r="G4" s="30">
        <f t="shared" ref="G4:I4" si="0">G2-G3</f>
        <v>676</v>
      </c>
      <c r="H4" s="30">
        <f t="shared" si="0"/>
        <v>-2267</v>
      </c>
      <c r="I4" s="30">
        <f t="shared" si="0"/>
        <v>-2267</v>
      </c>
      <c r="J4" s="119">
        <f>J2-J3</f>
        <v>367</v>
      </c>
      <c r="K4" s="119">
        <f t="shared" ref="K4:O4" si="1">K2-K3</f>
        <v>1835</v>
      </c>
      <c r="L4" s="119">
        <f t="shared" si="1"/>
        <v>8654</v>
      </c>
      <c r="M4" s="119">
        <f t="shared" si="1"/>
        <v>19610</v>
      </c>
      <c r="N4" s="119">
        <f t="shared" si="1"/>
        <v>24968</v>
      </c>
      <c r="O4" s="119">
        <f t="shared" si="1"/>
        <v>25691</v>
      </c>
    </row>
    <row r="5" spans="1:15">
      <c r="A5" s="1" t="s">
        <v>12</v>
      </c>
      <c r="B5" s="1" t="s">
        <v>2</v>
      </c>
      <c r="C5" s="1" t="s">
        <v>16846</v>
      </c>
      <c r="D5" s="2" t="s">
        <v>16847</v>
      </c>
      <c r="E5" s="31">
        <v>24</v>
      </c>
      <c r="F5" s="31">
        <v>73</v>
      </c>
      <c r="G5" s="31">
        <v>100</v>
      </c>
      <c r="H5" s="31">
        <v>92</v>
      </c>
      <c r="I5" s="31">
        <v>92</v>
      </c>
      <c r="J5" s="31"/>
      <c r="K5" s="31"/>
      <c r="L5" s="31"/>
      <c r="M5" s="31"/>
      <c r="N5" s="31"/>
      <c r="O5" s="31"/>
    </row>
    <row r="6" spans="1:15">
      <c r="A6" s="1" t="s">
        <v>12</v>
      </c>
      <c r="B6" s="1" t="s">
        <v>2</v>
      </c>
      <c r="C6" s="1" t="s">
        <v>16848</v>
      </c>
      <c r="D6" s="2" t="s">
        <v>16849</v>
      </c>
      <c r="E6" s="31">
        <v>1</v>
      </c>
      <c r="F6" s="31">
        <v>3</v>
      </c>
      <c r="G6" s="31">
        <v>3</v>
      </c>
      <c r="H6" s="31">
        <v>5</v>
      </c>
      <c r="I6" s="31">
        <v>5</v>
      </c>
      <c r="J6" s="31"/>
      <c r="K6" s="31"/>
      <c r="L6" s="31"/>
      <c r="M6" s="31"/>
      <c r="N6" s="31"/>
      <c r="O6" s="31"/>
    </row>
    <row r="7" spans="1:15">
      <c r="A7" s="1" t="s">
        <v>12</v>
      </c>
      <c r="B7" s="1" t="s">
        <v>2</v>
      </c>
      <c r="C7" s="1" t="s">
        <v>16850</v>
      </c>
      <c r="D7" s="2" t="s">
        <v>16851</v>
      </c>
      <c r="E7" s="31">
        <v>80</v>
      </c>
      <c r="F7" s="31">
        <v>358</v>
      </c>
      <c r="G7" s="31">
        <v>422</v>
      </c>
      <c r="H7" s="31">
        <v>641</v>
      </c>
      <c r="I7" s="31">
        <v>641</v>
      </c>
      <c r="J7" s="31"/>
      <c r="K7" s="31"/>
      <c r="L7" s="31"/>
      <c r="M7" s="31"/>
      <c r="N7" s="31"/>
      <c r="O7" s="31"/>
    </row>
    <row r="8" spans="1:15">
      <c r="A8" s="1" t="s">
        <v>12</v>
      </c>
      <c r="B8" s="1" t="s">
        <v>2</v>
      </c>
      <c r="C8" s="1" t="s">
        <v>16852</v>
      </c>
      <c r="D8" s="2" t="s">
        <v>16853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12</v>
      </c>
      <c r="B9" s="1" t="s">
        <v>16793</v>
      </c>
      <c r="C9" s="1" t="s">
        <v>16854</v>
      </c>
      <c r="D9" s="2" t="s">
        <v>16855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12</v>
      </c>
      <c r="B10" s="1" t="s">
        <v>2</v>
      </c>
      <c r="C10" s="1" t="s">
        <v>16856</v>
      </c>
      <c r="D10" s="2" t="s">
        <v>16857</v>
      </c>
      <c r="E10" s="31">
        <v>42</v>
      </c>
      <c r="F10" s="31">
        <v>178</v>
      </c>
      <c r="G10" s="31">
        <v>283</v>
      </c>
      <c r="H10" s="31">
        <v>224</v>
      </c>
      <c r="I10" s="31">
        <v>224</v>
      </c>
      <c r="J10" s="31"/>
      <c r="K10" s="31"/>
      <c r="L10" s="31"/>
      <c r="M10" s="31"/>
      <c r="N10" s="31"/>
      <c r="O10" s="31"/>
    </row>
    <row r="11" spans="1:15">
      <c r="A11" s="1" t="s">
        <v>12</v>
      </c>
      <c r="B11" s="1" t="s">
        <v>2</v>
      </c>
      <c r="C11" s="1" t="s">
        <v>16858</v>
      </c>
      <c r="D11" s="2" t="s">
        <v>16859</v>
      </c>
      <c r="E11" s="31">
        <v>8</v>
      </c>
      <c r="F11" s="31">
        <v>8</v>
      </c>
      <c r="G11" s="31">
        <v>6</v>
      </c>
      <c r="H11" s="31">
        <v>1</v>
      </c>
      <c r="I11" s="31">
        <v>1</v>
      </c>
      <c r="J11" s="31"/>
      <c r="K11" s="31"/>
      <c r="L11" s="31"/>
      <c r="M11" s="31"/>
      <c r="N11" s="31"/>
      <c r="O11" s="31"/>
    </row>
    <row r="12" spans="1:15">
      <c r="A12" s="1" t="s">
        <v>12</v>
      </c>
      <c r="B12" s="1" t="s">
        <v>16692</v>
      </c>
      <c r="C12" s="1" t="s">
        <v>16860</v>
      </c>
      <c r="D12" s="2" t="s">
        <v>16861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12</v>
      </c>
      <c r="B13" s="1" t="s">
        <v>2</v>
      </c>
      <c r="C13" s="1" t="s">
        <v>16862</v>
      </c>
      <c r="D13" s="2" t="s">
        <v>16863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12</v>
      </c>
      <c r="B14" s="1" t="s">
        <v>2</v>
      </c>
      <c r="C14" s="1" t="s">
        <v>16864</v>
      </c>
      <c r="D14" s="2" t="s">
        <v>16865</v>
      </c>
      <c r="E14" s="31"/>
      <c r="F14" s="31">
        <v>15</v>
      </c>
      <c r="G14" s="31">
        <v>9</v>
      </c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12</v>
      </c>
      <c r="B15" s="1" t="s">
        <v>2</v>
      </c>
      <c r="C15" s="1" t="s">
        <v>16866</v>
      </c>
      <c r="D15" s="2" t="s">
        <v>16867</v>
      </c>
      <c r="E15" s="31">
        <v>1</v>
      </c>
      <c r="F15" s="31">
        <v>2</v>
      </c>
      <c r="G15" s="31">
        <v>73</v>
      </c>
      <c r="H15" s="31">
        <v>59</v>
      </c>
      <c r="I15" s="31">
        <v>59</v>
      </c>
      <c r="J15" s="31"/>
      <c r="K15" s="31"/>
      <c r="L15" s="31"/>
      <c r="M15" s="31"/>
      <c r="N15" s="31"/>
      <c r="O15" s="31"/>
    </row>
    <row r="16" spans="1:15">
      <c r="A16" s="1" t="s">
        <v>12</v>
      </c>
      <c r="B16" s="1" t="s">
        <v>16692</v>
      </c>
      <c r="C16" s="1" t="s">
        <v>16868</v>
      </c>
      <c r="D16" s="2" t="s">
        <v>16869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12</v>
      </c>
      <c r="B17" s="1" t="s">
        <v>16870</v>
      </c>
      <c r="C17" s="1" t="s">
        <v>16871</v>
      </c>
      <c r="D17" s="2" t="s">
        <v>16872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12</v>
      </c>
      <c r="B18" s="1" t="s">
        <v>16692</v>
      </c>
      <c r="C18" s="1" t="s">
        <v>16873</v>
      </c>
      <c r="D18" s="2" t="s">
        <v>16874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12</v>
      </c>
      <c r="B19" s="1" t="s">
        <v>16777</v>
      </c>
      <c r="C19" s="1" t="s">
        <v>16875</v>
      </c>
      <c r="D19" s="2" t="s">
        <v>16876</v>
      </c>
      <c r="E19" s="31">
        <v>25</v>
      </c>
      <c r="F19" s="31">
        <v>73</v>
      </c>
      <c r="G19" s="31">
        <v>68</v>
      </c>
      <c r="H19" s="31">
        <v>5</v>
      </c>
      <c r="I19" s="31">
        <v>5</v>
      </c>
      <c r="J19" s="31"/>
      <c r="K19" s="31"/>
      <c r="L19" s="31"/>
      <c r="M19" s="31"/>
      <c r="N19" s="31"/>
      <c r="O19" s="31"/>
    </row>
    <row r="20" spans="1:27">
      <c r="A20" s="1" t="s">
        <v>12</v>
      </c>
      <c r="B20" s="1" t="s">
        <v>2</v>
      </c>
      <c r="C20" s="1" t="s">
        <v>16877</v>
      </c>
      <c r="D20" s="2" t="s">
        <v>16878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12</v>
      </c>
      <c r="B21" s="1" t="s">
        <v>16692</v>
      </c>
      <c r="C21" s="1" t="s">
        <v>16879</v>
      </c>
      <c r="D21" s="2" t="s">
        <v>16880</v>
      </c>
      <c r="E21" s="31"/>
      <c r="F21" s="31"/>
      <c r="G21" s="31">
        <v>6</v>
      </c>
      <c r="H21" s="31">
        <v>-3</v>
      </c>
      <c r="I21" s="31">
        <v>-3</v>
      </c>
      <c r="J21" s="31"/>
      <c r="K21" s="31"/>
      <c r="L21" s="31"/>
      <c r="M21" s="31"/>
      <c r="N21" s="31"/>
      <c r="O21" s="31"/>
    </row>
    <row r="22" spans="1:27">
      <c r="A22" s="1" t="s">
        <v>12</v>
      </c>
      <c r="B22" s="1" t="s">
        <v>16790</v>
      </c>
      <c r="C22" s="1" t="s">
        <v>16881</v>
      </c>
      <c r="D22" s="2" t="s">
        <v>16882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12</v>
      </c>
      <c r="B23" s="1" t="s">
        <v>16692</v>
      </c>
      <c r="C23" s="1" t="s">
        <v>16883</v>
      </c>
      <c r="D23" s="2" t="s">
        <v>16884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12</v>
      </c>
      <c r="B24" s="1" t="s">
        <v>16777</v>
      </c>
      <c r="C24" s="1" t="s">
        <v>16885</v>
      </c>
      <c r="D24" s="2" t="s">
        <v>16886</v>
      </c>
      <c r="E24" s="31"/>
      <c r="F24" s="31">
        <v>142</v>
      </c>
      <c r="G24" s="31">
        <v>415</v>
      </c>
      <c r="H24" s="31">
        <v>1862</v>
      </c>
      <c r="I24" s="31">
        <v>1862</v>
      </c>
      <c r="J24" s="31"/>
      <c r="K24" s="31"/>
      <c r="L24" s="31"/>
      <c r="M24" s="31"/>
      <c r="N24" s="31"/>
      <c r="O24" s="31"/>
    </row>
    <row r="25" spans="1:27">
      <c r="A25" s="1" t="s">
        <v>12</v>
      </c>
      <c r="B25" s="1" t="s">
        <v>16698</v>
      </c>
      <c r="C25" s="1" t="s">
        <v>16887</v>
      </c>
      <c r="D25" s="2" t="s">
        <v>16888</v>
      </c>
      <c r="E25" s="31">
        <v>207</v>
      </c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12</v>
      </c>
      <c r="B26" s="1" t="s">
        <v>2</v>
      </c>
      <c r="C26" s="1" t="s">
        <v>16889</v>
      </c>
      <c r="D26" s="2" t="s">
        <v>16890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12</v>
      </c>
      <c r="B27" s="1" t="s">
        <v>16790</v>
      </c>
      <c r="C27" s="1" t="s">
        <v>16891</v>
      </c>
      <c r="D27" s="2" t="s">
        <v>16892</v>
      </c>
      <c r="E27" s="31">
        <v>25</v>
      </c>
      <c r="F27" s="31">
        <v>25</v>
      </c>
      <c r="G27" s="31">
        <v>16</v>
      </c>
      <c r="H27" s="31">
        <v>-10</v>
      </c>
      <c r="I27" s="31">
        <v>-10</v>
      </c>
      <c r="J27" s="31"/>
      <c r="K27" s="31"/>
      <c r="L27" s="31"/>
      <c r="M27" s="31"/>
      <c r="N27" s="31"/>
      <c r="O27" s="31"/>
    </row>
    <row r="28" spans="1:27">
      <c r="A28" s="1" t="s">
        <v>12</v>
      </c>
      <c r="B28" s="1" t="s">
        <v>16790</v>
      </c>
      <c r="C28" s="1" t="s">
        <v>16893</v>
      </c>
      <c r="D28" s="3" t="s">
        <v>16894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16790</v>
      </c>
      <c r="C29" s="1" t="s">
        <v>16895</v>
      </c>
      <c r="D29" s="9" t="s">
        <v>16896</v>
      </c>
      <c r="E29" s="30">
        <f>SUM(E5:E28)</f>
        <v>413</v>
      </c>
      <c r="F29" s="30">
        <f>SUM(F5:F28)</f>
        <v>877</v>
      </c>
      <c r="G29" s="30">
        <f t="shared" ref="G29:I29" si="2">SUM(G5:G28)</f>
        <v>1401</v>
      </c>
      <c r="H29" s="30">
        <f t="shared" si="2"/>
        <v>2876</v>
      </c>
      <c r="I29" s="218">
        <f t="shared" si="2"/>
        <v>2876</v>
      </c>
      <c r="J29" s="143">
        <f>IS추정!J18</f>
        <v>1891</v>
      </c>
      <c r="K29" s="143">
        <f>IS추정!K18</f>
        <v>9459</v>
      </c>
      <c r="L29" s="143">
        <f>IS추정!L18</f>
        <v>13797</v>
      </c>
      <c r="M29" s="143">
        <f>IS추정!M18</f>
        <v>30249</v>
      </c>
      <c r="N29" s="143">
        <f>IS추정!N18</f>
        <v>31156</v>
      </c>
      <c r="O29" s="143">
        <f>IS추정!O18</f>
        <v>31779</v>
      </c>
    </row>
    <row r="30" spans="1:27" ht="17.25" thickBot="1">
      <c r="A30" s="1" t="s">
        <v>12</v>
      </c>
      <c r="B30" s="1" t="s">
        <v>16726</v>
      </c>
      <c r="C30" s="1" t="s">
        <v>16897</v>
      </c>
      <c r="D30" s="2" t="s">
        <v>16898</v>
      </c>
      <c r="E30" s="35">
        <f>RATE!$F$3</f>
        <v>1.94</v>
      </c>
      <c r="F30" s="35">
        <f>RATE!$F$3</f>
        <v>1.94</v>
      </c>
      <c r="G30" s="35">
        <f>RATE!$F$3</f>
        <v>1.94</v>
      </c>
      <c r="H30" s="35">
        <f>RATE!$F$3</f>
        <v>1.94</v>
      </c>
      <c r="I30" s="35">
        <f>RATE!$F$3</f>
        <v>1.94</v>
      </c>
      <c r="J30" s="35">
        <f>RATE!$F$3</f>
        <v>1.94</v>
      </c>
      <c r="K30" s="35">
        <f>RATE!$F$3</f>
        <v>1.94</v>
      </c>
      <c r="L30" s="35">
        <f>RATE!$F$3</f>
        <v>1.94</v>
      </c>
      <c r="M30" s="35">
        <f>RATE!$F$3</f>
        <v>1.94</v>
      </c>
      <c r="N30" s="35">
        <f>RATE!$F$3</f>
        <v>1.94</v>
      </c>
      <c r="O30" s="35">
        <f>RATE!$F$3</f>
        <v>1.94</v>
      </c>
      <c r="V30" s="497">
        <v>2</v>
      </c>
      <c r="W30" s="497">
        <v>3</v>
      </c>
      <c r="X30" s="497">
        <v>4</v>
      </c>
      <c r="Y30" s="497">
        <v>5</v>
      </c>
      <c r="Z30" s="497">
        <v>6</v>
      </c>
      <c r="AA30" s="497">
        <v>7</v>
      </c>
    </row>
    <row r="31" spans="1:27" ht="17.25" thickBot="1">
      <c r="A31" s="1" t="s">
        <v>12</v>
      </c>
      <c r="B31" s="1" t="s">
        <v>16790</v>
      </c>
      <c r="C31" s="1" t="s">
        <v>16899</v>
      </c>
      <c r="D31" s="2" t="s">
        <v>16900</v>
      </c>
      <c r="E31" s="32">
        <f>E37/E32</f>
        <v>9.51</v>
      </c>
      <c r="F31" s="32">
        <f>F37/F32</f>
        <v>16.350000000000001</v>
      </c>
      <c r="G31" s="32">
        <f t="shared" ref="G31:I31" si="3">G37/G32</f>
        <v>17.649999999999999</v>
      </c>
      <c r="H31" s="32">
        <f t="shared" si="3"/>
        <v>17.899999999999999</v>
      </c>
      <c r="I31" s="32">
        <f t="shared" si="3"/>
        <v>17.899999999999999</v>
      </c>
      <c r="J31" s="32">
        <f>ROUND(I31*(1+(J30/100)),3)</f>
        <v>18.247</v>
      </c>
      <c r="K31" s="105">
        <f t="shared" ref="K31:O31" si="4">ROUND(J31*(1+(K30/100)),3)</f>
        <v>18.600999999999999</v>
      </c>
      <c r="L31" s="105">
        <f t="shared" si="4"/>
        <v>18.962</v>
      </c>
      <c r="M31" s="105">
        <f t="shared" si="4"/>
        <v>19.329999999999998</v>
      </c>
      <c r="N31" s="105">
        <f t="shared" si="4"/>
        <v>19.704999999999998</v>
      </c>
      <c r="O31" s="105">
        <f t="shared" si="4"/>
        <v>20.087</v>
      </c>
      <c r="R31" s="348" t="s">
        <v>196</v>
      </c>
      <c r="U31" s="269" t="s">
        <v>193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12</v>
      </c>
      <c r="B32" s="1" t="s">
        <v>16698</v>
      </c>
      <c r="C32" s="1" t="s">
        <v>16901</v>
      </c>
      <c r="D32" s="2" t="s">
        <v>16902</v>
      </c>
      <c r="E32" s="31">
        <v>100</v>
      </c>
      <c r="F32" s="102">
        <v>100</v>
      </c>
      <c r="G32" s="102">
        <v>100</v>
      </c>
      <c r="H32" s="102">
        <v>100</v>
      </c>
      <c r="I32" s="347">
        <v>100</v>
      </c>
      <c r="J32" s="32">
        <f>VLOOKUP($P$32,$U$32:$AA$33,MATCH(LEFT(J$1,4),$V$31:$AA$31,0)+1,0)</f>
        <v>102.486</v>
      </c>
      <c r="K32" s="496">
        <f t="shared" ref="K32:O32" si="6">VLOOKUP($P$32,$U$32:$AA$33,MATCH(LEFT(K$1,4),$V$31:$AA$31,0)+1,0)</f>
        <v>104.70584676</v>
      </c>
      <c r="L32" s="496">
        <f t="shared" si="6"/>
        <v>106.9664459915484</v>
      </c>
      <c r="M32" s="496">
        <f t="shared" si="6"/>
        <v>109.23092565318947</v>
      </c>
      <c r="N32" s="496">
        <f t="shared" si="6"/>
        <v>111.52477509190645</v>
      </c>
      <c r="O32" s="496">
        <f t="shared" si="6"/>
        <v>113.7976500082795</v>
      </c>
      <c r="P32" s="494" t="s">
        <v>197</v>
      </c>
      <c r="R32" s="349">
        <v>1</v>
      </c>
      <c r="U32" s="226" t="s">
        <v>198</v>
      </c>
      <c r="V32" s="345">
        <f>I$32*(1+V36/100*$R$32)</f>
        <v>102.486</v>
      </c>
      <c r="W32" s="345">
        <f>V$32*(1+W36/100*$R$32)</f>
        <v>104.70584676</v>
      </c>
      <c r="X32" s="345">
        <f t="shared" ref="X32:AA32" si="7">W$32*(1+X36/100*$R$32)</f>
        <v>106.9664459915484</v>
      </c>
      <c r="Y32" s="345">
        <f t="shared" si="7"/>
        <v>109.23092565318947</v>
      </c>
      <c r="Z32" s="345">
        <f t="shared" si="7"/>
        <v>111.52477509190645</v>
      </c>
      <c r="AA32" s="345">
        <f t="shared" si="7"/>
        <v>113.7976500082795</v>
      </c>
    </row>
    <row r="33" spans="1:27">
      <c r="A33" s="1" t="s">
        <v>12</v>
      </c>
      <c r="B33" s="1" t="s">
        <v>16692</v>
      </c>
      <c r="C33" s="1" t="s">
        <v>16903</v>
      </c>
      <c r="D33" s="2" t="s">
        <v>16904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5" t="s">
        <v>448</v>
      </c>
      <c r="U33" s="226" t="s">
        <v>199</v>
      </c>
      <c r="V33" s="345">
        <f>I$32*(1+V37/100*$R$32)</f>
        <v>113.2567002991027</v>
      </c>
      <c r="W33" s="345">
        <f>V$33*(1+W37/100*$R$32)</f>
        <v>566.38085742771682</v>
      </c>
      <c r="X33" s="345">
        <f t="shared" ref="X33:AA33" si="8">W$33*(1+X37/100*$R$32)</f>
        <v>826.1415752741774</v>
      </c>
      <c r="Y33" s="345">
        <f t="shared" si="8"/>
        <v>1811.2462612163506</v>
      </c>
      <c r="Z33" s="345">
        <f t="shared" si="8"/>
        <v>1865.5832502492517</v>
      </c>
      <c r="AA33" s="345">
        <f t="shared" si="8"/>
        <v>1902.8913260219338</v>
      </c>
    </row>
    <row r="34" spans="1:27">
      <c r="A34" s="1" t="s">
        <v>12</v>
      </c>
      <c r="B34" s="1" t="s">
        <v>16692</v>
      </c>
      <c r="C34" s="1" t="s">
        <v>16905</v>
      </c>
      <c r="D34" s="2" t="s">
        <v>16906</v>
      </c>
      <c r="E34" s="31">
        <v>951</v>
      </c>
      <c r="F34" s="31">
        <v>1635</v>
      </c>
      <c r="G34" s="31">
        <v>1765</v>
      </c>
      <c r="H34" s="31">
        <v>1790</v>
      </c>
      <c r="I34" s="31">
        <v>1790</v>
      </c>
      <c r="J34" s="31"/>
      <c r="K34" s="31"/>
      <c r="L34" s="31"/>
      <c r="M34" s="31"/>
      <c r="N34" s="31"/>
      <c r="O34" s="31"/>
    </row>
    <row r="35" spans="1:27">
      <c r="A35" s="1" t="s">
        <v>12</v>
      </c>
      <c r="B35" s="1" t="s">
        <v>16790</v>
      </c>
      <c r="C35" s="1" t="s">
        <v>16907</v>
      </c>
      <c r="D35" s="2" t="s">
        <v>16908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5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12</v>
      </c>
      <c r="B36" s="1" t="s">
        <v>16698</v>
      </c>
      <c r="C36" s="1" t="s">
        <v>16909</v>
      </c>
      <c r="D36" s="2" t="s">
        <v>16910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6" t="s">
        <v>194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12</v>
      </c>
      <c r="B37" s="1" t="s">
        <v>16777</v>
      </c>
      <c r="C37" s="1" t="s">
        <v>16911</v>
      </c>
      <c r="D37" s="2" t="s">
        <v>16912</v>
      </c>
      <c r="E37" s="32">
        <f>SUM(E33:E36)</f>
        <v>951</v>
      </c>
      <c r="F37" s="32">
        <f>SUM(F33:F36)</f>
        <v>1635</v>
      </c>
      <c r="G37" s="32">
        <f t="shared" ref="G37:I37" si="9">SUM(G33:G36)</f>
        <v>1765</v>
      </c>
      <c r="H37" s="32">
        <f t="shared" si="9"/>
        <v>1790</v>
      </c>
      <c r="I37" s="32">
        <f t="shared" si="9"/>
        <v>1790</v>
      </c>
      <c r="J37" s="34">
        <f>INT(J32*J31)</f>
        <v>1870</v>
      </c>
      <c r="K37" s="34">
        <f t="shared" ref="K37:N37" si="10">INT(K32*K31)</f>
        <v>1947</v>
      </c>
      <c r="L37" s="34">
        <f t="shared" si="10"/>
        <v>2028</v>
      </c>
      <c r="M37" s="34">
        <f t="shared" si="10"/>
        <v>2111</v>
      </c>
      <c r="N37" s="34">
        <f t="shared" si="10"/>
        <v>2197</v>
      </c>
      <c r="O37" s="34">
        <f t="shared" ref="O37" si="11">INT(O32*O31)</f>
        <v>2285</v>
      </c>
      <c r="U37" s="226" t="s">
        <v>195</v>
      </c>
      <c r="V37" s="4">
        <f>성장률추정!E9</f>
        <v>13.256700299102707</v>
      </c>
      <c r="W37" s="4">
        <f>성장률추정!F9</f>
        <v>400.08596041730533</v>
      </c>
      <c r="X37" s="4">
        <f>성장률추정!G9</f>
        <v>45.863258695958308</v>
      </c>
      <c r="Y37" s="4">
        <f>성장률추정!H9</f>
        <v>119.24163066303008</v>
      </c>
      <c r="Z37" s="4">
        <f>성장률추정!I9</f>
        <v>2.9999779818129735</v>
      </c>
      <c r="AA37" s="4">
        <f>성장률추정!J9</f>
        <v>1.9998076080334437</v>
      </c>
    </row>
    <row r="38" spans="1:27">
      <c r="A38" s="1" t="s">
        <v>12</v>
      </c>
      <c r="B38" s="1" t="s">
        <v>2</v>
      </c>
      <c r="C38" s="1" t="s">
        <v>16913</v>
      </c>
      <c r="D38" s="2" t="s">
        <v>16914</v>
      </c>
      <c r="E38" s="31"/>
      <c r="F38" s="31">
        <v>452</v>
      </c>
      <c r="G38" s="31">
        <v>132</v>
      </c>
      <c r="H38" s="31">
        <v>273</v>
      </c>
      <c r="I38" s="31">
        <v>273</v>
      </c>
      <c r="J38" s="31"/>
      <c r="K38" s="31"/>
      <c r="L38" s="31"/>
      <c r="M38" s="31"/>
      <c r="N38" s="31"/>
      <c r="O38" s="31"/>
    </row>
    <row r="39" spans="1:27">
      <c r="A39" s="1" t="s">
        <v>12</v>
      </c>
      <c r="B39" s="1" t="s">
        <v>2</v>
      </c>
      <c r="C39" s="1" t="s">
        <v>16915</v>
      </c>
      <c r="D39" s="2" t="s">
        <v>16916</v>
      </c>
      <c r="E39" s="31">
        <v>1813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12</v>
      </c>
      <c r="B40" s="1" t="s">
        <v>16692</v>
      </c>
      <c r="C40" s="1" t="s">
        <v>16917</v>
      </c>
      <c r="D40" s="2" t="s">
        <v>16918</v>
      </c>
      <c r="E40" s="32">
        <f>SUM(E38:E39)</f>
        <v>1813</v>
      </c>
      <c r="F40" s="32">
        <f>SUM(F38:F39)</f>
        <v>452</v>
      </c>
      <c r="G40" s="32">
        <f t="shared" ref="G40:I40" si="12">SUM(G38:G39)</f>
        <v>132</v>
      </c>
      <c r="H40" s="32">
        <f t="shared" si="12"/>
        <v>273</v>
      </c>
      <c r="I40" s="219">
        <f t="shared" si="12"/>
        <v>273</v>
      </c>
      <c r="J40" s="32">
        <f>INT(J37*$J$76/100)</f>
        <v>275</v>
      </c>
      <c r="K40" s="32">
        <f t="shared" ref="K40:N40" si="13">INT(K37*$J$76/100)</f>
        <v>286</v>
      </c>
      <c r="L40" s="32">
        <f t="shared" si="13"/>
        <v>298</v>
      </c>
      <c r="M40" s="32">
        <f t="shared" si="13"/>
        <v>310</v>
      </c>
      <c r="N40" s="32">
        <f t="shared" si="13"/>
        <v>323</v>
      </c>
      <c r="O40" s="32">
        <f t="shared" ref="O40" si="14">INT(O37*$J$76/100)</f>
        <v>336</v>
      </c>
    </row>
    <row r="41" spans="1:27">
      <c r="A41" s="1" t="s">
        <v>4</v>
      </c>
      <c r="B41" s="1" t="s">
        <v>2</v>
      </c>
      <c r="C41" s="1" t="s">
        <v>16919</v>
      </c>
      <c r="D41" s="8" t="s">
        <v>16920</v>
      </c>
      <c r="E41" s="30">
        <f>E37+E40</f>
        <v>2764</v>
      </c>
      <c r="F41" s="30">
        <f>F37+F40</f>
        <v>2087</v>
      </c>
      <c r="G41" s="30">
        <f t="shared" ref="G41:J41" si="15">G37+G40</f>
        <v>1897</v>
      </c>
      <c r="H41" s="30">
        <f t="shared" si="15"/>
        <v>2063</v>
      </c>
      <c r="I41" s="30">
        <f t="shared" si="15"/>
        <v>2063</v>
      </c>
      <c r="J41" s="30">
        <f t="shared" si="15"/>
        <v>2145</v>
      </c>
      <c r="K41" s="30">
        <f t="shared" ref="K41" si="16">K37+K40</f>
        <v>2233</v>
      </c>
      <c r="L41" s="30">
        <f t="shared" ref="L41" si="17">L37+L40</f>
        <v>2326</v>
      </c>
      <c r="M41" s="30">
        <f t="shared" ref="M41:N41" si="18">M37+M40</f>
        <v>2421</v>
      </c>
      <c r="N41" s="30">
        <f t="shared" si="18"/>
        <v>2520</v>
      </c>
      <c r="O41" s="30">
        <f t="shared" ref="O41" si="19">O37+O40</f>
        <v>2621</v>
      </c>
    </row>
    <row r="42" spans="1:27">
      <c r="A42" s="1" t="s">
        <v>12</v>
      </c>
      <c r="B42" s="1" t="s">
        <v>16790</v>
      </c>
      <c r="C42" s="1" t="s">
        <v>16921</v>
      </c>
      <c r="D42" s="2" t="s">
        <v>16922</v>
      </c>
      <c r="E42" s="31">
        <v>54</v>
      </c>
      <c r="F42" s="31">
        <v>187</v>
      </c>
      <c r="G42" s="31">
        <v>478</v>
      </c>
      <c r="H42" s="31">
        <v>452</v>
      </c>
      <c r="I42" s="31">
        <v>452</v>
      </c>
      <c r="J42" s="31"/>
      <c r="K42" s="31"/>
      <c r="L42" s="31"/>
      <c r="M42" s="31"/>
      <c r="N42" s="31"/>
      <c r="O42" s="31"/>
    </row>
    <row r="43" spans="1:27">
      <c r="A43" s="1" t="s">
        <v>12</v>
      </c>
      <c r="B43" s="1" t="s">
        <v>16923</v>
      </c>
      <c r="C43" s="1" t="s">
        <v>16924</v>
      </c>
      <c r="D43" s="2" t="s">
        <v>16925</v>
      </c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</row>
    <row r="44" spans="1:27">
      <c r="A44" s="1" t="s">
        <v>12</v>
      </c>
      <c r="B44" s="1" t="s">
        <v>16926</v>
      </c>
      <c r="C44" s="1" t="s">
        <v>16927</v>
      </c>
      <c r="D44" s="2" t="s">
        <v>16928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12</v>
      </c>
      <c r="B45" s="1" t="s">
        <v>16929</v>
      </c>
      <c r="C45" s="1" t="s">
        <v>16930</v>
      </c>
      <c r="D45" s="2" t="s">
        <v>16931</v>
      </c>
      <c r="E45" s="31">
        <v>1</v>
      </c>
      <c r="F45" s="31">
        <v>2</v>
      </c>
      <c r="G45" s="31">
        <v>8</v>
      </c>
      <c r="H45" s="31">
        <v>4</v>
      </c>
      <c r="I45" s="31">
        <v>4</v>
      </c>
      <c r="J45" s="31"/>
      <c r="K45" s="31"/>
      <c r="L45" s="31"/>
      <c r="M45" s="31"/>
      <c r="N45" s="31"/>
      <c r="O45" s="31"/>
    </row>
    <row r="46" spans="1:27">
      <c r="A46" s="1" t="s">
        <v>12</v>
      </c>
      <c r="B46" s="1" t="s">
        <v>2</v>
      </c>
      <c r="C46" s="1" t="s">
        <v>16932</v>
      </c>
      <c r="D46" s="3" t="s">
        <v>16933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16870</v>
      </c>
      <c r="C47" s="1" t="s">
        <v>16934</v>
      </c>
      <c r="D47" s="9" t="s">
        <v>16935</v>
      </c>
      <c r="E47" s="30">
        <f>SUM(E42:E46)</f>
        <v>55</v>
      </c>
      <c r="F47" s="30">
        <f>SUM(F42:F46)</f>
        <v>189</v>
      </c>
      <c r="G47" s="30">
        <f t="shared" ref="G47:I47" si="20">SUM(G42:G46)</f>
        <v>486</v>
      </c>
      <c r="H47" s="30">
        <f t="shared" si="20"/>
        <v>456</v>
      </c>
      <c r="I47" s="218">
        <f t="shared" si="20"/>
        <v>456</v>
      </c>
      <c r="J47" s="30">
        <f>INT(J41*$J$77/100)</f>
        <v>452</v>
      </c>
      <c r="K47" s="30">
        <f t="shared" ref="K47:N47" si="21">INT(K41*$J$77/100)</f>
        <v>471</v>
      </c>
      <c r="L47" s="30">
        <f t="shared" si="21"/>
        <v>490</v>
      </c>
      <c r="M47" s="30">
        <f t="shared" si="21"/>
        <v>510</v>
      </c>
      <c r="N47" s="30">
        <f t="shared" si="21"/>
        <v>531</v>
      </c>
      <c r="O47" s="30">
        <f t="shared" ref="O47" si="22">INT(O41*$J$77/100)</f>
        <v>553</v>
      </c>
    </row>
    <row r="48" spans="1:27">
      <c r="A48" s="1" t="s">
        <v>12</v>
      </c>
      <c r="B48" s="1" t="s">
        <v>3</v>
      </c>
      <c r="C48" s="1" t="s">
        <v>16936</v>
      </c>
      <c r="D48" s="3" t="s">
        <v>16937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12</v>
      </c>
      <c r="B49" s="1" t="s">
        <v>3</v>
      </c>
      <c r="C49" s="1" t="s">
        <v>16938</v>
      </c>
      <c r="D49" s="3" t="s">
        <v>16939</v>
      </c>
      <c r="E49" s="35">
        <f>RATE!$F$4</f>
        <v>0.77</v>
      </c>
      <c r="F49" s="35">
        <f>RATE!$F$4</f>
        <v>0.77</v>
      </c>
      <c r="G49" s="35">
        <f>RATE!$F$4</f>
        <v>0.77</v>
      </c>
      <c r="H49" s="35">
        <f>RATE!$F$4</f>
        <v>0.77</v>
      </c>
      <c r="I49" s="35">
        <f>RATE!$F$4</f>
        <v>0.77</v>
      </c>
      <c r="J49" s="35">
        <f>RATE!$F$4</f>
        <v>0.77</v>
      </c>
      <c r="K49" s="35">
        <f>RATE!$F$4</f>
        <v>0.77</v>
      </c>
      <c r="L49" s="35">
        <f>RATE!$F$4</f>
        <v>0.77</v>
      </c>
      <c r="M49" s="35">
        <f>RATE!$F$4</f>
        <v>0.77</v>
      </c>
      <c r="N49" s="35">
        <f>RATE!$F$4</f>
        <v>0.77</v>
      </c>
      <c r="O49" s="35">
        <f>RATE!$F$4</f>
        <v>0.77</v>
      </c>
    </row>
    <row r="50" spans="1:15">
      <c r="A50" s="1" t="s">
        <v>12</v>
      </c>
      <c r="B50" s="1" t="s">
        <v>16790</v>
      </c>
      <c r="C50" s="1" t="s">
        <v>16940</v>
      </c>
      <c r="D50" s="3" t="s">
        <v>16941</v>
      </c>
      <c r="E50" s="31">
        <v>93</v>
      </c>
      <c r="F50" s="31">
        <v>142</v>
      </c>
      <c r="G50" s="31">
        <v>199</v>
      </c>
      <c r="H50" s="31">
        <v>244</v>
      </c>
      <c r="I50" s="31">
        <v>244</v>
      </c>
      <c r="J50" s="32">
        <f>INT(I50*(1+J$49/100))</f>
        <v>245</v>
      </c>
      <c r="K50" s="32">
        <f t="shared" ref="K50:O50" si="23">INT(J50*(1+K$49/100))</f>
        <v>246</v>
      </c>
      <c r="L50" s="32">
        <f t="shared" si="23"/>
        <v>247</v>
      </c>
      <c r="M50" s="32">
        <f t="shared" si="23"/>
        <v>248</v>
      </c>
      <c r="N50" s="32">
        <f t="shared" si="23"/>
        <v>249</v>
      </c>
      <c r="O50" s="32">
        <f t="shared" si="23"/>
        <v>250</v>
      </c>
    </row>
    <row r="51" spans="1:15">
      <c r="A51" s="1" t="s">
        <v>12</v>
      </c>
      <c r="B51" s="1" t="s">
        <v>16793</v>
      </c>
      <c r="C51" s="1" t="s">
        <v>16942</v>
      </c>
      <c r="D51" s="3" t="s">
        <v>16943</v>
      </c>
      <c r="E51" s="31">
        <v>3</v>
      </c>
      <c r="F51" s="31">
        <v>9</v>
      </c>
      <c r="G51" s="31">
        <v>4</v>
      </c>
      <c r="H51" s="31">
        <v>3</v>
      </c>
      <c r="I51" s="31">
        <v>3</v>
      </c>
      <c r="J51" s="32">
        <f>INT(I51*(1+J$48/100))</f>
        <v>3</v>
      </c>
      <c r="K51" s="32">
        <f>INT(J51*(1+K$48/100))</f>
        <v>3</v>
      </c>
      <c r="L51" s="32">
        <f t="shared" ref="L51:O51" si="24">INT(K51*(1+L$48/100))</f>
        <v>3</v>
      </c>
      <c r="M51" s="32">
        <f t="shared" si="24"/>
        <v>3</v>
      </c>
      <c r="N51" s="32">
        <f t="shared" si="24"/>
        <v>3</v>
      </c>
      <c r="O51" s="32">
        <f t="shared" si="24"/>
        <v>3</v>
      </c>
    </row>
    <row r="52" spans="1:15">
      <c r="A52" s="1" t="s">
        <v>12</v>
      </c>
      <c r="B52" s="1" t="s">
        <v>2</v>
      </c>
      <c r="C52" s="1" t="s">
        <v>16944</v>
      </c>
      <c r="D52" s="3" t="s">
        <v>16945</v>
      </c>
      <c r="E52" s="31">
        <v>8</v>
      </c>
      <c r="F52" s="31">
        <v>9</v>
      </c>
      <c r="G52" s="31">
        <v>9</v>
      </c>
      <c r="H52" s="31">
        <v>45</v>
      </c>
      <c r="I52" s="31">
        <v>45</v>
      </c>
      <c r="J52" s="32">
        <f>INT(I52*(1+J$48/100))</f>
        <v>45</v>
      </c>
      <c r="K52" s="32">
        <f t="shared" ref="K52:O52" si="25">INT(J52*(1+K$48/100))</f>
        <v>45</v>
      </c>
      <c r="L52" s="32">
        <f t="shared" si="25"/>
        <v>45</v>
      </c>
      <c r="M52" s="32">
        <f t="shared" si="25"/>
        <v>45</v>
      </c>
      <c r="N52" s="32">
        <f t="shared" si="25"/>
        <v>45</v>
      </c>
      <c r="O52" s="32">
        <f t="shared" si="25"/>
        <v>45</v>
      </c>
    </row>
    <row r="53" spans="1:15">
      <c r="A53" s="1" t="s">
        <v>12</v>
      </c>
      <c r="B53" s="1" t="s">
        <v>2</v>
      </c>
      <c r="C53" s="1" t="s">
        <v>16946</v>
      </c>
      <c r="D53" s="3" t="s">
        <v>16947</v>
      </c>
      <c r="E53" s="31">
        <v>28</v>
      </c>
      <c r="F53" s="31">
        <v>51</v>
      </c>
      <c r="G53" s="31">
        <v>19</v>
      </c>
      <c r="H53" s="31">
        <v>48</v>
      </c>
      <c r="I53" s="31">
        <v>48</v>
      </c>
      <c r="J53" s="32">
        <f t="shared" ref="J53:O62" si="26">INT(I53*(1+J$48/100))</f>
        <v>48</v>
      </c>
      <c r="K53" s="32">
        <f t="shared" si="26"/>
        <v>48</v>
      </c>
      <c r="L53" s="32">
        <f t="shared" si="26"/>
        <v>48</v>
      </c>
      <c r="M53" s="32">
        <f t="shared" si="26"/>
        <v>48</v>
      </c>
      <c r="N53" s="32">
        <f t="shared" si="26"/>
        <v>48</v>
      </c>
      <c r="O53" s="32">
        <f t="shared" si="26"/>
        <v>48</v>
      </c>
    </row>
    <row r="54" spans="1:15">
      <c r="A54" s="1" t="s">
        <v>12</v>
      </c>
      <c r="B54" s="1" t="s">
        <v>16692</v>
      </c>
      <c r="C54" s="1" t="s">
        <v>16948</v>
      </c>
      <c r="D54" s="3" t="s">
        <v>16949</v>
      </c>
      <c r="E54" s="31">
        <v>0</v>
      </c>
      <c r="F54" s="31">
        <v>0</v>
      </c>
      <c r="G54" s="31">
        <v>6</v>
      </c>
      <c r="H54" s="31">
        <v>2</v>
      </c>
      <c r="I54" s="31">
        <v>2</v>
      </c>
      <c r="J54" s="32">
        <f t="shared" si="26"/>
        <v>2</v>
      </c>
      <c r="K54" s="32">
        <f t="shared" si="26"/>
        <v>2</v>
      </c>
      <c r="L54" s="32">
        <f t="shared" si="26"/>
        <v>2</v>
      </c>
      <c r="M54" s="32">
        <f t="shared" si="26"/>
        <v>2</v>
      </c>
      <c r="N54" s="32">
        <f t="shared" si="26"/>
        <v>2</v>
      </c>
      <c r="O54" s="32">
        <f t="shared" si="26"/>
        <v>2</v>
      </c>
    </row>
    <row r="55" spans="1:15">
      <c r="A55" s="1" t="s">
        <v>12</v>
      </c>
      <c r="B55" s="1" t="s">
        <v>16692</v>
      </c>
      <c r="C55" s="1" t="s">
        <v>16950</v>
      </c>
      <c r="D55" s="3" t="s">
        <v>16951</v>
      </c>
      <c r="E55" s="31">
        <v>188</v>
      </c>
      <c r="F55" s="31">
        <v>42</v>
      </c>
      <c r="G55" s="31">
        <v>12</v>
      </c>
      <c r="H55" s="31">
        <v>59</v>
      </c>
      <c r="I55" s="31">
        <v>59</v>
      </c>
      <c r="J55" s="32">
        <f t="shared" si="26"/>
        <v>60</v>
      </c>
      <c r="K55" s="32">
        <f t="shared" si="26"/>
        <v>61</v>
      </c>
      <c r="L55" s="32">
        <f t="shared" si="26"/>
        <v>62</v>
      </c>
      <c r="M55" s="32">
        <f t="shared" si="26"/>
        <v>63</v>
      </c>
      <c r="N55" s="32">
        <f t="shared" si="26"/>
        <v>64</v>
      </c>
      <c r="O55" s="32">
        <f t="shared" si="26"/>
        <v>65</v>
      </c>
    </row>
    <row r="56" spans="1:15">
      <c r="A56" s="1" t="s">
        <v>12</v>
      </c>
      <c r="B56" s="1" t="s">
        <v>16793</v>
      </c>
      <c r="C56" s="1" t="s">
        <v>16952</v>
      </c>
      <c r="D56" s="3" t="s">
        <v>16953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12</v>
      </c>
      <c r="B57" s="1" t="s">
        <v>16790</v>
      </c>
      <c r="C57" s="1" t="s">
        <v>16954</v>
      </c>
      <c r="D57" s="3" t="s">
        <v>16955</v>
      </c>
      <c r="E57" s="31">
        <v>7</v>
      </c>
      <c r="F57" s="31">
        <v>22</v>
      </c>
      <c r="G57" s="31">
        <v>32</v>
      </c>
      <c r="H57" s="31">
        <v>75</v>
      </c>
      <c r="I57" s="31">
        <v>75</v>
      </c>
      <c r="J57" s="32">
        <f t="shared" si="26"/>
        <v>76</v>
      </c>
      <c r="K57" s="32">
        <f t="shared" si="26"/>
        <v>77</v>
      </c>
      <c r="L57" s="32">
        <f t="shared" si="26"/>
        <v>78</v>
      </c>
      <c r="M57" s="32">
        <f t="shared" si="26"/>
        <v>79</v>
      </c>
      <c r="N57" s="32">
        <f t="shared" si="26"/>
        <v>80</v>
      </c>
      <c r="O57" s="32">
        <f t="shared" si="26"/>
        <v>81</v>
      </c>
    </row>
    <row r="58" spans="1:15">
      <c r="A58" s="1" t="s">
        <v>12</v>
      </c>
      <c r="B58" s="1" t="s">
        <v>2</v>
      </c>
      <c r="C58" s="1" t="s">
        <v>16956</v>
      </c>
      <c r="D58" s="3" t="s">
        <v>16957</v>
      </c>
      <c r="E58" s="31">
        <v>1</v>
      </c>
      <c r="F58" s="31">
        <v>45</v>
      </c>
      <c r="G58" s="31">
        <v>80</v>
      </c>
      <c r="H58" s="31">
        <v>46</v>
      </c>
      <c r="I58" s="31">
        <v>46</v>
      </c>
      <c r="J58" s="32">
        <f t="shared" si="26"/>
        <v>46</v>
      </c>
      <c r="K58" s="32">
        <f t="shared" si="26"/>
        <v>46</v>
      </c>
      <c r="L58" s="32">
        <f t="shared" si="26"/>
        <v>46</v>
      </c>
      <c r="M58" s="32">
        <f t="shared" si="26"/>
        <v>46</v>
      </c>
      <c r="N58" s="32">
        <f t="shared" si="26"/>
        <v>46</v>
      </c>
      <c r="O58" s="32">
        <f t="shared" si="26"/>
        <v>46</v>
      </c>
    </row>
    <row r="59" spans="1:15">
      <c r="A59" s="1" t="s">
        <v>12</v>
      </c>
      <c r="B59" s="1" t="s">
        <v>2</v>
      </c>
      <c r="C59" s="1" t="s">
        <v>16958</v>
      </c>
      <c r="D59" s="3" t="s">
        <v>16959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12</v>
      </c>
      <c r="B60" s="1" t="s">
        <v>2</v>
      </c>
      <c r="C60" s="1" t="s">
        <v>16960</v>
      </c>
      <c r="D60" s="3" t="s">
        <v>16961</v>
      </c>
      <c r="E60" s="31"/>
      <c r="F60" s="31"/>
      <c r="G60" s="31"/>
      <c r="H60" s="31"/>
      <c r="I60" s="31"/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32">
        <f t="shared" si="26"/>
        <v>0</v>
      </c>
    </row>
    <row r="61" spans="1:15">
      <c r="A61" s="1" t="s">
        <v>12</v>
      </c>
      <c r="B61" s="1" t="s">
        <v>16692</v>
      </c>
      <c r="C61" s="1" t="s">
        <v>16962</v>
      </c>
      <c r="D61" s="3" t="s">
        <v>16963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12</v>
      </c>
      <c r="B62" s="1" t="s">
        <v>2</v>
      </c>
      <c r="C62" s="1" t="s">
        <v>16964</v>
      </c>
      <c r="D62" s="3" t="s">
        <v>16965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16729</v>
      </c>
      <c r="B63" s="1" t="s">
        <v>2</v>
      </c>
      <c r="C63" s="1" t="s">
        <v>16966</v>
      </c>
      <c r="D63" s="8" t="s">
        <v>16967</v>
      </c>
      <c r="E63" s="30">
        <f>SUM(E50:E62)</f>
        <v>328</v>
      </c>
      <c r="F63" s="30">
        <f>SUM(F50:F62)</f>
        <v>320</v>
      </c>
      <c r="G63" s="30">
        <f t="shared" ref="G63:I63" si="27">SUM(G50:G62)</f>
        <v>361</v>
      </c>
      <c r="H63" s="30">
        <f t="shared" si="27"/>
        <v>522</v>
      </c>
      <c r="I63" s="30">
        <f t="shared" si="27"/>
        <v>522</v>
      </c>
      <c r="J63" s="30">
        <f>SUM(J50:J62)</f>
        <v>525</v>
      </c>
      <c r="K63" s="30">
        <f t="shared" ref="K63" si="28">SUM(K50:K62)</f>
        <v>528</v>
      </c>
      <c r="L63" s="30">
        <f t="shared" ref="L63" si="29">SUM(L50:L62)</f>
        <v>531</v>
      </c>
      <c r="M63" s="30">
        <f t="shared" ref="M63" si="30">SUM(M50:M62)</f>
        <v>534</v>
      </c>
      <c r="N63" s="30">
        <f>SUM(N50:N62)</f>
        <v>537</v>
      </c>
      <c r="O63" s="30">
        <f>SUM(O50:O62)</f>
        <v>540</v>
      </c>
    </row>
    <row r="64" spans="1:15">
      <c r="A64" s="1" t="s">
        <v>4</v>
      </c>
      <c r="B64" s="1" t="s">
        <v>16793</v>
      </c>
      <c r="C64" s="1" t="s">
        <v>16968</v>
      </c>
      <c r="D64" s="8" t="s">
        <v>16969</v>
      </c>
      <c r="E64" s="36">
        <f>감가상각추정!E9</f>
        <v>26</v>
      </c>
      <c r="F64" s="36">
        <f>감가상각추정!F9</f>
        <v>35</v>
      </c>
      <c r="G64" s="36">
        <f>감가상각추정!G9</f>
        <v>63</v>
      </c>
      <c r="H64" s="36">
        <f>감가상각추정!H9</f>
        <v>125</v>
      </c>
      <c r="I64" s="36">
        <f>감가상각추정!I9</f>
        <v>125</v>
      </c>
      <c r="J64" s="36">
        <f ca="1">감가상각추정!J9</f>
        <v>163</v>
      </c>
      <c r="K64" s="36">
        <f ca="1">감가상각추정!K9</f>
        <v>174</v>
      </c>
      <c r="L64" s="36">
        <f ca="1">감가상각추정!L9</f>
        <v>185</v>
      </c>
      <c r="M64" s="36">
        <f ca="1">감가상각추정!M9</f>
        <v>198</v>
      </c>
      <c r="N64" s="36">
        <f ca="1">감가상각추정!N9</f>
        <v>211</v>
      </c>
      <c r="O64" s="36">
        <f ca="1">감가상각추정!O9</f>
        <v>225</v>
      </c>
    </row>
    <row r="65" spans="1:20">
      <c r="A65" s="1" t="s">
        <v>12</v>
      </c>
      <c r="B65" s="1" t="s">
        <v>2</v>
      </c>
      <c r="C65" s="1" t="s">
        <v>16970</v>
      </c>
      <c r="D65" s="8" t="s">
        <v>16971</v>
      </c>
      <c r="E65" s="36">
        <f>감가상각추정!E15</f>
        <v>0</v>
      </c>
      <c r="F65" s="36">
        <f>감가상각추정!F15</f>
        <v>21</v>
      </c>
      <c r="G65" s="36">
        <f>감가상각추정!G15</f>
        <v>23</v>
      </c>
      <c r="H65" s="36">
        <f>감가상각추정!H15</f>
        <v>15</v>
      </c>
      <c r="I65" s="36">
        <f>감가상각추정!I15</f>
        <v>15</v>
      </c>
      <c r="J65" s="36">
        <f ca="1">감가상각추정!J15</f>
        <v>77</v>
      </c>
      <c r="K65" s="36">
        <f ca="1">감가상각추정!K15</f>
        <v>79</v>
      </c>
      <c r="L65" s="36">
        <f ca="1">감가상각추정!L15</f>
        <v>82</v>
      </c>
      <c r="M65" s="36">
        <f ca="1">감가상각추정!M15</f>
        <v>84</v>
      </c>
      <c r="N65" s="36">
        <f ca="1">감가상각추정!N15</f>
        <v>86</v>
      </c>
      <c r="O65" s="36">
        <f ca="1">감가상각추정!O15</f>
        <v>89</v>
      </c>
    </row>
    <row r="66" spans="1:20">
      <c r="A66" s="1" t="s">
        <v>4</v>
      </c>
      <c r="B66" s="1" t="s">
        <v>2</v>
      </c>
      <c r="C66" s="1" t="s">
        <v>16972</v>
      </c>
      <c r="D66" s="8" t="s">
        <v>16973</v>
      </c>
      <c r="E66" s="31">
        <v>9</v>
      </c>
      <c r="F66" s="31"/>
      <c r="G66" s="31"/>
      <c r="H66" s="31"/>
      <c r="I66" s="31"/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20">
      <c r="A67" s="1" t="s">
        <v>16697</v>
      </c>
      <c r="B67" s="1" t="s">
        <v>2</v>
      </c>
      <c r="C67" s="1" t="s">
        <v>16974</v>
      </c>
      <c r="D67" s="8" t="s">
        <v>16975</v>
      </c>
      <c r="E67" s="30">
        <f>E29+E41+E47+E63+E64+E65+E66</f>
        <v>3595</v>
      </c>
      <c r="F67" s="30">
        <f>F29+F41+F47+F63+F64+F65+F66</f>
        <v>3529</v>
      </c>
      <c r="G67" s="30">
        <f t="shared" ref="G67:I67" si="31">G29+G41+G47+G63+G64+G65+G66</f>
        <v>4231</v>
      </c>
      <c r="H67" s="30">
        <f t="shared" si="31"/>
        <v>6057</v>
      </c>
      <c r="I67" s="30">
        <f t="shared" si="31"/>
        <v>6057</v>
      </c>
      <c r="J67" s="89">
        <f ca="1">J29+J41+J47+J63+J64+J65+J66</f>
        <v>5253</v>
      </c>
      <c r="K67" s="89">
        <f t="shared" ref="K67:O67" ca="1" si="32">K29+K41+K47+K63+K64+K65+K66</f>
        <v>12944</v>
      </c>
      <c r="L67" s="89">
        <f t="shared" ca="1" si="32"/>
        <v>17411</v>
      </c>
      <c r="M67" s="89">
        <f t="shared" ca="1" si="32"/>
        <v>33996</v>
      </c>
      <c r="N67" s="89">
        <f t="shared" ca="1" si="32"/>
        <v>35041</v>
      </c>
      <c r="O67" s="89">
        <f t="shared" ca="1" si="32"/>
        <v>35807</v>
      </c>
    </row>
    <row r="68" spans="1:20">
      <c r="A68" s="2" t="s">
        <v>12</v>
      </c>
      <c r="B68" s="2" t="s">
        <v>11</v>
      </c>
      <c r="C68" s="1" t="s">
        <v>16976</v>
      </c>
      <c r="D68" s="2" t="s">
        <v>16977</v>
      </c>
      <c r="E68" s="33">
        <f>IS추정!E17</f>
        <v>3594</v>
      </c>
      <c r="F68" s="33">
        <f>IS추정!F17</f>
        <v>3527</v>
      </c>
      <c r="G68" s="33">
        <f>IS추정!G17</f>
        <v>4229</v>
      </c>
      <c r="H68" s="33">
        <f>IS추정!H17</f>
        <v>6057</v>
      </c>
      <c r="O68" s="86"/>
    </row>
    <row r="69" spans="1:20">
      <c r="A69" s="2" t="s">
        <v>104</v>
      </c>
      <c r="B69" s="2" t="s">
        <v>11</v>
      </c>
      <c r="C69" s="1" t="s">
        <v>16978</v>
      </c>
      <c r="D69" s="2" t="s">
        <v>16979</v>
      </c>
      <c r="E69" s="45">
        <f>E67-E68</f>
        <v>1</v>
      </c>
      <c r="F69" s="45">
        <f>F67-F68</f>
        <v>2</v>
      </c>
      <c r="G69" s="45">
        <f>G67-G68</f>
        <v>2</v>
      </c>
      <c r="H69" s="45">
        <f>H67-H68</f>
        <v>0</v>
      </c>
      <c r="O69" s="86"/>
    </row>
    <row r="71" spans="1:20">
      <c r="L71" s="56" t="s">
        <v>0</v>
      </c>
    </row>
    <row r="72" spans="1:20" ht="17.25" thickBot="1">
      <c r="L72" s="57">
        <f ca="1">+민감도!B7</f>
        <v>-3237369.4615647378</v>
      </c>
    </row>
    <row r="73" spans="1:20" ht="17.25" thickBot="1">
      <c r="A73" s="367">
        <f>ROW(C78)-ROW(C73)</f>
        <v>5</v>
      </c>
      <c r="B73" s="1"/>
      <c r="C73" s="1" t="s">
        <v>16987</v>
      </c>
      <c r="D73" s="1" t="s">
        <v>16988</v>
      </c>
      <c r="E73" s="1" t="s">
        <v>16473</v>
      </c>
      <c r="F73" s="1" t="s">
        <v>16475</v>
      </c>
      <c r="G73" s="1" t="s">
        <v>16477</v>
      </c>
      <c r="H73" s="1" t="s">
        <v>16480</v>
      </c>
      <c r="I73" s="1" t="s">
        <v>16826</v>
      </c>
      <c r="J73" s="360" t="s">
        <v>202</v>
      </c>
      <c r="L73" s="116" t="s">
        <v>27</v>
      </c>
      <c r="M73" s="14"/>
      <c r="N73" s="354" t="s">
        <v>28</v>
      </c>
      <c r="O73" s="354" t="s">
        <v>24</v>
      </c>
      <c r="P73" s="354" t="s">
        <v>25</v>
      </c>
      <c r="Q73" s="354" t="s">
        <v>207</v>
      </c>
      <c r="R73" s="354" t="s">
        <v>29</v>
      </c>
      <c r="S73" s="363" t="s">
        <v>206</v>
      </c>
      <c r="T73" s="354" t="s">
        <v>26</v>
      </c>
    </row>
    <row r="74" spans="1:20">
      <c r="A74" s="1" t="s">
        <v>12</v>
      </c>
      <c r="B74" s="1" t="s">
        <v>16989</v>
      </c>
      <c r="C74" s="1" t="s">
        <v>16990</v>
      </c>
      <c r="D74" s="2" t="s">
        <v>16991</v>
      </c>
      <c r="E74" s="28">
        <f>E3/E2*100</f>
        <v>77.591885127124229</v>
      </c>
      <c r="F74" s="28">
        <f>F3/F2*100</f>
        <v>78.961568109239067</v>
      </c>
      <c r="G74" s="28">
        <f t="shared" ref="G74:H74" si="33">G3/G2*100</f>
        <v>94.456289978678043</v>
      </c>
      <c r="H74" s="28">
        <f t="shared" si="33"/>
        <v>145.20438683948157</v>
      </c>
      <c r="I74" s="28">
        <f>(F74+G74*2+H74*3)/6</f>
        <v>117.24788476417331</v>
      </c>
      <c r="J74" s="356">
        <f>HLOOKUP($J$73,$N$73:$T$78,$M74,0)</f>
        <v>117.24788476417331</v>
      </c>
      <c r="K74" s="92">
        <f>(E74+F74*2+G74*3)/6</f>
        <v>86.480648546939406</v>
      </c>
      <c r="L74" s="159"/>
      <c r="M74" s="359">
        <v>2</v>
      </c>
      <c r="N74" s="353">
        <f>AVERAGE(E74:H74)</f>
        <v>99.053532513630728</v>
      </c>
      <c r="O74" s="353">
        <f>AVERAGE(F74:H74)</f>
        <v>106.20741497579957</v>
      </c>
      <c r="P74" s="353">
        <f>AVERAGE(G74:H74)</f>
        <v>119.83033840907981</v>
      </c>
      <c r="Q74" s="353">
        <f>AVERAGE(E74:G74)</f>
        <v>83.669914405013785</v>
      </c>
      <c r="R74" s="353">
        <f>(4*H74+3*G74+2*F74+E74)/10</f>
        <v>109.97014386395628</v>
      </c>
      <c r="S74" s="353">
        <f>(F74+G74*2+H74*3)/6</f>
        <v>117.24788476417331</v>
      </c>
      <c r="T74" s="364">
        <f>(2*H74+G74)/3</f>
        <v>128.28835455254708</v>
      </c>
    </row>
    <row r="75" spans="1:20">
      <c r="A75" s="1" t="s">
        <v>12</v>
      </c>
      <c r="B75" s="1" t="s">
        <v>16721</v>
      </c>
      <c r="C75" s="1" t="s">
        <v>16992</v>
      </c>
      <c r="D75" s="2" t="s">
        <v>16993</v>
      </c>
      <c r="E75" s="28">
        <f>E29/E2*100</f>
        <v>2.7203267026742193</v>
      </c>
      <c r="F75" s="28">
        <f>F29/F2*100</f>
        <v>4.8287633520537385</v>
      </c>
      <c r="G75" s="28">
        <f t="shared" ref="G75:H75" si="34">G29/G2*100</f>
        <v>11.489257011645071</v>
      </c>
      <c r="H75" s="28">
        <f t="shared" si="34"/>
        <v>57.34795613160518</v>
      </c>
      <c r="I75" s="28">
        <f t="shared" ref="I75:I78" si="35">(F75+G75*2+H75*3)/6</f>
        <v>33.308524295026572</v>
      </c>
      <c r="J75" s="357">
        <f t="shared" ref="J75:J78" si="36">HLOOKUP($J$73,$N$73:$T$78,$M75,0)</f>
        <v>33.308524295026572</v>
      </c>
      <c r="K75" s="92">
        <f t="shared" ref="K75:K78" si="37">(E75+F75*2+G75*3)/6</f>
        <v>7.8076040736194843</v>
      </c>
      <c r="L75" s="159"/>
      <c r="M75" s="359">
        <v>3</v>
      </c>
      <c r="N75" s="353">
        <f>AVERAGE(E75:H75)</f>
        <v>19.096575799494552</v>
      </c>
      <c r="O75" s="353">
        <f>AVERAGE(F75:H75)</f>
        <v>24.555325498434666</v>
      </c>
      <c r="P75" s="353">
        <f>AVERAGE(G75:H75)</f>
        <v>34.418606571625126</v>
      </c>
      <c r="Q75" s="353">
        <f>AVERAGE(E75:G75)</f>
        <v>6.3461156887910093</v>
      </c>
      <c r="R75" s="353">
        <f>(4*H75+3*G75+2*F75+E75)/10</f>
        <v>27.623744896813765</v>
      </c>
      <c r="S75" s="353">
        <f t="shared" ref="S75:S78" si="38">(F75+G75*2+H75*3)/6</f>
        <v>33.308524295026572</v>
      </c>
      <c r="T75" s="364">
        <f>(2*H75+G75)/3</f>
        <v>42.061723091618475</v>
      </c>
    </row>
    <row r="76" spans="1:20">
      <c r="A76" s="1" t="s">
        <v>12</v>
      </c>
      <c r="B76" s="1" t="s">
        <v>16708</v>
      </c>
      <c r="C76" s="1" t="s">
        <v>16994</v>
      </c>
      <c r="D76" s="2" t="s">
        <v>16995</v>
      </c>
      <c r="E76" s="28">
        <f>E40/E37*100</f>
        <v>190.64143007360673</v>
      </c>
      <c r="F76" s="28">
        <f>F40/F37*100</f>
        <v>27.645259938837917</v>
      </c>
      <c r="G76" s="28">
        <f t="shared" ref="G76:H76" si="39">G40/G37*100</f>
        <v>7.4787535410764869</v>
      </c>
      <c r="H76" s="28">
        <f t="shared" si="39"/>
        <v>15.251396648044693</v>
      </c>
      <c r="I76" s="28">
        <f t="shared" si="35"/>
        <v>14.726159494187494</v>
      </c>
      <c r="J76" s="357">
        <f t="shared" si="36"/>
        <v>14.726159494187494</v>
      </c>
      <c r="K76" s="92">
        <f t="shared" si="37"/>
        <v>44.728035095752006</v>
      </c>
      <c r="L76" s="159"/>
      <c r="M76" s="359">
        <v>4</v>
      </c>
      <c r="N76" s="353">
        <f>AVERAGE(E76:H76)</f>
        <v>60.254210050391457</v>
      </c>
      <c r="O76" s="353">
        <f>AVERAGE(F76:H76)</f>
        <v>16.791803375986365</v>
      </c>
      <c r="P76" s="353">
        <f>AVERAGE(G76:H76)</f>
        <v>11.36507509456059</v>
      </c>
      <c r="Q76" s="353">
        <f>AVERAGE(E76:G76)</f>
        <v>75.255147851173703</v>
      </c>
      <c r="R76" s="353">
        <f>(4*H76+3*G76+2*F76+E76)/10</f>
        <v>32.937379716669078</v>
      </c>
      <c r="S76" s="353">
        <f t="shared" si="38"/>
        <v>14.726159494187494</v>
      </c>
      <c r="T76" s="364">
        <f>(2*H76+G76)/3</f>
        <v>12.660515612388624</v>
      </c>
    </row>
    <row r="77" spans="1:20">
      <c r="A77" s="1" t="s">
        <v>12</v>
      </c>
      <c r="B77" s="1" t="s">
        <v>16989</v>
      </c>
      <c r="C77" s="1" t="s">
        <v>16996</v>
      </c>
      <c r="D77" s="2" t="s">
        <v>16997</v>
      </c>
      <c r="E77" s="28">
        <f>E47/E41*100</f>
        <v>1.9898697539797394</v>
      </c>
      <c r="F77" s="28">
        <f>F47/F41*100</f>
        <v>9.0560613320555809</v>
      </c>
      <c r="G77" s="28">
        <f t="shared" ref="G77:H77" si="40">G47/G41*100</f>
        <v>25.619399051133367</v>
      </c>
      <c r="H77" s="28">
        <f t="shared" si="40"/>
        <v>22.10373242850218</v>
      </c>
      <c r="I77" s="28">
        <f t="shared" si="35"/>
        <v>21.101009453304808</v>
      </c>
      <c r="J77" s="357">
        <f t="shared" si="36"/>
        <v>21.101009453304808</v>
      </c>
      <c r="K77" s="92">
        <f t="shared" si="37"/>
        <v>16.160031595248501</v>
      </c>
      <c r="L77" s="159"/>
      <c r="M77" s="359">
        <v>5</v>
      </c>
      <c r="N77" s="353">
        <f>AVERAGE(E77:H77)</f>
        <v>14.692265641417716</v>
      </c>
      <c r="O77" s="353">
        <f>AVERAGE(F77:H77)</f>
        <v>18.926397603897044</v>
      </c>
      <c r="P77" s="353">
        <f>AVERAGE(G77:H77)</f>
        <v>23.861565739817774</v>
      </c>
      <c r="Q77" s="353">
        <f>AVERAGE(E77:G77)</f>
        <v>12.221776712389563</v>
      </c>
      <c r="R77" s="353">
        <f>(4*H77+3*G77+2*F77+E77)/10</f>
        <v>18.537511928549971</v>
      </c>
      <c r="S77" s="353">
        <f t="shared" si="38"/>
        <v>21.101009453304808</v>
      </c>
      <c r="T77" s="364">
        <f>(2*H77+G77)/3</f>
        <v>23.275621302712576</v>
      </c>
    </row>
    <row r="78" spans="1:20" ht="17.25" thickBot="1">
      <c r="A78" s="1" t="s">
        <v>12</v>
      </c>
      <c r="B78" s="1" t="s">
        <v>16726</v>
      </c>
      <c r="C78" s="1" t="s">
        <v>16998</v>
      </c>
      <c r="D78" s="2" t="s">
        <v>16999</v>
      </c>
      <c r="E78" s="28">
        <f>IF(E66=0,0,E66/E2*100)</f>
        <v>5.9280727176920033E-2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58">
        <f t="shared" si="36"/>
        <v>0</v>
      </c>
      <c r="K78" s="92">
        <f t="shared" si="37"/>
        <v>9.8801211961533388E-3</v>
      </c>
      <c r="L78" s="159"/>
      <c r="M78" s="359">
        <v>6</v>
      </c>
      <c r="N78" s="353">
        <f>AVERAGE(E78:H78)</f>
        <v>1.4820181794230008E-2</v>
      </c>
      <c r="O78" s="353">
        <f>AVERAGE(F78:H78)</f>
        <v>0</v>
      </c>
      <c r="P78" s="353">
        <f>AVERAGE(G78:H78)</f>
        <v>0</v>
      </c>
      <c r="Q78" s="353">
        <f>AVERAGE(E78:G78)</f>
        <v>1.9760242392306678E-2</v>
      </c>
      <c r="R78" s="353">
        <f>(4*H78+3*G78+2*F78+E78)/10</f>
        <v>5.9280727176920034E-3</v>
      </c>
      <c r="S78" s="353">
        <f t="shared" si="38"/>
        <v>0</v>
      </c>
      <c r="T78" s="364">
        <f>(2*H78+G78)/3</f>
        <v>0</v>
      </c>
    </row>
    <row r="79" spans="1:20" s="99" customFormat="1">
      <c r="A79" s="1"/>
      <c r="B79" s="1"/>
      <c r="E79" s="246">
        <f>E74+E75</f>
        <v>80.312211829798443</v>
      </c>
      <c r="F79" s="246">
        <f t="shared" ref="F79:S79" si="41">F74+F75</f>
        <v>83.790331461292809</v>
      </c>
      <c r="G79" s="246">
        <f t="shared" si="41"/>
        <v>105.94554699032311</v>
      </c>
      <c r="H79" s="246">
        <f t="shared" si="41"/>
        <v>202.55234297108674</v>
      </c>
      <c r="I79" s="246">
        <f t="shared" si="41"/>
        <v>150.55640905919989</v>
      </c>
      <c r="J79" s="246">
        <f t="shared" si="41"/>
        <v>150.55640905919989</v>
      </c>
      <c r="K79" s="246">
        <f t="shared" si="41"/>
        <v>94.288252620558893</v>
      </c>
      <c r="L79" s="246">
        <f t="shared" si="41"/>
        <v>0</v>
      </c>
      <c r="M79" s="246"/>
      <c r="N79" s="365">
        <f t="shared" si="41"/>
        <v>118.15010831312529</v>
      </c>
      <c r="O79" s="365">
        <f t="shared" si="41"/>
        <v>130.76274047423422</v>
      </c>
      <c r="P79" s="365">
        <f t="shared" si="41"/>
        <v>154.24894498070495</v>
      </c>
      <c r="Q79" s="365">
        <f t="shared" si="41"/>
        <v>90.016030093804801</v>
      </c>
      <c r="R79" s="365">
        <f t="shared" si="41"/>
        <v>137.59388876077006</v>
      </c>
      <c r="S79" s="366">
        <f t="shared" si="41"/>
        <v>150.55640905919989</v>
      </c>
      <c r="T79" s="365">
        <f>T74+T75</f>
        <v>170.35007764416554</v>
      </c>
    </row>
    <row r="81" spans="4:16">
      <c r="D81" s="160"/>
      <c r="E81" s="228" t="str">
        <f>E1</f>
        <v>20201231K</v>
      </c>
      <c r="F81" s="228" t="str">
        <f t="shared" ref="F81:O81" si="42">F1</f>
        <v>20211231K</v>
      </c>
      <c r="G81" s="228" t="str">
        <f t="shared" si="42"/>
        <v>20221231K</v>
      </c>
      <c r="H81" s="228" t="str">
        <f t="shared" si="42"/>
        <v>20231231K</v>
      </c>
      <c r="I81" s="228" t="str">
        <f t="shared" si="42"/>
        <v>20231231Y</v>
      </c>
      <c r="J81" s="228" t="str">
        <f t="shared" si="42"/>
        <v>20241231Z</v>
      </c>
      <c r="K81" s="228" t="str">
        <f t="shared" si="42"/>
        <v>20251231Z</v>
      </c>
      <c r="L81" s="228" t="str">
        <f t="shared" si="42"/>
        <v>20261231Z</v>
      </c>
      <c r="M81" s="228" t="str">
        <f t="shared" si="42"/>
        <v>20271231Z</v>
      </c>
      <c r="N81" s="228" t="str">
        <f t="shared" si="42"/>
        <v>20281231Z</v>
      </c>
      <c r="O81" s="228" t="str">
        <f t="shared" si="42"/>
        <v>20291231Z</v>
      </c>
    </row>
    <row r="82" spans="4:16">
      <c r="D82" s="157" t="s">
        <v>62</v>
      </c>
      <c r="E82" s="229"/>
      <c r="F82" s="229"/>
      <c r="G82" s="229"/>
      <c r="H82" s="230">
        <f>WACC!$E$18</f>
        <v>42743</v>
      </c>
      <c r="I82" s="230">
        <f>WACC!$E$18</f>
        <v>42743</v>
      </c>
      <c r="J82" s="230">
        <f>WACC!$E$18</f>
        <v>42743</v>
      </c>
      <c r="K82" s="230">
        <f>WACC!$E$18</f>
        <v>42743</v>
      </c>
      <c r="L82" s="230">
        <f>WACC!$E$18</f>
        <v>42743</v>
      </c>
      <c r="M82" s="230">
        <f>WACC!$E$18</f>
        <v>42743</v>
      </c>
      <c r="N82" s="230">
        <f>WACC!$E$18</f>
        <v>42743</v>
      </c>
      <c r="O82" s="230">
        <f>WACC!$E$18</f>
        <v>42743</v>
      </c>
    </row>
    <row r="83" spans="4:16">
      <c r="D83" s="157" t="s">
        <v>54</v>
      </c>
      <c r="E83" s="189" t="e">
        <f>IS추정!E36*1000000/E82</f>
        <v>#DIV/0!</v>
      </c>
      <c r="F83" s="189" t="e">
        <f>IS추정!F36*1000000/F82</f>
        <v>#DIV/0!</v>
      </c>
      <c r="G83" s="189" t="e">
        <f>IS추정!G36*1000000/G82</f>
        <v>#DIV/0!</v>
      </c>
      <c r="H83" s="220">
        <f>IS추정!H36*1000000/H82</f>
        <v>-233628.89829913669</v>
      </c>
      <c r="I83" s="189">
        <f>IS추정!I36*1000000/I82</f>
        <v>0</v>
      </c>
      <c r="J83" s="189">
        <f ca="1">IS추정!J36*1000000/J82</f>
        <v>0</v>
      </c>
      <c r="K83" s="189">
        <f ca="1">IS추정!K36*1000000/K82</f>
        <v>0</v>
      </c>
      <c r="L83" s="189">
        <f ca="1">IS추정!L36*1000000/L82</f>
        <v>0</v>
      </c>
      <c r="M83" s="189">
        <f ca="1">IS추정!M36*1000000/M82</f>
        <v>0</v>
      </c>
      <c r="N83" s="189">
        <f ca="1">IS추정!N36*1000000/N82</f>
        <v>0</v>
      </c>
      <c r="O83" s="189">
        <f ca="1">IS추정!O36*1000000/O82</f>
        <v>0</v>
      </c>
    </row>
    <row r="84" spans="4:16" s="99" customFormat="1">
      <c r="D84" s="157" t="s">
        <v>61</v>
      </c>
      <c r="E84" s="189" t="e">
        <f>IS추정!E14*1000000/E82</f>
        <v>#DIV/0!</v>
      </c>
      <c r="F84" s="189" t="e">
        <f>IS추정!F14*1000000/F82</f>
        <v>#DIV/0!</v>
      </c>
      <c r="G84" s="189" t="e">
        <f>IS추정!G14*1000000/G82</f>
        <v>#DIV/0!</v>
      </c>
      <c r="H84" s="220">
        <f>IS추정!H14*1000000/H82</f>
        <v>117329.15331165337</v>
      </c>
      <c r="I84" s="189">
        <f>IS추정!I14*1000000/I82</f>
        <v>117329.15331165337</v>
      </c>
      <c r="J84" s="189">
        <f>IS추정!J14*1000000/J82</f>
        <v>132863.86074912851</v>
      </c>
      <c r="K84" s="189">
        <f>IS추정!K14*1000000/K82</f>
        <v>664412.88632056711</v>
      </c>
      <c r="L84" s="189">
        <f>IS추정!L14*1000000/L82</f>
        <v>969117.75027489883</v>
      </c>
      <c r="M84" s="189">
        <f>IS추정!M14*1000000/M82</f>
        <v>2124698.7810869617</v>
      </c>
      <c r="N84" s="189">
        <f>IS추정!N14*1000000/N82</f>
        <v>2188428.5146105797</v>
      </c>
      <c r="O84" s="189">
        <f>IS추정!O14*1000000/O82</f>
        <v>2232178.3683878062</v>
      </c>
    </row>
    <row r="85" spans="4:16">
      <c r="D85" s="157" t="s">
        <v>55</v>
      </c>
      <c r="E85" s="189" t="e">
        <f>BS추정!E36*1000000/E82</f>
        <v>#DIV/0!</v>
      </c>
      <c r="F85" s="189" t="e">
        <f>BS추정!F36*1000000/F82</f>
        <v>#DIV/0!</v>
      </c>
      <c r="G85" s="189" t="e">
        <f>BS추정!G36*1000000/G82</f>
        <v>#DIV/0!</v>
      </c>
      <c r="H85" s="189">
        <f>BS추정!H36*1000000/H82</f>
        <v>534941.39391245355</v>
      </c>
      <c r="I85" s="189">
        <f>BS추정!I36*1000000/I82</f>
        <v>534941.39391245355</v>
      </c>
      <c r="J85" s="189">
        <f ca="1">BS추정!J36*1000000/J82</f>
        <v>534917.99826872232</v>
      </c>
      <c r="K85" s="189">
        <f ca="1">BS추정!K36*1000000/K82</f>
        <v>534917.99826872232</v>
      </c>
      <c r="L85" s="189">
        <f ca="1">BS추정!L36*1000000/L82</f>
        <v>534917.99826872232</v>
      </c>
      <c r="M85" s="189">
        <f ca="1">BS추정!M36*1000000/M82</f>
        <v>534917.99826872232</v>
      </c>
      <c r="N85" s="189">
        <f ca="1">BS추정!N36*1000000/N82</f>
        <v>534917.99826872232</v>
      </c>
      <c r="O85" s="189">
        <f ca="1">BS추정!O36*1000000/O82</f>
        <v>534917.99826872232</v>
      </c>
    </row>
    <row r="86" spans="4:16">
      <c r="D86" s="157" t="s">
        <v>56</v>
      </c>
      <c r="E86" s="133">
        <f>IS추정!E17/IS추정!E14</f>
        <v>0.23672770385983402</v>
      </c>
      <c r="F86" s="133">
        <f>IS추정!F17/IS추정!F14</f>
        <v>0.19419667437506882</v>
      </c>
      <c r="G86" s="133">
        <f>IS추정!G17/IS추정!G14</f>
        <v>0.34680990651139904</v>
      </c>
      <c r="H86" s="133">
        <f>IS추정!H17/IS추정!H14</f>
        <v>1.2077766699900299</v>
      </c>
      <c r="I86" s="133">
        <f>IS추정!I17/IS추정!I14</f>
        <v>1.2077766699900299</v>
      </c>
      <c r="J86" s="133">
        <f ca="1">IS추정!J17/IS추정!J14</f>
        <v>0.92498679344955093</v>
      </c>
      <c r="K86" s="133">
        <f ca="1">IS추정!K17/IS추정!K14</f>
        <v>0.45579069685552309</v>
      </c>
      <c r="L86" s="133">
        <f ca="1">IS추정!L17/IS추정!L14</f>
        <v>0.42032204330927264</v>
      </c>
      <c r="M86" s="133">
        <f ca="1">IS추정!M17/IS추정!M14</f>
        <v>0.37433932346723042</v>
      </c>
      <c r="N86" s="133">
        <f ca="1">IS추정!N17/IS추정!N14</f>
        <v>0.37460979260209537</v>
      </c>
      <c r="O86" s="133">
        <f ca="1">IS추정!O17/IS추정!O14</f>
        <v>0.37529609055654545</v>
      </c>
    </row>
    <row r="87" spans="4:16">
      <c r="D87" s="157" t="s">
        <v>57</v>
      </c>
      <c r="E87" s="133">
        <f>IS추정!E25/IS추정!E14</f>
        <v>-1.2646555131076275E-2</v>
      </c>
      <c r="F87" s="133">
        <f>IS추정!F25/IS추정!F14</f>
        <v>1.6187644532540468E-2</v>
      </c>
      <c r="G87" s="133">
        <f>IS추정!G25/IS추정!G14</f>
        <v>-0.29137280629817941</v>
      </c>
      <c r="H87" s="133">
        <f>IS추정!H25/IS추정!H14</f>
        <v>-1.6596211365902294</v>
      </c>
      <c r="I87" s="133">
        <f>IS추정!I25/IS추정!I14</f>
        <v>-1.6598205383848454</v>
      </c>
      <c r="J87" s="133">
        <f ca="1">IS추정!J25/IS추정!J14</f>
        <v>-0.86036273991899981</v>
      </c>
      <c r="K87" s="133">
        <f ca="1">IS추정!K25/IS추정!K14</f>
        <v>-0.39117574562484597</v>
      </c>
      <c r="L87" s="133">
        <f ca="1">IS추정!L25/IS추정!L14</f>
        <v>-0.21140429230137847</v>
      </c>
      <c r="M87" s="133">
        <f ca="1">IS추정!M25/IS추정!M14</f>
        <v>-0.15840821000704722</v>
      </c>
      <c r="N87" s="133">
        <f ca="1">IS추정!N25/IS추정!N14</f>
        <v>-0.10768655120803934</v>
      </c>
      <c r="O87" s="133">
        <f ca="1">IS추정!O25/IS추정!O14</f>
        <v>-0.10602662194738496</v>
      </c>
    </row>
    <row r="88" spans="4:16">
      <c r="D88" s="157" t="s">
        <v>58</v>
      </c>
      <c r="E88" s="133">
        <f>IS추정!E36/IS추정!E14</f>
        <v>-3.9520484784613362E-3</v>
      </c>
      <c r="F88" s="133">
        <f>IS추정!F36/IS추정!F14</f>
        <v>2.4446646845061117E-2</v>
      </c>
      <c r="G88" s="133">
        <f>IS추정!G36/IS추정!G14</f>
        <v>-0.27062489749056912</v>
      </c>
      <c r="H88" s="133">
        <f>IS추정!H36/IS추정!H14</f>
        <v>-1.9912263210368892</v>
      </c>
      <c r="I88" s="133">
        <f>IS추정!I36/IS추정!I14</f>
        <v>0</v>
      </c>
      <c r="J88" s="133">
        <f ca="1">IS추정!J36/IS추정!J14</f>
        <v>0</v>
      </c>
      <c r="K88" s="133">
        <f ca="1">IS추정!K36/IS추정!K14</f>
        <v>0</v>
      </c>
      <c r="L88" s="133">
        <f ca="1">IS추정!L36/IS추정!L14</f>
        <v>0</v>
      </c>
      <c r="M88" s="133">
        <f ca="1">IS추정!M36/IS추정!M14</f>
        <v>0</v>
      </c>
      <c r="N88" s="133">
        <f ca="1">IS추정!N36/IS추정!N14</f>
        <v>0</v>
      </c>
      <c r="O88" s="133">
        <f ca="1">IS추정!O36/IS추정!O14</f>
        <v>0</v>
      </c>
    </row>
    <row r="89" spans="4:16">
      <c r="D89" s="157" t="s">
        <v>59</v>
      </c>
      <c r="E89" s="133"/>
      <c r="F89" s="133">
        <f>IS추정!F36/AVERAGE(BS추정!E36:F36)</f>
        <v>5.3037090127217343E-2</v>
      </c>
      <c r="G89" s="133">
        <f>IS추정!G36/AVERAGE(BS추정!F36:G36)</f>
        <v>-0.15340275195239866</v>
      </c>
      <c r="H89" s="221">
        <f>IS추정!H36/AVERAGE(BS추정!G36:H36)</f>
        <v>-0.35846076530978532</v>
      </c>
      <c r="I89" s="133">
        <f>IS추정!I36/AVERAGE(BS추정!G36:I36)</f>
        <v>0</v>
      </c>
      <c r="J89" s="133">
        <f ca="1">IS추정!J36/AVERAGE(BS추정!I36:J36)</f>
        <v>0</v>
      </c>
      <c r="K89" s="133">
        <f ca="1">IS추정!K36/AVERAGE(BS추정!J36:K36)</f>
        <v>0</v>
      </c>
      <c r="L89" s="133">
        <f ca="1">IS추정!L36/AVERAGE(BS추정!K36:L36)</f>
        <v>0</v>
      </c>
      <c r="M89" s="133">
        <f ca="1">IS추정!M36/AVERAGE(BS추정!L36:M36)</f>
        <v>0</v>
      </c>
      <c r="N89" s="133">
        <f ca="1">IS추정!N36/AVERAGE(BS추정!M36:N36)</f>
        <v>0</v>
      </c>
      <c r="O89" s="133">
        <f ca="1">IS추정!O36/AVERAGE(BS추정!N36:O36)</f>
        <v>0</v>
      </c>
      <c r="P89" s="77"/>
    </row>
    <row r="90" spans="4:16">
      <c r="D90" s="157" t="s">
        <v>60</v>
      </c>
      <c r="E90" s="133"/>
      <c r="F90" s="133">
        <f>IS추정!F36/AVERAGE(BS추정!E37:F37)</f>
        <v>1.8135402838762381E-2</v>
      </c>
      <c r="G90" s="133">
        <f>IS추정!G36/AVERAGE(BS추정!F37:G37)</f>
        <v>-6.5127294256956778E-2</v>
      </c>
      <c r="H90" s="221">
        <f>IS추정!H36/AVERAGE(BS추정!G37:H37)</f>
        <v>-0.15826175156106373</v>
      </c>
      <c r="I90" s="133">
        <f>IS추정!I36/AVERAGE(BS추정!G37:I37)</f>
        <v>0</v>
      </c>
      <c r="J90" s="133">
        <f ca="1">IS추정!J36/AVERAGE(BS추정!I37:J37)</f>
        <v>0</v>
      </c>
      <c r="K90" s="133">
        <f ca="1">IS추정!K36/AVERAGE(BS추정!J37:K37)</f>
        <v>0</v>
      </c>
      <c r="L90" s="133">
        <f ca="1">IS추정!L36/AVERAGE(BS추정!K37:L37)</f>
        <v>0</v>
      </c>
      <c r="M90" s="133">
        <f ca="1">IS추정!M36/AVERAGE(BS추정!L37:M37)</f>
        <v>0</v>
      </c>
      <c r="N90" s="133">
        <f ca="1">IS추정!N36/AVERAGE(BS추정!M37:N37)</f>
        <v>0</v>
      </c>
      <c r="O90" s="133">
        <f ca="1">IS추정!O36/AVERAGE(BS추정!N37:O37)</f>
        <v>0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disablePrompts="1"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D28" sqref="D28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6" width="9.625" style="2" customWidth="1"/>
    <col min="17" max="17" width="21.25" style="2" customWidth="1"/>
    <col min="18" max="24" width="15.625" style="2" customWidth="1"/>
    <col min="25" max="25" width="9.75" style="2" customWidth="1"/>
    <col min="26" max="16384" width="9" style="2"/>
  </cols>
  <sheetData>
    <row r="1" spans="1:24">
      <c r="A1" s="367">
        <f>ROW(C42)-ROW(C1)</f>
        <v>41</v>
      </c>
      <c r="B1" s="1"/>
      <c r="C1" s="1" t="s">
        <v>17000</v>
      </c>
      <c r="D1" s="1" t="s">
        <v>17001</v>
      </c>
      <c r="E1" s="1" t="s">
        <v>16980</v>
      </c>
      <c r="F1" s="1" t="s">
        <v>16799</v>
      </c>
      <c r="G1" s="1" t="s">
        <v>16985</v>
      </c>
      <c r="H1" s="1" t="s">
        <v>17094</v>
      </c>
      <c r="I1" s="1" t="s">
        <v>16804</v>
      </c>
      <c r="J1" s="1" t="s">
        <v>16805</v>
      </c>
      <c r="K1" s="1" t="s">
        <v>16806</v>
      </c>
      <c r="L1" s="1" t="s">
        <v>16807</v>
      </c>
      <c r="M1" s="1" t="s">
        <v>16808</v>
      </c>
      <c r="N1" s="1" t="s">
        <v>16809</v>
      </c>
      <c r="O1" s="1" t="s">
        <v>16810</v>
      </c>
    </row>
    <row r="2" spans="1:24">
      <c r="A2" s="1" t="s">
        <v>12</v>
      </c>
      <c r="B2" s="1" t="s">
        <v>16708</v>
      </c>
      <c r="C2" s="1" t="s">
        <v>17002</v>
      </c>
      <c r="D2" s="2" t="s">
        <v>17003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24">
      <c r="A3" s="1" t="s">
        <v>16697</v>
      </c>
      <c r="B3" s="1" t="s">
        <v>16732</v>
      </c>
      <c r="C3" s="1" t="s">
        <v>17004</v>
      </c>
      <c r="D3" s="9" t="s">
        <v>17005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13.256700299102707</v>
      </c>
      <c r="K3" s="68">
        <f>IFERROR(HLOOKUP(MID(K1,1,8),성장률추정!$6:$9,4,0),"")</f>
        <v>400.08596041730533</v>
      </c>
      <c r="L3" s="68">
        <f>IFERROR(HLOOKUP(MID(L1,1,8),성장률추정!$6:$9,4,0),"")</f>
        <v>45.863258695958308</v>
      </c>
      <c r="M3" s="68">
        <f>IFERROR(HLOOKUP(MID(M1,1,8),성장률추정!$6:$9,4,0),"")</f>
        <v>119.24163066303008</v>
      </c>
      <c r="N3" s="68">
        <f>IFERROR(HLOOKUP(MID(N1,1,8),성장률추정!$6:$9,4,0),"")</f>
        <v>2.9999779818129735</v>
      </c>
      <c r="O3" s="68">
        <f>IFERROR(HLOOKUP(MID(O1,1,8),성장률추정!$6:$9,4,0),"")</f>
        <v>1.9998076080334437</v>
      </c>
    </row>
    <row r="4" spans="1:24">
      <c r="A4" s="1" t="s">
        <v>12</v>
      </c>
      <c r="B4" s="1" t="s">
        <v>16721</v>
      </c>
      <c r="C4" s="1" t="s">
        <v>17006</v>
      </c>
      <c r="D4" s="2" t="s">
        <v>17007</v>
      </c>
      <c r="E4" s="27">
        <f>비용추정!E74</f>
        <v>77.591885127124229</v>
      </c>
      <c r="F4" s="27">
        <f>비용추정!F74</f>
        <v>78.961568109239067</v>
      </c>
      <c r="G4" s="27">
        <f>비용추정!G74</f>
        <v>94.456289978678043</v>
      </c>
      <c r="H4" s="27">
        <f>비용추정!H74</f>
        <v>145.20438683948157</v>
      </c>
      <c r="I4" s="27">
        <f>H4</f>
        <v>145.20438683948157</v>
      </c>
      <c r="J4" s="27">
        <f>R17*100</f>
        <v>93.53991972858573</v>
      </c>
      <c r="K4" s="27">
        <f t="shared" ref="K4:O4" si="0">S17*100</f>
        <v>93.53991972858573</v>
      </c>
      <c r="L4" s="27">
        <f t="shared" si="0"/>
        <v>79.10857625686522</v>
      </c>
      <c r="M4" s="27">
        <f t="shared" si="0"/>
        <v>78.407472665395474</v>
      </c>
      <c r="N4" s="27">
        <f t="shared" si="0"/>
        <v>73.308452781997929</v>
      </c>
      <c r="O4" s="27">
        <f t="shared" si="0"/>
        <v>73.073675434752403</v>
      </c>
    </row>
    <row r="5" spans="1:24">
      <c r="A5" s="1" t="s">
        <v>12</v>
      </c>
      <c r="B5" s="1" t="s">
        <v>16726</v>
      </c>
      <c r="C5" s="1" t="s">
        <v>17008</v>
      </c>
      <c r="D5" s="2" t="s">
        <v>17009</v>
      </c>
      <c r="E5" s="27">
        <f>비용추정!E75</f>
        <v>2.7203267026742193</v>
      </c>
      <c r="F5" s="27">
        <f>비용추정!F75</f>
        <v>4.8287633520537385</v>
      </c>
      <c r="G5" s="27">
        <f>비용추정!G75</f>
        <v>11.489257011645071</v>
      </c>
      <c r="H5" s="27">
        <f>비용추정!H75</f>
        <v>57.34795613160518</v>
      </c>
      <c r="I5" s="27">
        <f>H5</f>
        <v>57.34795613160518</v>
      </c>
      <c r="J5" s="27">
        <f>비용추정!$J$75</f>
        <v>33.308524295026572</v>
      </c>
      <c r="K5" s="27">
        <f>비용추정!$J$75</f>
        <v>33.308524295026572</v>
      </c>
      <c r="L5" s="27">
        <f>비용추정!$J$75</f>
        <v>33.308524295026572</v>
      </c>
      <c r="M5" s="27">
        <f>비용추정!$J$75</f>
        <v>33.308524295026572</v>
      </c>
      <c r="N5" s="27">
        <f>비용추정!$J$75</f>
        <v>33.308524295026572</v>
      </c>
      <c r="O5" s="27">
        <f>비용추정!$J$75</f>
        <v>33.308524295026572</v>
      </c>
    </row>
    <row r="6" spans="1:24">
      <c r="A6" s="1" t="s">
        <v>12</v>
      </c>
      <c r="B6" s="1" t="s">
        <v>16732</v>
      </c>
      <c r="C6" s="1" t="s">
        <v>17010</v>
      </c>
      <c r="D6" s="2" t="s">
        <v>17011</v>
      </c>
      <c r="E6" s="27">
        <f>비용추정!E78</f>
        <v>5.9280727176920033E-2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24">
      <c r="A7" s="1" t="s">
        <v>12</v>
      </c>
      <c r="B7" s="1" t="s">
        <v>3</v>
      </c>
      <c r="C7" s="1" t="s">
        <v>17012</v>
      </c>
      <c r="D7" s="2" t="s">
        <v>17013</v>
      </c>
      <c r="E7" s="27">
        <f>E47</f>
        <v>0.48083256487946252</v>
      </c>
      <c r="F7" s="27">
        <f>F47</f>
        <v>0.51756414491796054</v>
      </c>
      <c r="G7" s="27">
        <f t="shared" ref="G7:H7" si="1">G47</f>
        <v>2.0419878628833854</v>
      </c>
      <c r="H7" s="27">
        <f t="shared" si="1"/>
        <v>5.4636091724825526</v>
      </c>
      <c r="I7" s="27">
        <f t="shared" ref="I7:I10" si="2">H7</f>
        <v>5.4636091724825526</v>
      </c>
      <c r="J7" s="27">
        <f>$J$47</f>
        <v>0</v>
      </c>
      <c r="K7" s="27">
        <f t="shared" ref="K7:O7" si="3">$J$47</f>
        <v>0</v>
      </c>
      <c r="L7" s="27">
        <f t="shared" si="3"/>
        <v>0</v>
      </c>
      <c r="M7" s="27">
        <f t="shared" si="3"/>
        <v>0</v>
      </c>
      <c r="N7" s="27">
        <f t="shared" si="3"/>
        <v>0</v>
      </c>
      <c r="O7" s="27">
        <f t="shared" si="3"/>
        <v>0</v>
      </c>
    </row>
    <row r="8" spans="1:24">
      <c r="A8" s="1" t="s">
        <v>12</v>
      </c>
      <c r="B8" s="1" t="s">
        <v>16721</v>
      </c>
      <c r="C8" s="1" t="s">
        <v>17014</v>
      </c>
      <c r="D8" s="2" t="s">
        <v>17015</v>
      </c>
      <c r="E8" s="27">
        <f t="shared" ref="E8" si="4">E48</f>
        <v>0.47619047619047622</v>
      </c>
      <c r="F8" s="27">
        <f t="shared" ref="F8:H10" si="5">F48</f>
        <v>8.8731144631765749E-2</v>
      </c>
      <c r="G8" s="27">
        <f t="shared" si="5"/>
        <v>0.77902405597432101</v>
      </c>
      <c r="H8" s="27">
        <f t="shared" si="5"/>
        <v>1.4684690866671242</v>
      </c>
      <c r="I8" s="27">
        <f t="shared" si="2"/>
        <v>1.4684690866671242</v>
      </c>
      <c r="J8" s="27">
        <f>$J$48</f>
        <v>0</v>
      </c>
      <c r="K8" s="27">
        <f t="shared" ref="K8:O8" si="6">$J$48</f>
        <v>0</v>
      </c>
      <c r="L8" s="27">
        <f t="shared" si="6"/>
        <v>0</v>
      </c>
      <c r="M8" s="27">
        <f t="shared" si="6"/>
        <v>0</v>
      </c>
      <c r="N8" s="27">
        <f t="shared" si="6"/>
        <v>0</v>
      </c>
      <c r="O8" s="27">
        <f t="shared" si="6"/>
        <v>0</v>
      </c>
    </row>
    <row r="9" spans="1:24">
      <c r="A9" s="1" t="s">
        <v>12</v>
      </c>
      <c r="B9" s="1" t="s">
        <v>16721</v>
      </c>
      <c r="C9" s="1" t="s">
        <v>17016</v>
      </c>
      <c r="D9" s="2" t="s">
        <v>17017</v>
      </c>
      <c r="E9" s="27">
        <f t="shared" ref="E9" si="7">E49</f>
        <v>0.65867474641022272</v>
      </c>
      <c r="F9" s="27">
        <f t="shared" si="5"/>
        <v>0.89747825129391035</v>
      </c>
      <c r="G9" s="27">
        <f t="shared" si="5"/>
        <v>2.2470067246186649</v>
      </c>
      <c r="H9" s="27">
        <f t="shared" si="5"/>
        <v>15.832502492522432</v>
      </c>
      <c r="I9" s="27">
        <f t="shared" si="2"/>
        <v>15.832502492522432</v>
      </c>
      <c r="J9" s="27">
        <f>$J$49</f>
        <v>0</v>
      </c>
      <c r="K9" s="27">
        <f t="shared" ref="K9:O9" si="8">$J$49</f>
        <v>0</v>
      </c>
      <c r="L9" s="27">
        <f t="shared" si="8"/>
        <v>0</v>
      </c>
      <c r="M9" s="27">
        <f t="shared" si="8"/>
        <v>0</v>
      </c>
      <c r="N9" s="27">
        <f t="shared" si="8"/>
        <v>0</v>
      </c>
      <c r="O9" s="27">
        <f t="shared" si="8"/>
        <v>0</v>
      </c>
    </row>
    <row r="10" spans="1:24">
      <c r="A10" s="1" t="s">
        <v>12</v>
      </c>
      <c r="B10" s="1" t="s">
        <v>16708</v>
      </c>
      <c r="C10" s="1" t="s">
        <v>17018</v>
      </c>
      <c r="D10" s="2" t="s">
        <v>17019</v>
      </c>
      <c r="E10" s="27">
        <f t="shared" ref="E10" si="9">E50</f>
        <v>1.2630249447426587</v>
      </c>
      <c r="F10" s="27">
        <f t="shared" si="5"/>
        <v>0.81931001245029911</v>
      </c>
      <c r="G10" s="27">
        <f t="shared" si="5"/>
        <v>1.0278137381821035</v>
      </c>
      <c r="H10" s="27">
        <f t="shared" si="5"/>
        <v>1.5132408575031526</v>
      </c>
      <c r="I10" s="27">
        <f t="shared" si="2"/>
        <v>1.5132408575031526</v>
      </c>
      <c r="J10" s="27">
        <f>$J$50</f>
        <v>0</v>
      </c>
      <c r="K10" s="27">
        <f t="shared" ref="K10:O10" si="10">$J$50</f>
        <v>0</v>
      </c>
      <c r="L10" s="27">
        <f t="shared" si="10"/>
        <v>0</v>
      </c>
      <c r="M10" s="27">
        <f t="shared" si="10"/>
        <v>0</v>
      </c>
      <c r="N10" s="27">
        <f t="shared" si="10"/>
        <v>0</v>
      </c>
      <c r="O10" s="27">
        <f t="shared" si="10"/>
        <v>0</v>
      </c>
    </row>
    <row r="11" spans="1:24">
      <c r="A11" s="1" t="s">
        <v>12</v>
      </c>
      <c r="B11" s="1" t="s">
        <v>16692</v>
      </c>
      <c r="C11" s="1" t="s">
        <v>17020</v>
      </c>
      <c r="D11" s="2" t="s">
        <v>17021</v>
      </c>
      <c r="E11" s="33">
        <f>NWC추정!E33</f>
        <v>2940</v>
      </c>
      <c r="F11" s="33">
        <f>NWC추정!F33</f>
        <v>15092</v>
      </c>
      <c r="G11" s="33">
        <f>NWC추정!G33</f>
        <v>12635</v>
      </c>
      <c r="H11" s="33">
        <f>NWC추정!H33</f>
        <v>1938</v>
      </c>
      <c r="I11" s="33">
        <f>NWC추정!I33</f>
        <v>1938</v>
      </c>
      <c r="J11" s="33">
        <f>NWC추정!J33</f>
        <v>3536</v>
      </c>
      <c r="K11" s="33">
        <f>NWC추정!K33</f>
        <v>17697</v>
      </c>
      <c r="L11" s="33">
        <f>NWC추정!L33</f>
        <v>25811</v>
      </c>
      <c r="M11" s="33">
        <f>NWC추정!M33</f>
        <v>56590</v>
      </c>
      <c r="N11" s="33">
        <f>NWC추정!N33</f>
        <v>58287</v>
      </c>
      <c r="O11" s="33">
        <f>NWC추정!O33</f>
        <v>59451</v>
      </c>
    </row>
    <row r="12" spans="1:24">
      <c r="A12" s="1" t="s">
        <v>12</v>
      </c>
      <c r="B12" s="1" t="s">
        <v>16698</v>
      </c>
      <c r="C12" s="1" t="s">
        <v>17022</v>
      </c>
      <c r="D12" s="2" t="s">
        <v>17023</v>
      </c>
      <c r="E12" s="33">
        <f>NWC추정!E41</f>
        <v>3167</v>
      </c>
      <c r="F12" s="33">
        <f>NWC추정!F41</f>
        <v>21732</v>
      </c>
      <c r="G12" s="33">
        <f>NWC추정!G41</f>
        <v>29250</v>
      </c>
      <c r="H12" s="33">
        <f>NWC추정!H41</f>
        <v>35776</v>
      </c>
      <c r="I12" s="33">
        <f>NWC추정!I41</f>
        <v>35776</v>
      </c>
      <c r="J12" s="33">
        <f>NWC추정!J41</f>
        <v>21707</v>
      </c>
      <c r="K12" s="33">
        <f>NWC추정!K41</f>
        <v>108598</v>
      </c>
      <c r="L12" s="33">
        <f>NWC추정!L41</f>
        <v>147320</v>
      </c>
      <c r="M12" s="33">
        <f>NWC추정!M41</f>
        <v>321795</v>
      </c>
      <c r="N12" s="33">
        <f>NWC추정!N41</f>
        <v>322579</v>
      </c>
      <c r="O12" s="33">
        <f>NWC추정!O41</f>
        <v>328610</v>
      </c>
    </row>
    <row r="13" spans="1:24">
      <c r="A13" s="1" t="s">
        <v>12</v>
      </c>
      <c r="B13" s="1" t="s">
        <v>16692</v>
      </c>
      <c r="C13" s="1" t="s">
        <v>17024</v>
      </c>
      <c r="D13" s="1" t="s">
        <v>17025</v>
      </c>
      <c r="E13" s="1"/>
      <c r="F13" s="1"/>
      <c r="G13" s="1"/>
      <c r="H13" s="1"/>
      <c r="I13" s="1"/>
      <c r="J13" s="1" t="str">
        <f t="shared" ref="J13:O13" si="11">LEFT(J1,4)</f>
        <v>2024</v>
      </c>
      <c r="K13" s="1" t="str">
        <f t="shared" si="11"/>
        <v>2025</v>
      </c>
      <c r="L13" s="1" t="str">
        <f t="shared" si="11"/>
        <v>2026</v>
      </c>
      <c r="M13" s="1" t="str">
        <f t="shared" si="11"/>
        <v>2027</v>
      </c>
      <c r="N13" s="1" t="str">
        <f t="shared" si="11"/>
        <v>2028</v>
      </c>
      <c r="O13" s="1" t="str">
        <f t="shared" si="11"/>
        <v>2029</v>
      </c>
      <c r="R13" s="804">
        <v>45565</v>
      </c>
      <c r="S13" s="804">
        <v>45657</v>
      </c>
      <c r="T13" s="804">
        <v>46022</v>
      </c>
      <c r="U13" s="804">
        <v>46387</v>
      </c>
      <c r="V13" s="804">
        <v>46752</v>
      </c>
      <c r="W13" s="804">
        <v>47118</v>
      </c>
      <c r="X13" s="804">
        <v>47483</v>
      </c>
    </row>
    <row r="14" spans="1:24">
      <c r="A14" s="1" t="s">
        <v>12</v>
      </c>
      <c r="B14" s="1" t="s">
        <v>2</v>
      </c>
      <c r="C14" s="1" t="s">
        <v>17026</v>
      </c>
      <c r="D14" s="2" t="s">
        <v>17027</v>
      </c>
      <c r="E14" s="42">
        <v>15182</v>
      </c>
      <c r="F14" s="42">
        <v>18162</v>
      </c>
      <c r="G14" s="42">
        <v>12194</v>
      </c>
      <c r="H14" s="42">
        <v>5015</v>
      </c>
      <c r="I14" s="50">
        <v>5015</v>
      </c>
      <c r="J14" s="32">
        <f>INT(I14*(1+J3/100))</f>
        <v>5679</v>
      </c>
      <c r="K14" s="32">
        <f t="shared" ref="K14:O14" si="12">INT(J14*(1+K3/100))</f>
        <v>28399</v>
      </c>
      <c r="L14" s="32">
        <f t="shared" si="12"/>
        <v>41423</v>
      </c>
      <c r="M14" s="32">
        <f t="shared" si="12"/>
        <v>90816</v>
      </c>
      <c r="N14" s="32">
        <f t="shared" si="12"/>
        <v>93540</v>
      </c>
      <c r="O14" s="32">
        <f t="shared" si="12"/>
        <v>95410</v>
      </c>
      <c r="Q14" s="2" t="s">
        <v>17715</v>
      </c>
      <c r="R14" s="805">
        <f>4259867640/10^6</f>
        <v>4259.8676400000004</v>
      </c>
      <c r="S14" s="805">
        <f>R14*4/3</f>
        <v>5679.8235200000008</v>
      </c>
      <c r="T14" s="805">
        <f>'5개년도 매출추정'!C6</f>
        <v>28404</v>
      </c>
      <c r="U14" s="805">
        <f>'5개년도 매출추정'!E6</f>
        <v>41431</v>
      </c>
      <c r="V14" s="805">
        <f>'5개년도 매출추정'!G6</f>
        <v>90834</v>
      </c>
      <c r="W14" s="805">
        <f>'5개년도 매출추정'!I6</f>
        <v>93559</v>
      </c>
      <c r="X14" s="805">
        <f>'5개년도 매출추정'!K6</f>
        <v>95430</v>
      </c>
    </row>
    <row r="15" spans="1:24">
      <c r="A15" s="1" t="s">
        <v>12</v>
      </c>
      <c r="B15" s="1" t="s">
        <v>16343</v>
      </c>
      <c r="C15" s="1" t="s">
        <v>17028</v>
      </c>
      <c r="D15" s="2" t="s">
        <v>17029</v>
      </c>
      <c r="E15" s="42">
        <v>11780</v>
      </c>
      <c r="F15" s="42">
        <v>14341</v>
      </c>
      <c r="G15" s="42">
        <v>11518</v>
      </c>
      <c r="H15" s="42">
        <v>7282</v>
      </c>
      <c r="I15" s="217">
        <v>7282</v>
      </c>
      <c r="J15" s="32">
        <f>INT(J14*J4/100)</f>
        <v>5312</v>
      </c>
      <c r="K15" s="32">
        <f t="shared" ref="K15:N15" si="13">INT(K14*K4/100)</f>
        <v>26564</v>
      </c>
      <c r="L15" s="32">
        <f t="shared" si="13"/>
        <v>32769</v>
      </c>
      <c r="M15" s="32">
        <f t="shared" si="13"/>
        <v>71206</v>
      </c>
      <c r="N15" s="32">
        <f t="shared" si="13"/>
        <v>68572</v>
      </c>
      <c r="O15" s="32">
        <f t="shared" ref="O15" si="14">INT(O14*O4/100)</f>
        <v>69719</v>
      </c>
      <c r="Q15" s="2" t="s">
        <v>17716</v>
      </c>
      <c r="R15" s="805">
        <f>3984676771/10^6</f>
        <v>3984.6767709999999</v>
      </c>
      <c r="S15" s="805">
        <f>R15*4/3</f>
        <v>5312.9023613333329</v>
      </c>
      <c r="T15" s="805">
        <f>'5개년도 매출추정'!C10</f>
        <v>22470</v>
      </c>
      <c r="U15" s="805">
        <f>'5개년도 매출추정'!E10</f>
        <v>32485</v>
      </c>
      <c r="V15" s="805">
        <f>'5개년도 매출추정'!G10</f>
        <v>66589</v>
      </c>
      <c r="W15" s="805">
        <f>'5개년도 매출추정'!I10</f>
        <v>68367</v>
      </c>
      <c r="X15" s="805">
        <f>'5개년도 매출추정'!K10</f>
        <v>69709</v>
      </c>
    </row>
    <row r="16" spans="1:24">
      <c r="A16" s="1" t="s">
        <v>16720</v>
      </c>
      <c r="B16" s="1" t="s">
        <v>2</v>
      </c>
      <c r="C16" s="1" t="s">
        <v>17030</v>
      </c>
      <c r="D16" s="8" t="s">
        <v>17031</v>
      </c>
      <c r="E16" s="49">
        <v>3402</v>
      </c>
      <c r="F16" s="49">
        <v>3821</v>
      </c>
      <c r="G16" s="49">
        <v>677</v>
      </c>
      <c r="H16" s="49">
        <v>-2266</v>
      </c>
      <c r="I16" s="65">
        <f t="shared" ref="I16" si="15">I14-I15</f>
        <v>-2267</v>
      </c>
      <c r="J16" s="30">
        <f>J14-J15</f>
        <v>367</v>
      </c>
      <c r="K16" s="30">
        <f t="shared" ref="K16:N16" si="16">K14-K15</f>
        <v>1835</v>
      </c>
      <c r="L16" s="30">
        <f t="shared" si="16"/>
        <v>8654</v>
      </c>
      <c r="M16" s="30">
        <f t="shared" si="16"/>
        <v>19610</v>
      </c>
      <c r="N16" s="30">
        <f t="shared" si="16"/>
        <v>24968</v>
      </c>
      <c r="O16" s="30">
        <f t="shared" ref="O16" si="17">O14-O15</f>
        <v>25691</v>
      </c>
      <c r="Q16" s="806" t="s">
        <v>17717</v>
      </c>
      <c r="R16" s="807">
        <f>R14-R15</f>
        <v>275.19086900000048</v>
      </c>
      <c r="S16" s="807">
        <f>S14-S15</f>
        <v>366.92115866666791</v>
      </c>
      <c r="T16" s="808">
        <f>T14-T15</f>
        <v>5934</v>
      </c>
      <c r="U16" s="808">
        <f t="shared" ref="U16:X16" si="18">U14-U15</f>
        <v>8946</v>
      </c>
      <c r="V16" s="808">
        <f t="shared" si="18"/>
        <v>24245</v>
      </c>
      <c r="W16" s="808">
        <f t="shared" si="18"/>
        <v>25192</v>
      </c>
      <c r="X16" s="808">
        <f t="shared" si="18"/>
        <v>25721</v>
      </c>
    </row>
    <row r="17" spans="1:24">
      <c r="A17" s="1" t="s">
        <v>16711</v>
      </c>
      <c r="B17" s="1" t="s">
        <v>16790</v>
      </c>
      <c r="C17" s="1" t="s">
        <v>17032</v>
      </c>
      <c r="D17" s="8" t="s">
        <v>17033</v>
      </c>
      <c r="E17" s="49">
        <v>3594</v>
      </c>
      <c r="F17" s="49">
        <v>3527</v>
      </c>
      <c r="G17" s="49">
        <v>4229</v>
      </c>
      <c r="H17" s="49">
        <v>6057</v>
      </c>
      <c r="I17" s="65">
        <f>SUM(I18:I24)</f>
        <v>6057</v>
      </c>
      <c r="J17" s="30">
        <f ca="1">SUM(J18:J24)</f>
        <v>5253</v>
      </c>
      <c r="K17" s="30">
        <f t="shared" ref="K17:N17" ca="1" si="19">SUM(K18:K24)</f>
        <v>12944</v>
      </c>
      <c r="L17" s="30">
        <f t="shared" ca="1" si="19"/>
        <v>17411</v>
      </c>
      <c r="M17" s="30">
        <f t="shared" ca="1" si="19"/>
        <v>33996</v>
      </c>
      <c r="N17" s="30">
        <f t="shared" ca="1" si="19"/>
        <v>35041</v>
      </c>
      <c r="O17" s="30">
        <f t="shared" ref="O17" ca="1" si="20">SUM(O18:O24)</f>
        <v>35807</v>
      </c>
      <c r="Q17" s="2" t="s">
        <v>17718</v>
      </c>
      <c r="R17" s="803">
        <f>R15/R14</f>
        <v>0.9353991972858573</v>
      </c>
      <c r="S17" s="803">
        <f>S15/S14</f>
        <v>0.9353991972858573</v>
      </c>
      <c r="T17" s="803">
        <f>T15/T14</f>
        <v>0.79108576256865226</v>
      </c>
      <c r="U17" s="803">
        <f t="shared" ref="U17:X17" si="21">U15/U14</f>
        <v>0.78407472665395472</v>
      </c>
      <c r="V17" s="803">
        <f t="shared" si="21"/>
        <v>0.73308452781997935</v>
      </c>
      <c r="W17" s="803">
        <f t="shared" si="21"/>
        <v>0.73073675434752405</v>
      </c>
      <c r="X17" s="803">
        <f t="shared" si="21"/>
        <v>0.73047259771560302</v>
      </c>
    </row>
    <row r="18" spans="1:24">
      <c r="A18" s="1" t="s">
        <v>12</v>
      </c>
      <c r="B18" s="1" t="s">
        <v>16698</v>
      </c>
      <c r="C18" s="1" t="s">
        <v>17034</v>
      </c>
      <c r="D18" s="2" t="s">
        <v>17035</v>
      </c>
      <c r="E18" s="31"/>
      <c r="F18" s="33">
        <f>비용추정!F29</f>
        <v>877</v>
      </c>
      <c r="G18" s="33">
        <f>비용추정!G29</f>
        <v>1401</v>
      </c>
      <c r="H18" s="33">
        <f>비용추정!H29</f>
        <v>2876</v>
      </c>
      <c r="I18" s="33">
        <f>비용추정!I29 *I2/100</f>
        <v>2876</v>
      </c>
      <c r="J18" s="32">
        <f>INT(J14*J5/100)</f>
        <v>1891</v>
      </c>
      <c r="K18" s="32">
        <f t="shared" ref="K18:N18" si="22">INT(K14*K5/100)</f>
        <v>9459</v>
      </c>
      <c r="L18" s="32">
        <f t="shared" si="22"/>
        <v>13797</v>
      </c>
      <c r="M18" s="32">
        <f t="shared" si="22"/>
        <v>30249</v>
      </c>
      <c r="N18" s="32">
        <f t="shared" si="22"/>
        <v>31156</v>
      </c>
      <c r="O18" s="32">
        <f t="shared" ref="O18" si="23">INT(O14*O5/100)</f>
        <v>31779</v>
      </c>
      <c r="Q18" s="2" t="s">
        <v>17719</v>
      </c>
      <c r="S18" s="803">
        <f>S14/I14-1</f>
        <v>0.13256700299102708</v>
      </c>
      <c r="T18" s="803">
        <f>T14/S14-1</f>
        <v>4.0008596041730531</v>
      </c>
      <c r="U18" s="803">
        <f>U14/T14-1</f>
        <v>0.45863258695958309</v>
      </c>
      <c r="V18" s="803">
        <f t="shared" ref="V18:X18" si="24">V14/U14-1</f>
        <v>1.1924163066303008</v>
      </c>
      <c r="W18" s="803">
        <f t="shared" si="24"/>
        <v>2.9999779818129735E-2</v>
      </c>
      <c r="X18" s="803">
        <f t="shared" si="24"/>
        <v>1.9998076080334437E-2</v>
      </c>
    </row>
    <row r="19" spans="1:24">
      <c r="A19" s="1" t="s">
        <v>12</v>
      </c>
      <c r="B19" s="1" t="s">
        <v>16698</v>
      </c>
      <c r="C19" s="1" t="s">
        <v>17036</v>
      </c>
      <c r="D19" s="2" t="s">
        <v>17037</v>
      </c>
      <c r="E19" s="31"/>
      <c r="F19" s="33">
        <f>비용추정!F41</f>
        <v>2087</v>
      </c>
      <c r="G19" s="33">
        <f>비용추정!G41</f>
        <v>1897</v>
      </c>
      <c r="H19" s="33">
        <f>비용추정!H41</f>
        <v>2063</v>
      </c>
      <c r="I19" s="33">
        <f>비용추정!I41 *I2/100</f>
        <v>2063</v>
      </c>
      <c r="J19" s="24">
        <f>INT(비용추정!J41)</f>
        <v>2145</v>
      </c>
      <c r="K19" s="24">
        <f>INT(비용추정!K41)</f>
        <v>2233</v>
      </c>
      <c r="L19" s="24">
        <f>INT(비용추정!L41)</f>
        <v>2326</v>
      </c>
      <c r="M19" s="24">
        <f>INT(비용추정!M41)</f>
        <v>2421</v>
      </c>
      <c r="N19" s="24">
        <f>INT(비용추정!N41)</f>
        <v>2520</v>
      </c>
      <c r="O19" s="24">
        <f>INT(비용추정!O41)</f>
        <v>2621</v>
      </c>
      <c r="Q19" s="806" t="s">
        <v>17720</v>
      </c>
      <c r="R19" s="806"/>
      <c r="S19" s="806"/>
      <c r="T19" s="808">
        <f>SUM(T20:T21)</f>
        <v>5104</v>
      </c>
      <c r="U19" s="808">
        <f t="shared" ref="U19:X19" si="25">SUM(U20:U21)</f>
        <v>6304</v>
      </c>
      <c r="V19" s="808">
        <f t="shared" si="25"/>
        <v>8475</v>
      </c>
      <c r="W19" s="808">
        <f t="shared" si="25"/>
        <v>8889</v>
      </c>
      <c r="X19" s="808">
        <f t="shared" si="25"/>
        <v>9323</v>
      </c>
    </row>
    <row r="20" spans="1:24">
      <c r="A20" s="1" t="s">
        <v>12</v>
      </c>
      <c r="B20" s="1" t="s">
        <v>16790</v>
      </c>
      <c r="C20" s="1" t="s">
        <v>17038</v>
      </c>
      <c r="D20" s="2" t="s">
        <v>17039</v>
      </c>
      <c r="E20" s="31"/>
      <c r="F20" s="33">
        <f>비용추정!F47</f>
        <v>189</v>
      </c>
      <c r="G20" s="33">
        <f>비용추정!G47</f>
        <v>486</v>
      </c>
      <c r="H20" s="33">
        <f>비용추정!H47</f>
        <v>456</v>
      </c>
      <c r="I20" s="33">
        <f>비용추정!I47 *I2/100</f>
        <v>456</v>
      </c>
      <c r="J20" s="24">
        <f>INT(비용추정!J47)</f>
        <v>452</v>
      </c>
      <c r="K20" s="24">
        <f>INT(비용추정!K47)</f>
        <v>471</v>
      </c>
      <c r="L20" s="24">
        <f>INT(비용추정!L47)</f>
        <v>490</v>
      </c>
      <c r="M20" s="24">
        <f>INT(비용추정!M47)</f>
        <v>510</v>
      </c>
      <c r="N20" s="24">
        <f>INT(비용추정!N47)</f>
        <v>531</v>
      </c>
      <c r="O20" s="24">
        <f>INT(비용추정!O47)</f>
        <v>553</v>
      </c>
      <c r="Q20" s="270" t="s">
        <v>17721</v>
      </c>
      <c r="T20" s="802">
        <f>'5개년도 매출추정'!C16</f>
        <v>2104</v>
      </c>
      <c r="U20" s="802">
        <f>'5개년도 매출추정'!E16</f>
        <v>2404</v>
      </c>
      <c r="V20" s="802">
        <f>'5개년도 매출추정'!G16</f>
        <v>2625</v>
      </c>
      <c r="W20" s="802">
        <f>'5개년도 매출추정'!I16</f>
        <v>2746</v>
      </c>
      <c r="X20" s="802">
        <f>'5개년도 매출추정'!K16</f>
        <v>2873</v>
      </c>
    </row>
    <row r="21" spans="1:24">
      <c r="A21" s="1" t="s">
        <v>12</v>
      </c>
      <c r="B21" s="1" t="s">
        <v>16790</v>
      </c>
      <c r="C21" s="1" t="s">
        <v>17040</v>
      </c>
      <c r="D21" s="2" t="s">
        <v>17041</v>
      </c>
      <c r="E21" s="31"/>
      <c r="F21" s="33">
        <f>비용추정!F63</f>
        <v>320</v>
      </c>
      <c r="G21" s="33">
        <f>비용추정!G63</f>
        <v>361</v>
      </c>
      <c r="H21" s="33">
        <f>비용추정!H63</f>
        <v>522</v>
      </c>
      <c r="I21" s="33">
        <f>비용추정!I63 *I2/100</f>
        <v>522</v>
      </c>
      <c r="J21" s="24">
        <f>INT(비용추정!J63)</f>
        <v>525</v>
      </c>
      <c r="K21" s="24">
        <f>INT(비용추정!K63)</f>
        <v>528</v>
      </c>
      <c r="L21" s="24">
        <f>INT(비용추정!L63)</f>
        <v>531</v>
      </c>
      <c r="M21" s="24">
        <f>INT(비용추정!M63)</f>
        <v>534</v>
      </c>
      <c r="N21" s="24">
        <f>INT(비용추정!N63)</f>
        <v>537</v>
      </c>
      <c r="O21" s="24">
        <f>INT(비용추정!O63)</f>
        <v>540</v>
      </c>
      <c r="Q21" s="270" t="s">
        <v>17722</v>
      </c>
      <c r="T21" s="802">
        <f>'5개년도 매출추정'!C17</f>
        <v>3000</v>
      </c>
      <c r="U21" s="802">
        <f>'5개년도 매출추정'!E17</f>
        <v>3900</v>
      </c>
      <c r="V21" s="802">
        <f>'5개년도 매출추정'!G17</f>
        <v>5850</v>
      </c>
      <c r="W21" s="802">
        <f>'5개년도 매출추정'!I17</f>
        <v>6143</v>
      </c>
      <c r="X21" s="802">
        <f>'5개년도 매출추정'!K17</f>
        <v>6450</v>
      </c>
    </row>
    <row r="22" spans="1:24">
      <c r="A22" s="1" t="s">
        <v>12</v>
      </c>
      <c r="B22" s="1" t="s">
        <v>16692</v>
      </c>
      <c r="C22" s="1" t="s">
        <v>17042</v>
      </c>
      <c r="D22" s="2" t="s">
        <v>17043</v>
      </c>
      <c r="E22" s="31"/>
      <c r="F22" s="33">
        <f>비용추정!F64</f>
        <v>35</v>
      </c>
      <c r="G22" s="33">
        <f>비용추정!G64</f>
        <v>63</v>
      </c>
      <c r="H22" s="33">
        <f>비용추정!H64</f>
        <v>125</v>
      </c>
      <c r="I22" s="33">
        <f>비용추정!I64 *I2/100</f>
        <v>125</v>
      </c>
      <c r="J22" s="24">
        <f ca="1">INT(비용추정!J64)</f>
        <v>163</v>
      </c>
      <c r="K22" s="24">
        <f ca="1">INT(비용추정!K64)</f>
        <v>174</v>
      </c>
      <c r="L22" s="24">
        <f ca="1">INT(비용추정!L64)</f>
        <v>185</v>
      </c>
      <c r="M22" s="24">
        <f ca="1">INT(비용추정!M64)</f>
        <v>198</v>
      </c>
      <c r="N22" s="24">
        <f ca="1">INT(비용추정!N64)</f>
        <v>211</v>
      </c>
      <c r="O22" s="24">
        <f ca="1">INT(비용추정!O64)</f>
        <v>225</v>
      </c>
      <c r="Q22" s="806" t="s">
        <v>17723</v>
      </c>
      <c r="R22" s="806"/>
      <c r="S22" s="806"/>
      <c r="T22" s="808">
        <f>T16-T19</f>
        <v>830</v>
      </c>
      <c r="U22" s="808">
        <f t="shared" ref="U22:X22" si="26">U16-U19</f>
        <v>2642</v>
      </c>
      <c r="V22" s="808">
        <f t="shared" si="26"/>
        <v>15770</v>
      </c>
      <c r="W22" s="808">
        <f t="shared" si="26"/>
        <v>16303</v>
      </c>
      <c r="X22" s="808">
        <f t="shared" si="26"/>
        <v>16398</v>
      </c>
    </row>
    <row r="23" spans="1:24">
      <c r="A23" s="1" t="s">
        <v>12</v>
      </c>
      <c r="B23" s="1" t="s">
        <v>2</v>
      </c>
      <c r="C23" s="1" t="s">
        <v>17044</v>
      </c>
      <c r="D23" s="2" t="s">
        <v>17045</v>
      </c>
      <c r="E23" s="31"/>
      <c r="F23" s="33">
        <f>비용추정!F65</f>
        <v>21</v>
      </c>
      <c r="G23" s="33">
        <f>비용추정!G65</f>
        <v>23</v>
      </c>
      <c r="H23" s="33">
        <f>비용추정!H65</f>
        <v>15</v>
      </c>
      <c r="I23" s="33">
        <f>비용추정!I65 *I2/100</f>
        <v>15</v>
      </c>
      <c r="J23" s="24">
        <f ca="1">INT(비용추정!J65)</f>
        <v>77</v>
      </c>
      <c r="K23" s="24">
        <f ca="1">INT(비용추정!K65)</f>
        <v>79</v>
      </c>
      <c r="L23" s="24">
        <f ca="1">INT(비용추정!L65)</f>
        <v>82</v>
      </c>
      <c r="M23" s="24">
        <f ca="1">INT(비용추정!M65)</f>
        <v>84</v>
      </c>
      <c r="N23" s="24">
        <f ca="1">INT(비용추정!N65)</f>
        <v>86</v>
      </c>
      <c r="O23" s="24">
        <f ca="1">INT(비용추정!O65)</f>
        <v>89</v>
      </c>
    </row>
    <row r="24" spans="1:24">
      <c r="A24" s="1" t="s">
        <v>12</v>
      </c>
      <c r="B24" s="1" t="s">
        <v>16777</v>
      </c>
      <c r="C24" s="1" t="s">
        <v>17046</v>
      </c>
      <c r="D24" s="2" t="s">
        <v>17047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7">INT(K14*K6/100)</f>
        <v>0</v>
      </c>
      <c r="L24" s="32">
        <f t="shared" si="27"/>
        <v>0</v>
      </c>
      <c r="M24" s="32">
        <f t="shared" si="27"/>
        <v>0</v>
      </c>
      <c r="N24" s="32">
        <f t="shared" si="27"/>
        <v>0</v>
      </c>
      <c r="O24" s="32">
        <f t="shared" ref="O24" si="28">INT(O14*O6/100)</f>
        <v>0</v>
      </c>
    </row>
    <row r="25" spans="1:24">
      <c r="A25" s="1" t="s">
        <v>4</v>
      </c>
      <c r="B25" s="1" t="s">
        <v>16790</v>
      </c>
      <c r="C25" s="1" t="s">
        <v>17048</v>
      </c>
      <c r="D25" s="8" t="s">
        <v>17049</v>
      </c>
      <c r="E25" s="29">
        <v>-192</v>
      </c>
      <c r="F25" s="43">
        <v>294</v>
      </c>
      <c r="G25" s="43">
        <v>-3553</v>
      </c>
      <c r="H25" s="43">
        <v>-8323</v>
      </c>
      <c r="I25" s="65">
        <f>I16-I17</f>
        <v>-8324</v>
      </c>
      <c r="J25" s="30">
        <f ca="1">J16-J17</f>
        <v>-4886</v>
      </c>
      <c r="K25" s="30">
        <f t="shared" ref="K25:N25" ca="1" si="29">K16-K17</f>
        <v>-11109</v>
      </c>
      <c r="L25" s="30">
        <f t="shared" ca="1" si="29"/>
        <v>-8757</v>
      </c>
      <c r="M25" s="30">
        <f t="shared" ca="1" si="29"/>
        <v>-14386</v>
      </c>
      <c r="N25" s="30">
        <f t="shared" ca="1" si="29"/>
        <v>-10073</v>
      </c>
      <c r="O25" s="30">
        <f t="shared" ref="O25" ca="1" si="30">O16-O17</f>
        <v>-10116</v>
      </c>
    </row>
    <row r="26" spans="1:24">
      <c r="A26" s="1" t="s">
        <v>4</v>
      </c>
      <c r="B26" s="1" t="s">
        <v>16790</v>
      </c>
      <c r="C26" s="1" t="s">
        <v>17050</v>
      </c>
      <c r="D26" s="8" t="s">
        <v>17051</v>
      </c>
      <c r="E26" s="29">
        <v>365</v>
      </c>
      <c r="F26" s="43">
        <v>570</v>
      </c>
      <c r="G26" s="43">
        <v>809</v>
      </c>
      <c r="H26" s="43">
        <v>397</v>
      </c>
      <c r="I26" s="260">
        <v>397</v>
      </c>
      <c r="J26" s="261">
        <f>SUM(J27)</f>
        <v>0</v>
      </c>
      <c r="K26" s="261">
        <f t="shared" ref="K26:O26" si="31">SUM(K27)</f>
        <v>0</v>
      </c>
      <c r="L26" s="261">
        <f t="shared" si="31"/>
        <v>0</v>
      </c>
      <c r="M26" s="261">
        <f t="shared" si="31"/>
        <v>0</v>
      </c>
      <c r="N26" s="261">
        <f t="shared" si="31"/>
        <v>0</v>
      </c>
      <c r="O26" s="261">
        <f t="shared" si="31"/>
        <v>0</v>
      </c>
    </row>
    <row r="27" spans="1:24">
      <c r="A27" s="1" t="s">
        <v>12</v>
      </c>
      <c r="B27" s="1" t="s">
        <v>2</v>
      </c>
      <c r="C27" s="1" t="s">
        <v>17052</v>
      </c>
      <c r="D27" s="2" t="s">
        <v>17053</v>
      </c>
      <c r="E27" s="31"/>
      <c r="F27" s="24">
        <f>F56</f>
        <v>94</v>
      </c>
      <c r="G27" s="24">
        <f t="shared" ref="G27:H27" si="32">G56</f>
        <v>249</v>
      </c>
      <c r="H27" s="24">
        <f t="shared" si="32"/>
        <v>274</v>
      </c>
      <c r="I27" s="262">
        <f>I56 *I2/100</f>
        <v>274</v>
      </c>
      <c r="J27" s="263">
        <f t="shared" ref="J27:O27" si="33">INT(J14*J7/100)</f>
        <v>0</v>
      </c>
      <c r="K27" s="263">
        <f t="shared" si="33"/>
        <v>0</v>
      </c>
      <c r="L27" s="263">
        <f t="shared" si="33"/>
        <v>0</v>
      </c>
      <c r="M27" s="263">
        <f t="shared" si="33"/>
        <v>0</v>
      </c>
      <c r="N27" s="263">
        <f t="shared" si="33"/>
        <v>0</v>
      </c>
      <c r="O27" s="263">
        <f t="shared" si="33"/>
        <v>0</v>
      </c>
    </row>
    <row r="28" spans="1:24">
      <c r="A28" s="1" t="s">
        <v>12</v>
      </c>
      <c r="B28" s="1" t="s">
        <v>2</v>
      </c>
      <c r="C28" s="1" t="s">
        <v>17054</v>
      </c>
      <c r="D28" s="2" t="s">
        <v>17055</v>
      </c>
      <c r="E28" s="31">
        <v>14</v>
      </c>
      <c r="F28" s="31">
        <v>8</v>
      </c>
      <c r="G28" s="31">
        <v>108</v>
      </c>
      <c r="H28" s="31">
        <v>107</v>
      </c>
      <c r="I28" s="264">
        <v>107</v>
      </c>
      <c r="J28" s="263">
        <f>INT(J11*J8/100)</f>
        <v>0</v>
      </c>
      <c r="K28" s="263">
        <f t="shared" ref="K28:N28" si="34">INT(K11*K8/100)</f>
        <v>0</v>
      </c>
      <c r="L28" s="263">
        <f t="shared" si="34"/>
        <v>0</v>
      </c>
      <c r="M28" s="263">
        <f t="shared" si="34"/>
        <v>0</v>
      </c>
      <c r="N28" s="263">
        <f t="shared" si="34"/>
        <v>0</v>
      </c>
      <c r="O28" s="263">
        <f t="shared" ref="O28" si="35">INT(O11*O8/100)</f>
        <v>0</v>
      </c>
    </row>
    <row r="29" spans="1:24">
      <c r="A29" s="1" t="s">
        <v>16711</v>
      </c>
      <c r="B29" s="1" t="s">
        <v>16343</v>
      </c>
      <c r="C29" s="1" t="s">
        <v>17056</v>
      </c>
      <c r="D29" s="8" t="s">
        <v>17057</v>
      </c>
      <c r="E29" s="29">
        <v>233</v>
      </c>
      <c r="F29" s="43">
        <v>290</v>
      </c>
      <c r="G29" s="43">
        <v>698</v>
      </c>
      <c r="H29" s="43">
        <v>2069</v>
      </c>
      <c r="I29" s="260">
        <v>2069</v>
      </c>
      <c r="J29" s="261">
        <f>SUM(J30)</f>
        <v>0</v>
      </c>
      <c r="K29" s="261">
        <f t="shared" ref="K29:O29" si="36">SUM(K30)</f>
        <v>0</v>
      </c>
      <c r="L29" s="261">
        <f t="shared" si="36"/>
        <v>0</v>
      </c>
      <c r="M29" s="261">
        <f t="shared" si="36"/>
        <v>0</v>
      </c>
      <c r="N29" s="261">
        <f t="shared" si="36"/>
        <v>0</v>
      </c>
      <c r="O29" s="261">
        <f t="shared" si="36"/>
        <v>0</v>
      </c>
    </row>
    <row r="30" spans="1:24">
      <c r="A30" s="1" t="s">
        <v>12</v>
      </c>
      <c r="B30" s="1" t="s">
        <v>2</v>
      </c>
      <c r="C30" s="1" t="s">
        <v>17058</v>
      </c>
      <c r="D30" s="2" t="s">
        <v>17059</v>
      </c>
      <c r="E30" s="31"/>
      <c r="F30" s="24">
        <f>F125</f>
        <v>163</v>
      </c>
      <c r="G30" s="24">
        <f t="shared" ref="G30:H30" si="37">G125</f>
        <v>274</v>
      </c>
      <c r="H30" s="24">
        <f t="shared" si="37"/>
        <v>794</v>
      </c>
      <c r="I30" s="262">
        <f>I125 *I2/100</f>
        <v>794</v>
      </c>
      <c r="J30" s="263">
        <f>INT(J14*J9/100)</f>
        <v>0</v>
      </c>
      <c r="K30" s="263">
        <f t="shared" ref="K30:N30" si="38">INT(K14*K9/100)</f>
        <v>0</v>
      </c>
      <c r="L30" s="263">
        <f t="shared" si="38"/>
        <v>0</v>
      </c>
      <c r="M30" s="263">
        <f t="shared" si="38"/>
        <v>0</v>
      </c>
      <c r="N30" s="263">
        <f t="shared" si="38"/>
        <v>0</v>
      </c>
      <c r="O30" s="263">
        <f t="shared" ref="O30" si="39">INT(O14*O9/100)</f>
        <v>0</v>
      </c>
    </row>
    <row r="31" spans="1:24">
      <c r="A31" s="1" t="s">
        <v>12</v>
      </c>
      <c r="B31" s="1" t="s">
        <v>16692</v>
      </c>
      <c r="C31" s="1" t="s">
        <v>17060</v>
      </c>
      <c r="D31" s="2" t="s">
        <v>17061</v>
      </c>
      <c r="E31" s="31">
        <v>40</v>
      </c>
      <c r="F31" s="42">
        <v>102</v>
      </c>
      <c r="G31" s="42">
        <v>262</v>
      </c>
      <c r="H31" s="42">
        <v>492</v>
      </c>
      <c r="I31" s="265">
        <v>492</v>
      </c>
      <c r="J31" s="263">
        <f>INT(J12*J10/100)</f>
        <v>0</v>
      </c>
      <c r="K31" s="263">
        <f t="shared" ref="K31:N31" si="40">INT(K12*K10/100)</f>
        <v>0</v>
      </c>
      <c r="L31" s="263">
        <f t="shared" si="40"/>
        <v>0</v>
      </c>
      <c r="M31" s="263">
        <f t="shared" si="40"/>
        <v>0</v>
      </c>
      <c r="N31" s="263">
        <f t="shared" si="40"/>
        <v>0</v>
      </c>
      <c r="O31" s="263">
        <f t="shared" ref="O31" si="41">INT(O12*O10/100)</f>
        <v>0</v>
      </c>
    </row>
    <row r="32" spans="1:24">
      <c r="A32" s="1" t="s">
        <v>16720</v>
      </c>
      <c r="B32" s="1" t="s">
        <v>16692</v>
      </c>
      <c r="C32" s="1" t="s">
        <v>17062</v>
      </c>
      <c r="D32" s="8" t="s">
        <v>17063</v>
      </c>
      <c r="E32" s="29">
        <v>-60</v>
      </c>
      <c r="F32" s="43">
        <v>575</v>
      </c>
      <c r="G32" s="43">
        <v>-3441</v>
      </c>
      <c r="H32" s="43">
        <v>-9995</v>
      </c>
      <c r="I32" s="65">
        <f>I25+I26-I29</f>
        <v>-9996</v>
      </c>
      <c r="J32" s="30">
        <f t="shared" ref="J32:N32" ca="1" si="42">J25+J26-J29</f>
        <v>-4886</v>
      </c>
      <c r="K32" s="30">
        <f t="shared" ca="1" si="42"/>
        <v>-11109</v>
      </c>
      <c r="L32" s="30">
        <f t="shared" ca="1" si="42"/>
        <v>-8757</v>
      </c>
      <c r="M32" s="30">
        <f t="shared" ca="1" si="42"/>
        <v>-14386</v>
      </c>
      <c r="N32" s="30">
        <f t="shared" ca="1" si="42"/>
        <v>-10073</v>
      </c>
      <c r="O32" s="30">
        <f t="shared" ref="O32" ca="1" si="43">O25+O26-O29</f>
        <v>-10116</v>
      </c>
      <c r="R32" s="646" t="str">
        <f>민감도!I11</f>
        <v>과세표준</v>
      </c>
      <c r="S32" s="646" t="str">
        <f>민감도!J11</f>
        <v>세율(*)</v>
      </c>
      <c r="T32" s="646" t="str">
        <f>민감도!K11</f>
        <v>누진공제</v>
      </c>
      <c r="U32" s="646" t="str">
        <f>민감도!L11</f>
        <v>기준</v>
      </c>
      <c r="V32"/>
      <c r="W32"/>
      <c r="X32"/>
    </row>
    <row r="33" spans="1:24">
      <c r="A33" s="1" t="s">
        <v>12</v>
      </c>
      <c r="B33" s="1" t="s">
        <v>16726</v>
      </c>
      <c r="C33" s="1" t="s">
        <v>17064</v>
      </c>
      <c r="D33" s="2" t="s">
        <v>17065</v>
      </c>
      <c r="E33" s="31"/>
      <c r="F33" s="31"/>
      <c r="G33" s="31"/>
      <c r="H33" s="31"/>
      <c r="I33" s="249">
        <f>IF(I32&lt;=0,0,VLOOKUP(I32,법인세[],2))</f>
        <v>0</v>
      </c>
      <c r="J33" s="249">
        <f ca="1">IF(J32&lt;=0,0,VLOOKUP(J32,법인세[],2))</f>
        <v>0</v>
      </c>
      <c r="K33" s="249">
        <f ca="1">IF(K32&lt;=0,0,VLOOKUP(K32,법인세[],2))</f>
        <v>0</v>
      </c>
      <c r="L33" s="249">
        <f ca="1">IF(L32&lt;=0,0,VLOOKUP(L32,법인세[],2))</f>
        <v>0</v>
      </c>
      <c r="M33" s="249">
        <f ca="1">IF(M32&lt;=0,0,VLOOKUP(M32,법인세[],2))</f>
        <v>0</v>
      </c>
      <c r="N33" s="249">
        <f ca="1">IF(N32&lt;=0,0,VLOOKUP(N32,법인세[],2))</f>
        <v>0</v>
      </c>
      <c r="O33" s="249">
        <f ca="1">IF(O32&lt;=0,0,VLOOKUP(O32,법인세[],2))</f>
        <v>0</v>
      </c>
      <c r="R33" s="647">
        <f>민감도!I12</f>
        <v>0</v>
      </c>
      <c r="S33" s="648">
        <f>민감도!J12</f>
        <v>9.9</v>
      </c>
      <c r="T33" s="649">
        <f>민감도!K12</f>
        <v>0</v>
      </c>
      <c r="U33" s="650" t="str">
        <f>민감도!L12</f>
        <v>2억미만</v>
      </c>
      <c r="V33"/>
      <c r="W33"/>
      <c r="X33"/>
    </row>
    <row r="34" spans="1:24">
      <c r="A34" s="1" t="s">
        <v>12</v>
      </c>
      <c r="B34" s="1" t="s">
        <v>2</v>
      </c>
      <c r="C34" s="1" t="s">
        <v>17066</v>
      </c>
      <c r="D34" s="2" t="s">
        <v>17067</v>
      </c>
      <c r="E34" s="31">
        <v>1</v>
      </c>
      <c r="F34" s="31">
        <v>130</v>
      </c>
      <c r="G34" s="31">
        <v>-141</v>
      </c>
      <c r="H34" s="31">
        <v>-8</v>
      </c>
      <c r="I34" s="105">
        <f>IF(I33=0,I32,I32*I33/100-VLOOKUP(I32,법인세[],3))</f>
        <v>-9996</v>
      </c>
      <c r="J34" s="496">
        <f ca="1">IF(J33=0,J32,J32*J33/100-VLOOKUP(J32,법인세[],3))</f>
        <v>-4886</v>
      </c>
      <c r="K34" s="496">
        <f ca="1">IF(K33=0,K32,K32*K33/100-VLOOKUP(K32,법인세[],3))</f>
        <v>-11109</v>
      </c>
      <c r="L34" s="496">
        <f ca="1">IF(L33=0,L32,L32*L33/100-VLOOKUP(L32,법인세[],3))</f>
        <v>-8757</v>
      </c>
      <c r="M34" s="496">
        <f ca="1">IF(M33=0,M32,M32*M33/100-VLOOKUP(M32,법인세[],3))</f>
        <v>-14386</v>
      </c>
      <c r="N34" s="496">
        <f ca="1">IF(N33=0,N32,N32*N33/100-VLOOKUP(N32,법인세[],3))</f>
        <v>-10073</v>
      </c>
      <c r="O34" s="496">
        <f ca="1">IF(O33=0,O32,O32*O33/100-VLOOKUP(O32,법인세[],3))</f>
        <v>-10116</v>
      </c>
      <c r="R34" s="647">
        <f>민감도!I13</f>
        <v>200</v>
      </c>
      <c r="S34" s="648">
        <f>민감도!J13</f>
        <v>20.900000000000002</v>
      </c>
      <c r="T34" s="647">
        <f>민감도!K13</f>
        <v>22</v>
      </c>
      <c r="U34" s="650" t="str">
        <f>민감도!L13</f>
        <v>2~200</v>
      </c>
      <c r="V34"/>
      <c r="W34"/>
      <c r="X34"/>
    </row>
    <row r="35" spans="1:24">
      <c r="A35" s="1" t="s">
        <v>12</v>
      </c>
      <c r="B35" s="1" t="s">
        <v>16343</v>
      </c>
      <c r="C35" s="1" t="s">
        <v>17068</v>
      </c>
      <c r="D35" s="2" t="s">
        <v>17069</v>
      </c>
      <c r="E35" s="31">
        <v>-60</v>
      </c>
      <c r="F35" s="31">
        <v>444</v>
      </c>
      <c r="G35" s="31">
        <v>-3300</v>
      </c>
      <c r="H35" s="31">
        <v>-9986</v>
      </c>
      <c r="I35" s="32">
        <f>I32-I34</f>
        <v>0</v>
      </c>
      <c r="J35" s="32">
        <f ca="1">J32-J34</f>
        <v>0</v>
      </c>
      <c r="K35" s="32">
        <f t="shared" ref="K35:N35" ca="1" si="44">K32-K34</f>
        <v>0</v>
      </c>
      <c r="L35" s="32">
        <f t="shared" ca="1" si="44"/>
        <v>0</v>
      </c>
      <c r="M35" s="32">
        <f t="shared" ca="1" si="44"/>
        <v>0</v>
      </c>
      <c r="N35" s="32">
        <f t="shared" ca="1" si="44"/>
        <v>0</v>
      </c>
      <c r="O35" s="32">
        <f t="shared" ref="O35" ca="1" si="45">O32-O34</f>
        <v>0</v>
      </c>
      <c r="R35" s="647">
        <f>민감도!I14</f>
        <v>20000</v>
      </c>
      <c r="S35" s="648">
        <f>민감도!J14</f>
        <v>23.1</v>
      </c>
      <c r="T35" s="647">
        <f>민감도!K14</f>
        <v>462</v>
      </c>
      <c r="U35" s="650" t="str">
        <f>민감도!L14</f>
        <v>200~3000</v>
      </c>
      <c r="V35"/>
      <c r="W35"/>
      <c r="X35"/>
    </row>
    <row r="36" spans="1:24">
      <c r="A36" s="1" t="s">
        <v>16711</v>
      </c>
      <c r="B36" s="1" t="s">
        <v>16692</v>
      </c>
      <c r="C36" s="1" t="s">
        <v>17070</v>
      </c>
      <c r="D36" s="8" t="s">
        <v>17071</v>
      </c>
      <c r="E36" s="29">
        <v>-60</v>
      </c>
      <c r="F36" s="29">
        <v>444</v>
      </c>
      <c r="G36" s="29">
        <v>-3300</v>
      </c>
      <c r="H36" s="29">
        <v>-9986</v>
      </c>
      <c r="I36" s="36">
        <f>I35</f>
        <v>0</v>
      </c>
      <c r="J36" s="36">
        <f ca="1">J35</f>
        <v>0</v>
      </c>
      <c r="K36" s="36">
        <f t="shared" ref="K36:N36" ca="1" si="46">K35</f>
        <v>0</v>
      </c>
      <c r="L36" s="36">
        <f t="shared" ca="1" si="46"/>
        <v>0</v>
      </c>
      <c r="M36" s="36">
        <f t="shared" ca="1" si="46"/>
        <v>0</v>
      </c>
      <c r="N36" s="36">
        <f t="shared" ca="1" si="46"/>
        <v>0</v>
      </c>
      <c r="O36" s="36">
        <f t="shared" ref="O36" ca="1" si="47">O35</f>
        <v>0</v>
      </c>
      <c r="R36" s="647">
        <f>민감도!I15</f>
        <v>300000</v>
      </c>
      <c r="S36" s="648">
        <f>민감도!J15</f>
        <v>26.400000000000002</v>
      </c>
      <c r="T36" s="647">
        <f>민감도!K15</f>
        <v>10362</v>
      </c>
      <c r="U36" s="650" t="str">
        <f>민감도!L15</f>
        <v>3000억초과</v>
      </c>
      <c r="V36"/>
      <c r="W36"/>
      <c r="X36"/>
    </row>
    <row r="37" spans="1:24">
      <c r="A37" s="1" t="s">
        <v>16711</v>
      </c>
      <c r="B37" s="1" t="s">
        <v>16870</v>
      </c>
      <c r="C37" s="1" t="s">
        <v>17072</v>
      </c>
      <c r="D37" s="2" t="s">
        <v>17073</v>
      </c>
      <c r="E37" s="45">
        <f>E26-E55</f>
        <v>1</v>
      </c>
      <c r="F37" s="45">
        <f>F26-F55</f>
        <v>1</v>
      </c>
      <c r="G37" s="45">
        <f>G26-G55</f>
        <v>1</v>
      </c>
      <c r="H37" s="45">
        <f>H26-H55</f>
        <v>8</v>
      </c>
      <c r="I37" s="2"/>
      <c r="O37" s="86"/>
      <c r="R37" s="205"/>
      <c r="S37" s="651" t="s">
        <v>706</v>
      </c>
      <c r="T37" s="205"/>
      <c r="U37" s="205"/>
      <c r="V37"/>
      <c r="W37"/>
      <c r="X37"/>
    </row>
    <row r="38" spans="1:24">
      <c r="A38" s="1" t="s">
        <v>4</v>
      </c>
      <c r="B38" s="1" t="s">
        <v>16698</v>
      </c>
      <c r="C38" s="1" t="s">
        <v>17074</v>
      </c>
      <c r="D38" s="2" t="s">
        <v>17075</v>
      </c>
      <c r="E38" s="45">
        <f>E29-E124</f>
        <v>1</v>
      </c>
      <c r="F38" s="45">
        <f>F29-F124</f>
        <v>0</v>
      </c>
      <c r="G38" s="45">
        <f>G29-G124</f>
        <v>1</v>
      </c>
      <c r="H38" s="45">
        <f>H29-H124</f>
        <v>1</v>
      </c>
      <c r="I38" s="2"/>
      <c r="O38" s="86"/>
    </row>
    <row r="39" spans="1:24" s="205" customFormat="1">
      <c r="A39" s="1" t="s">
        <v>17076</v>
      </c>
      <c r="B39" s="1" t="s">
        <v>17077</v>
      </c>
      <c r="C39" s="1" t="s">
        <v>17078</v>
      </c>
      <c r="D39" s="205" t="s">
        <v>17079</v>
      </c>
      <c r="E39" s="499"/>
      <c r="F39" s="499"/>
      <c r="G39" s="499"/>
      <c r="H39" s="499"/>
      <c r="J39" s="266">
        <f>(IS추정!J14/IS추정!I14-1)*100</f>
        <v>13.240279162512469</v>
      </c>
      <c r="K39" s="266">
        <f>(IS추정!K14/IS추정!J14-1)*100</f>
        <v>400.07043493572814</v>
      </c>
      <c r="L39" s="266">
        <f>(IS추정!L14/IS추정!K14-1)*100</f>
        <v>45.860769745413577</v>
      </c>
      <c r="M39" s="266">
        <f>(IS추정!M14/IS추정!L14-1)*100</f>
        <v>119.240518552495</v>
      </c>
      <c r="N39" s="266">
        <f>(IS추정!N14/IS추정!M14-1)*100</f>
        <v>2.9994714587737947</v>
      </c>
      <c r="O39" s="266">
        <f>(IS추정!O14/IS추정!N14-1)*100</f>
        <v>1.999144750908699</v>
      </c>
    </row>
    <row r="40" spans="1:24" s="205" customFormat="1">
      <c r="A40" s="1" t="s">
        <v>17080</v>
      </c>
      <c r="B40" s="1" t="s">
        <v>17081</v>
      </c>
      <c r="C40" s="1" t="s">
        <v>17082</v>
      </c>
      <c r="D40" s="205" t="s">
        <v>17083</v>
      </c>
      <c r="E40" s="499"/>
      <c r="F40" s="499"/>
      <c r="G40" s="499"/>
      <c r="H40" s="499"/>
      <c r="J40" s="266">
        <f>J15/J14*100</f>
        <v>93.537594646944882</v>
      </c>
      <c r="K40" s="266">
        <f t="shared" ref="K40:O40" si="48">K15/K14*100</f>
        <v>93.538504876932279</v>
      </c>
      <c r="L40" s="266">
        <f t="shared" si="48"/>
        <v>79.108224899210583</v>
      </c>
      <c r="M40" s="266">
        <f t="shared" si="48"/>
        <v>78.406888653981682</v>
      </c>
      <c r="N40" s="266">
        <f t="shared" si="48"/>
        <v>73.307675860594401</v>
      </c>
      <c r="O40" s="266">
        <f t="shared" si="48"/>
        <v>73.073053139083953</v>
      </c>
    </row>
    <row r="41" spans="1:24" s="205" customFormat="1">
      <c r="A41" s="1" t="s">
        <v>17084</v>
      </c>
      <c r="B41" s="1" t="s">
        <v>17085</v>
      </c>
      <c r="C41" s="1" t="s">
        <v>17086</v>
      </c>
      <c r="D41" s="205" t="s">
        <v>17087</v>
      </c>
      <c r="E41" s="499"/>
      <c r="F41" s="499"/>
      <c r="G41" s="499"/>
      <c r="H41" s="499"/>
      <c r="J41" s="266">
        <f ca="1">(IS추정!J17/IS추정!J14)*100</f>
        <v>92.498679344955093</v>
      </c>
      <c r="K41" s="266">
        <f ca="1">(IS추정!K17/IS추정!K14)*100</f>
        <v>45.579069685552312</v>
      </c>
      <c r="L41" s="266">
        <f ca="1">(IS추정!L17/IS추정!L14)*100</f>
        <v>42.032204330927264</v>
      </c>
      <c r="M41" s="266">
        <f ca="1">(IS추정!M17/IS추정!M14)*100</f>
        <v>37.43393234672304</v>
      </c>
      <c r="N41" s="266">
        <f ca="1">(IS추정!N17/IS추정!N14)*100</f>
        <v>37.460979260209534</v>
      </c>
      <c r="O41" s="266">
        <f ca="1">(IS추정!O17/IS추정!O14)*100</f>
        <v>37.529609055654547</v>
      </c>
    </row>
    <row r="42" spans="1:24" s="205" customFormat="1" ht="17.25" thickBot="1">
      <c r="A42" s="1" t="s">
        <v>17088</v>
      </c>
      <c r="B42" s="1" t="s">
        <v>17089</v>
      </c>
      <c r="C42" s="1" t="s">
        <v>17090</v>
      </c>
      <c r="D42" s="205" t="s">
        <v>17091</v>
      </c>
      <c r="E42" s="499"/>
      <c r="F42" s="499"/>
      <c r="G42" s="499"/>
      <c r="H42" s="499"/>
      <c r="J42" s="266">
        <f ca="1">J52*100</f>
        <v>-86.036273991899975</v>
      </c>
      <c r="K42" s="266">
        <f t="shared" ref="K42:O42" ca="1" si="49">K52*100</f>
        <v>-39.117574562484599</v>
      </c>
      <c r="L42" s="266">
        <f t="shared" ca="1" si="49"/>
        <v>-21.140429230137848</v>
      </c>
      <c r="M42" s="266">
        <f t="shared" ca="1" si="49"/>
        <v>-15.840821000704722</v>
      </c>
      <c r="N42" s="266">
        <f t="shared" ca="1" si="49"/>
        <v>-10.768655120803935</v>
      </c>
      <c r="O42" s="266">
        <f t="shared" ca="1" si="49"/>
        <v>-10.602662194738496</v>
      </c>
    </row>
    <row r="43" spans="1:24">
      <c r="D43" s="161" t="s">
        <v>65</v>
      </c>
      <c r="E43" s="162"/>
      <c r="F43" s="162">
        <f t="shared" ref="F43:O43" si="50">F28/F27</f>
        <v>8.5106382978723402E-2</v>
      </c>
      <c r="G43" s="162">
        <f t="shared" si="50"/>
        <v>0.43373493975903615</v>
      </c>
      <c r="H43" s="162">
        <f t="shared" si="50"/>
        <v>0.39051094890510951</v>
      </c>
      <c r="I43" s="162">
        <f t="shared" si="50"/>
        <v>0.39051094890510951</v>
      </c>
      <c r="J43" s="162" t="e">
        <f t="shared" si="50"/>
        <v>#DIV/0!</v>
      </c>
      <c r="K43" s="162" t="e">
        <f t="shared" si="50"/>
        <v>#DIV/0!</v>
      </c>
      <c r="L43" s="162" t="e">
        <f t="shared" si="50"/>
        <v>#DIV/0!</v>
      </c>
      <c r="M43" s="162" t="e">
        <f t="shared" si="50"/>
        <v>#DIV/0!</v>
      </c>
      <c r="N43" s="162" t="e">
        <f t="shared" si="50"/>
        <v>#DIV/0!</v>
      </c>
      <c r="O43" s="162" t="e">
        <f t="shared" si="50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66</v>
      </c>
      <c r="E44" s="165"/>
      <c r="F44" s="165">
        <f t="shared" ref="F44:O44" si="51">F31/F30</f>
        <v>0.62576687116564422</v>
      </c>
      <c r="G44" s="165">
        <f t="shared" si="51"/>
        <v>0.95620437956204385</v>
      </c>
      <c r="H44" s="165">
        <f t="shared" si="51"/>
        <v>0.61964735516372793</v>
      </c>
      <c r="I44" s="165">
        <f t="shared" si="51"/>
        <v>0.61964735516372793</v>
      </c>
      <c r="J44" s="165" t="e">
        <f t="shared" si="51"/>
        <v>#DIV/0!</v>
      </c>
      <c r="K44" s="165" t="e">
        <f t="shared" si="51"/>
        <v>#DIV/0!</v>
      </c>
      <c r="L44" s="165" t="e">
        <f t="shared" si="51"/>
        <v>#DIV/0!</v>
      </c>
      <c r="M44" s="165" t="e">
        <f t="shared" si="51"/>
        <v>#DIV/0!</v>
      </c>
      <c r="N44" s="165" t="e">
        <f t="shared" si="51"/>
        <v>#DIV/0!</v>
      </c>
      <c r="O44" s="165" t="e">
        <f t="shared" si="51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-3237369.4615647378</v>
      </c>
    </row>
    <row r="45" spans="1:24">
      <c r="I45" s="2"/>
    </row>
    <row r="46" spans="1:24">
      <c r="A46" s="367">
        <f>ROW(C50)-ROW(C46)</f>
        <v>4</v>
      </c>
      <c r="B46" s="1"/>
      <c r="C46" s="1" t="s">
        <v>17095</v>
      </c>
      <c r="D46" s="1" t="s">
        <v>17096</v>
      </c>
      <c r="E46" s="1" t="s">
        <v>16473</v>
      </c>
      <c r="F46" s="1" t="s">
        <v>16475</v>
      </c>
      <c r="G46" s="1" t="s">
        <v>16477</v>
      </c>
      <c r="H46" s="1" t="s">
        <v>16480</v>
      </c>
      <c r="I46" s="1" t="s">
        <v>16826</v>
      </c>
      <c r="J46" s="1" t="s">
        <v>17105</v>
      </c>
      <c r="K46" s="1"/>
      <c r="L46" s="116" t="s">
        <v>23</v>
      </c>
      <c r="N46" s="126" t="s">
        <v>30</v>
      </c>
      <c r="O46" s="126" t="s">
        <v>31</v>
      </c>
      <c r="P46" s="126" t="s">
        <v>32</v>
      </c>
      <c r="Q46" s="126" t="s">
        <v>31</v>
      </c>
      <c r="R46" s="126" t="s">
        <v>33</v>
      </c>
      <c r="S46" s="126" t="s">
        <v>34</v>
      </c>
    </row>
    <row r="47" spans="1:24">
      <c r="A47" s="1" t="s">
        <v>12</v>
      </c>
      <c r="B47" s="1" t="s">
        <v>16732</v>
      </c>
      <c r="C47" s="1" t="s">
        <v>17097</v>
      </c>
      <c r="D47" s="2" t="s">
        <v>17098</v>
      </c>
      <c r="E47" s="87">
        <f>IF(E14=0,0,E56/E14*100)</f>
        <v>0.48083256487946252</v>
      </c>
      <c r="F47" s="28">
        <f>IF(F14=0,0,F56/F14*100)</f>
        <v>0.51756414491796054</v>
      </c>
      <c r="G47" s="87">
        <f>IF(G14=0,0,G56/G14*100)</f>
        <v>2.0419878628833854</v>
      </c>
      <c r="H47" s="87">
        <f>IF(H14=0,0,H56/H14*100)</f>
        <v>5.4636091724825526</v>
      </c>
      <c r="I47" s="28">
        <f>(F47+G47*2+H47*3)/6</f>
        <v>3.4987278980220649</v>
      </c>
      <c r="J47" s="498">
        <v>0</v>
      </c>
      <c r="K47" s="92">
        <f>(E47+F47*2+G47*3)/6</f>
        <v>1.2736540738942568</v>
      </c>
      <c r="L47" s="159"/>
      <c r="N47" s="117">
        <f>AVERAGE(E47:H47)</f>
        <v>2.1259984362908404</v>
      </c>
      <c r="O47" s="117">
        <f>AVERAGE(F47:H47)</f>
        <v>2.6743870600946327</v>
      </c>
      <c r="P47" s="117">
        <f>AVERAGE(G47:H47)</f>
        <v>3.7527985176829688</v>
      </c>
      <c r="Q47" s="117">
        <f>AVERAGE(E47:G47)</f>
        <v>1.0134615242269363</v>
      </c>
      <c r="R47" s="117">
        <f>(4*H47+3*G47+2*F47+E47)/10</f>
        <v>2.9496361133295754</v>
      </c>
      <c r="S47" s="117">
        <f>(2*H47+G47)/3</f>
        <v>4.323068735949497</v>
      </c>
    </row>
    <row r="48" spans="1:24">
      <c r="A48" s="1" t="s">
        <v>12</v>
      </c>
      <c r="B48" s="1" t="s">
        <v>16708</v>
      </c>
      <c r="C48" s="1" t="s">
        <v>17099</v>
      </c>
      <c r="D48" s="2" t="s">
        <v>17100</v>
      </c>
      <c r="E48" s="87">
        <f>IF((E11)=0,0,(E28/E11)*100)</f>
        <v>0.47619047619047622</v>
      </c>
      <c r="F48" s="28">
        <f>IF((E11+F11)=0,0,(F28/((E11+F11)/2))*100)</f>
        <v>8.8731144631765749E-2</v>
      </c>
      <c r="G48" s="87">
        <f>IF((F11+G11)=0,0,(G28/((F11+G11)/2))*100)</f>
        <v>0.77902405597432101</v>
      </c>
      <c r="H48" s="87">
        <f>IF((G11+H11)=0,0,(I28/((G11+H11)/2))*100)</f>
        <v>1.4684690866671242</v>
      </c>
      <c r="I48" s="28">
        <f t="shared" ref="I48:I50" si="52">(F48+G48*2+H48*3)/6</f>
        <v>1.0086977527636301</v>
      </c>
      <c r="J48" s="498">
        <v>0</v>
      </c>
      <c r="K48" s="92">
        <f t="shared" ref="K48:K50" si="53">(E48+F48*2+G48*3)/6</f>
        <v>0.49845415556282852</v>
      </c>
      <c r="L48" s="159"/>
      <c r="N48" s="117">
        <f>AVERAGE(E48:H48)</f>
        <v>0.70310369086592184</v>
      </c>
      <c r="O48" s="117">
        <f>AVERAGE(F48:H48)</f>
        <v>0.77874142909107036</v>
      </c>
      <c r="P48" s="117">
        <f>AVERAGE(G48:H48)</f>
        <v>1.1237465713207226</v>
      </c>
      <c r="Q48" s="117">
        <f>AVERAGE(E48:G48)</f>
        <v>0.44798189226552099</v>
      </c>
      <c r="R48" s="117">
        <f>(4*H48+3*G48+2*F48+E48)/10</f>
        <v>0.88646012800454665</v>
      </c>
      <c r="S48" s="117">
        <f>(2*H48+G48)/3</f>
        <v>1.2386540764361897</v>
      </c>
    </row>
    <row r="49" spans="1:19">
      <c r="A49" s="1" t="s">
        <v>12</v>
      </c>
      <c r="B49" s="1" t="s">
        <v>3</v>
      </c>
      <c r="C49" s="1" t="s">
        <v>17101</v>
      </c>
      <c r="D49" s="2" t="s">
        <v>17102</v>
      </c>
      <c r="E49" s="87">
        <f>IF(E125=0,0,E125/E14*100)</f>
        <v>0.65867474641022272</v>
      </c>
      <c r="F49" s="28">
        <f>IF(F125=0,0,F125/F14*100)</f>
        <v>0.89747825129391035</v>
      </c>
      <c r="G49" s="87">
        <f>IF(G125=0,0,G125/G14*100)</f>
        <v>2.2470067246186649</v>
      </c>
      <c r="H49" s="87">
        <f>IF(H125=0,0,H125/H14*100)</f>
        <v>15.832502492522432</v>
      </c>
      <c r="I49" s="28">
        <f t="shared" si="52"/>
        <v>8.8148331963497562</v>
      </c>
      <c r="J49" s="498">
        <v>0</v>
      </c>
      <c r="K49" s="92">
        <f t="shared" si="53"/>
        <v>1.5324419038090065</v>
      </c>
      <c r="L49" s="159"/>
      <c r="N49" s="117">
        <f>AVERAGE(E49:H49)</f>
        <v>4.9089155537113074</v>
      </c>
      <c r="O49" s="117">
        <f>AVERAGE(F49:H49)</f>
        <v>6.3256624894783355</v>
      </c>
      <c r="P49" s="117">
        <f>AVERAGE(G49:H49)</f>
        <v>9.0397546085705489</v>
      </c>
      <c r="Q49" s="117">
        <f>AVERAGE(E49:G49)</f>
        <v>1.2677199074409327</v>
      </c>
      <c r="R49" s="117">
        <f>(4*H49+3*G49+2*F49+E49)/10</f>
        <v>7.252466139294377</v>
      </c>
      <c r="S49" s="117">
        <f>(2*H49+G49)/3</f>
        <v>11.304003903221178</v>
      </c>
    </row>
    <row r="50" spans="1:19">
      <c r="A50" s="1" t="s">
        <v>12</v>
      </c>
      <c r="B50" s="1" t="s">
        <v>16708</v>
      </c>
      <c r="C50" s="1" t="s">
        <v>17103</v>
      </c>
      <c r="D50" s="2" t="s">
        <v>17104</v>
      </c>
      <c r="E50" s="87">
        <f>IF((E12)=0,0,(E31/E12)*100)</f>
        <v>1.2630249447426587</v>
      </c>
      <c r="F50" s="28">
        <f>IF((E12+F12)=0,0,(F31/((E12+F12)/2))*100)</f>
        <v>0.81931001245029911</v>
      </c>
      <c r="G50" s="87">
        <f>IF((F12+G12)=0,0,(G31/((F12+G12)/2))*100)</f>
        <v>1.0278137381821035</v>
      </c>
      <c r="H50" s="87">
        <f>IF((G12+H12)=0,0,(I31/((G12+H12)/2))*100)</f>
        <v>1.5132408575031526</v>
      </c>
      <c r="I50" s="28">
        <f t="shared" si="52"/>
        <v>1.2357766768873273</v>
      </c>
      <c r="J50" s="498">
        <v>0</v>
      </c>
      <c r="K50" s="92">
        <f t="shared" si="53"/>
        <v>0.99751436403159455</v>
      </c>
      <c r="L50" s="159"/>
      <c r="N50" s="117">
        <f>AVERAGE(E50:H50)</f>
        <v>1.1558473882195535</v>
      </c>
      <c r="O50" s="117">
        <f>AVERAGE(F50:H50)</f>
        <v>1.1201215360451851</v>
      </c>
      <c r="P50" s="117">
        <f>AVERAGE(G50:H50)</f>
        <v>1.2705272978426281</v>
      </c>
      <c r="Q50" s="117">
        <f>AVERAGE(E50:G50)</f>
        <v>1.0367162317916871</v>
      </c>
      <c r="R50" s="117">
        <f>(4*H50+3*G50+2*F50+E50)/10</f>
        <v>1.2038049614202178</v>
      </c>
      <c r="S50" s="117">
        <f>(2*H50+G50)/3</f>
        <v>1.3514318177294697</v>
      </c>
    </row>
    <row r="51" spans="1:19" ht="17.25" thickBot="1">
      <c r="D51" s="205"/>
      <c r="E51" s="231">
        <f>E47-E49</f>
        <v>-0.1778421815307602</v>
      </c>
      <c r="F51" s="231">
        <f t="shared" ref="F51:S51" si="54">F47-F49</f>
        <v>-0.3799141063759498</v>
      </c>
      <c r="G51" s="231">
        <f t="shared" si="54"/>
        <v>-0.2050188617352795</v>
      </c>
      <c r="H51" s="231">
        <f t="shared" si="54"/>
        <v>-10.368893320039879</v>
      </c>
      <c r="I51" s="231">
        <f t="shared" si="54"/>
        <v>-5.3161052983276917</v>
      </c>
      <c r="J51" s="231">
        <v>-5.3161052983276917</v>
      </c>
      <c r="K51" s="231">
        <f t="shared" si="54"/>
        <v>-0.25878782991474969</v>
      </c>
      <c r="L51" s="231">
        <f t="shared" si="54"/>
        <v>0</v>
      </c>
      <c r="M51" s="231"/>
      <c r="N51" s="231">
        <f t="shared" si="54"/>
        <v>-2.782917117420467</v>
      </c>
      <c r="O51" s="231">
        <f t="shared" si="54"/>
        <v>-3.6512754293837029</v>
      </c>
      <c r="P51" s="231">
        <f t="shared" si="54"/>
        <v>-5.2869560908875801</v>
      </c>
      <c r="Q51" s="231">
        <f t="shared" si="54"/>
        <v>-0.25425838321399641</v>
      </c>
      <c r="R51" s="231">
        <f t="shared" si="54"/>
        <v>-4.302830025964802</v>
      </c>
      <c r="S51" s="231">
        <f t="shared" si="54"/>
        <v>-6.9809351672716806</v>
      </c>
    </row>
    <row r="52" spans="1:19" ht="17.25" thickBot="1">
      <c r="D52" s="232" t="s">
        <v>79</v>
      </c>
      <c r="E52" s="233">
        <f t="shared" ref="E52:O52" si="55">IFERROR(E25/E14,"")</f>
        <v>-1.2646555131076275E-2</v>
      </c>
      <c r="F52" s="233">
        <f t="shared" si="55"/>
        <v>1.6187644532540468E-2</v>
      </c>
      <c r="G52" s="233">
        <f t="shared" si="55"/>
        <v>-0.29137280629817941</v>
      </c>
      <c r="H52" s="233">
        <f t="shared" si="55"/>
        <v>-1.6596211365902294</v>
      </c>
      <c r="I52" s="233">
        <f t="shared" si="55"/>
        <v>-1.6598205383848454</v>
      </c>
      <c r="J52" s="247">
        <f t="shared" ca="1" si="55"/>
        <v>-0.86036273991899981</v>
      </c>
      <c r="K52" s="248">
        <f t="shared" ca="1" si="55"/>
        <v>-0.39117574562484597</v>
      </c>
      <c r="L52" s="248">
        <f t="shared" ca="1" si="55"/>
        <v>-0.21140429230137847</v>
      </c>
      <c r="M52" s="248">
        <f t="shared" ca="1" si="55"/>
        <v>-0.15840821000704722</v>
      </c>
      <c r="N52" s="248">
        <f t="shared" ca="1" si="55"/>
        <v>-0.10768655120803934</v>
      </c>
      <c r="O52" s="325">
        <f t="shared" ca="1" si="55"/>
        <v>-0.10602662194738496</v>
      </c>
      <c r="P52" s="205"/>
      <c r="Q52" s="205"/>
      <c r="R52" s="205"/>
      <c r="S52" s="205"/>
    </row>
    <row r="53" spans="1:19">
      <c r="D53" s="232" t="s">
        <v>83</v>
      </c>
      <c r="E53" s="233">
        <f t="shared" ref="E53:O53" si="56">IFERROR(E36/E14,"")</f>
        <v>-3.9520484784613362E-3</v>
      </c>
      <c r="F53" s="233">
        <f t="shared" si="56"/>
        <v>2.4446646845061117E-2</v>
      </c>
      <c r="G53" s="233">
        <f t="shared" si="56"/>
        <v>-0.27062489749056912</v>
      </c>
      <c r="H53" s="233">
        <f t="shared" si="56"/>
        <v>-1.9912263210368892</v>
      </c>
      <c r="I53" s="233">
        <f t="shared" si="56"/>
        <v>0</v>
      </c>
      <c r="J53" s="233">
        <f t="shared" ca="1" si="56"/>
        <v>0</v>
      </c>
      <c r="K53" s="233">
        <f t="shared" ca="1" si="56"/>
        <v>0</v>
      </c>
      <c r="L53" s="233">
        <f t="shared" ca="1" si="56"/>
        <v>0</v>
      </c>
      <c r="M53" s="233">
        <f t="shared" ca="1" si="56"/>
        <v>0</v>
      </c>
      <c r="N53" s="233">
        <f t="shared" ca="1" si="56"/>
        <v>0</v>
      </c>
      <c r="O53" s="233">
        <f t="shared" ca="1" si="56"/>
        <v>0</v>
      </c>
      <c r="P53" s="205"/>
      <c r="Q53" s="205"/>
      <c r="R53" s="205"/>
      <c r="S53" s="205"/>
    </row>
    <row r="54" spans="1:19">
      <c r="A54" s="1">
        <v>65</v>
      </c>
      <c r="B54" s="1"/>
      <c r="C54" s="1" t="s">
        <v>17106</v>
      </c>
      <c r="D54" s="1" t="s">
        <v>17107</v>
      </c>
      <c r="E54" s="1" t="s">
        <v>17092</v>
      </c>
      <c r="F54" s="1" t="s">
        <v>16799</v>
      </c>
      <c r="G54" s="1" t="s">
        <v>16801</v>
      </c>
      <c r="H54" s="1" t="s">
        <v>16803</v>
      </c>
      <c r="I54" s="10" t="s">
        <v>17238</v>
      </c>
      <c r="J54" s="1" t="s">
        <v>17239</v>
      </c>
    </row>
    <row r="55" spans="1:19">
      <c r="A55" s="1" t="s">
        <v>12</v>
      </c>
      <c r="B55" s="1" t="s">
        <v>16692</v>
      </c>
      <c r="C55" s="1" t="s">
        <v>17108</v>
      </c>
      <c r="D55" s="2" t="s">
        <v>17109</v>
      </c>
      <c r="E55" s="32">
        <f>SUM(E57:E119)</f>
        <v>364</v>
      </c>
      <c r="F55" s="32">
        <f>SUM(F57:F119)</f>
        <v>569</v>
      </c>
      <c r="G55" s="32">
        <f t="shared" ref="G55:I55" si="57">SUM(G57:G119)</f>
        <v>808</v>
      </c>
      <c r="H55" s="32">
        <f t="shared" si="57"/>
        <v>389</v>
      </c>
      <c r="I55" s="39">
        <f t="shared" si="57"/>
        <v>389</v>
      </c>
      <c r="J55" s="2">
        <v>0</v>
      </c>
    </row>
    <row r="56" spans="1:19">
      <c r="A56" s="1" t="s">
        <v>4</v>
      </c>
      <c r="B56" s="1" t="s">
        <v>2</v>
      </c>
      <c r="C56" s="1" t="s">
        <v>17110</v>
      </c>
      <c r="D56" s="2" t="s">
        <v>17111</v>
      </c>
      <c r="E56" s="40">
        <f>SUMIF($J$57:$J$119,0,E57:E119)</f>
        <v>73</v>
      </c>
      <c r="F56" s="40">
        <f>SUMIF($J$57:$J$119,0,F57:F119)</f>
        <v>94</v>
      </c>
      <c r="G56" s="40">
        <f t="shared" ref="G56:I56" si="58">SUMIF($J$57:$J$119,0,G57:G119)</f>
        <v>249</v>
      </c>
      <c r="H56" s="40">
        <f t="shared" si="58"/>
        <v>274</v>
      </c>
      <c r="I56" s="41">
        <f t="shared" si="58"/>
        <v>274</v>
      </c>
      <c r="J56" s="2">
        <v>0</v>
      </c>
    </row>
    <row r="57" spans="1:19">
      <c r="A57" s="1" t="s">
        <v>12</v>
      </c>
      <c r="B57" s="1" t="s">
        <v>2</v>
      </c>
      <c r="C57" s="1" t="s">
        <v>17112</v>
      </c>
      <c r="D57" s="2" t="s">
        <v>17113</v>
      </c>
      <c r="E57" s="31">
        <v>14</v>
      </c>
      <c r="F57" s="31">
        <v>8</v>
      </c>
      <c r="G57" s="31">
        <v>108</v>
      </c>
      <c r="H57" s="31">
        <v>107</v>
      </c>
      <c r="I57" s="42">
        <v>107</v>
      </c>
      <c r="J57" s="2">
        <v>0</v>
      </c>
    </row>
    <row r="58" spans="1:19">
      <c r="A58" s="1" t="s">
        <v>12</v>
      </c>
      <c r="B58" s="1" t="s">
        <v>2</v>
      </c>
      <c r="C58" s="1" t="s">
        <v>17114</v>
      </c>
      <c r="D58" s="2" t="s">
        <v>17115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12</v>
      </c>
      <c r="B59" s="1" t="s">
        <v>2</v>
      </c>
      <c r="C59" s="1" t="s">
        <v>17116</v>
      </c>
      <c r="D59" s="2" t="s">
        <v>17117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12</v>
      </c>
      <c r="B60" s="1" t="s">
        <v>16777</v>
      </c>
      <c r="C60" s="1" t="s">
        <v>17118</v>
      </c>
      <c r="D60" s="2" t="s">
        <v>17119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12</v>
      </c>
      <c r="B61" s="1" t="s">
        <v>11</v>
      </c>
      <c r="C61" s="1" t="s">
        <v>17120</v>
      </c>
      <c r="D61" s="2" t="s">
        <v>17121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12</v>
      </c>
      <c r="B62" s="1" t="s">
        <v>2</v>
      </c>
      <c r="C62" s="1" t="s">
        <v>17122</v>
      </c>
      <c r="D62" s="2" t="s">
        <v>17123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12</v>
      </c>
      <c r="B63" s="1" t="s">
        <v>16343</v>
      </c>
      <c r="C63" s="1" t="s">
        <v>17124</v>
      </c>
      <c r="D63" s="2" t="s">
        <v>17125</v>
      </c>
      <c r="E63" s="31"/>
      <c r="F63" s="31"/>
      <c r="G63" s="31"/>
      <c r="H63" s="31"/>
      <c r="I63" s="42"/>
      <c r="J63" s="2">
        <v>1</v>
      </c>
    </row>
    <row r="64" spans="1:19">
      <c r="A64" s="1" t="s">
        <v>12</v>
      </c>
      <c r="B64" s="1" t="s">
        <v>2</v>
      </c>
      <c r="C64" s="1" t="s">
        <v>17126</v>
      </c>
      <c r="D64" s="2" t="s">
        <v>17127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12</v>
      </c>
      <c r="B65" s="1" t="s">
        <v>2</v>
      </c>
      <c r="C65" s="1" t="s">
        <v>17128</v>
      </c>
      <c r="D65" s="2" t="s">
        <v>17129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12</v>
      </c>
      <c r="B66" s="1" t="s">
        <v>16777</v>
      </c>
      <c r="C66" s="1" t="s">
        <v>17130</v>
      </c>
      <c r="D66" s="2" t="s">
        <v>17131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12</v>
      </c>
      <c r="B67" s="1" t="s">
        <v>16777</v>
      </c>
      <c r="C67" s="1" t="s">
        <v>17132</v>
      </c>
      <c r="D67" s="2" t="s">
        <v>17133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12</v>
      </c>
      <c r="B68" s="1" t="s">
        <v>16790</v>
      </c>
      <c r="C68" s="1" t="s">
        <v>17134</v>
      </c>
      <c r="D68" s="2" t="s">
        <v>17135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12</v>
      </c>
      <c r="B69" s="1" t="s">
        <v>16790</v>
      </c>
      <c r="C69" s="1" t="s">
        <v>17136</v>
      </c>
      <c r="D69" s="2" t="s">
        <v>17137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12</v>
      </c>
      <c r="B70" s="1" t="s">
        <v>2</v>
      </c>
      <c r="C70" s="1" t="s">
        <v>17138</v>
      </c>
      <c r="D70" s="2" t="s">
        <v>17139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12</v>
      </c>
      <c r="B71" s="1" t="s">
        <v>16692</v>
      </c>
      <c r="C71" s="1" t="s">
        <v>17140</v>
      </c>
      <c r="D71" s="2" t="s">
        <v>17141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12</v>
      </c>
      <c r="B72" s="1" t="s">
        <v>16698</v>
      </c>
      <c r="C72" s="1" t="s">
        <v>17142</v>
      </c>
      <c r="D72" s="2" t="s">
        <v>17143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12</v>
      </c>
      <c r="B73" s="1" t="s">
        <v>16698</v>
      </c>
      <c r="C73" s="1" t="s">
        <v>17144</v>
      </c>
      <c r="D73" s="2" t="s">
        <v>17145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12</v>
      </c>
      <c r="B74" s="1" t="s">
        <v>2</v>
      </c>
      <c r="C74" s="1" t="s">
        <v>17146</v>
      </c>
      <c r="D74" s="2" t="s">
        <v>17147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12</v>
      </c>
      <c r="B75" s="1" t="s">
        <v>16790</v>
      </c>
      <c r="C75" s="1" t="s">
        <v>17148</v>
      </c>
      <c r="D75" s="2" t="s">
        <v>17149</v>
      </c>
      <c r="E75" s="18">
        <v>210</v>
      </c>
      <c r="F75" s="18">
        <v>227</v>
      </c>
      <c r="G75" s="18"/>
      <c r="H75" s="18"/>
      <c r="I75" s="50"/>
      <c r="J75" s="2">
        <v>1</v>
      </c>
    </row>
    <row r="76" spans="1:10">
      <c r="A76" s="1" t="s">
        <v>12</v>
      </c>
      <c r="B76" s="1" t="s">
        <v>2</v>
      </c>
      <c r="C76" s="1" t="s">
        <v>17150</v>
      </c>
      <c r="D76" s="2" t="s">
        <v>17151</v>
      </c>
      <c r="E76" s="18">
        <v>80</v>
      </c>
      <c r="F76" s="18">
        <v>167</v>
      </c>
      <c r="G76" s="18">
        <v>496</v>
      </c>
      <c r="H76" s="18">
        <v>79</v>
      </c>
      <c r="I76" s="50">
        <v>79</v>
      </c>
      <c r="J76" s="2">
        <v>1</v>
      </c>
    </row>
    <row r="77" spans="1:10">
      <c r="A77" s="1" t="s">
        <v>12</v>
      </c>
      <c r="B77" s="1" t="s">
        <v>2</v>
      </c>
      <c r="C77" s="1" t="s">
        <v>17152</v>
      </c>
      <c r="D77" s="2" t="s">
        <v>17153</v>
      </c>
      <c r="E77" s="18">
        <v>1</v>
      </c>
      <c r="F77" s="18">
        <v>81</v>
      </c>
      <c r="G77" s="18">
        <v>40</v>
      </c>
      <c r="H77" s="18">
        <v>25</v>
      </c>
      <c r="I77" s="50">
        <v>25</v>
      </c>
      <c r="J77" s="2">
        <v>1</v>
      </c>
    </row>
    <row r="78" spans="1:10">
      <c r="A78" s="1" t="s">
        <v>12</v>
      </c>
      <c r="B78" s="1" t="s">
        <v>16790</v>
      </c>
      <c r="C78" s="1" t="s">
        <v>17154</v>
      </c>
      <c r="D78" s="2" t="s">
        <v>17155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12</v>
      </c>
      <c r="B79" s="1" t="s">
        <v>2</v>
      </c>
      <c r="C79" s="1" t="s">
        <v>17156</v>
      </c>
      <c r="D79" s="2" t="s">
        <v>17157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12</v>
      </c>
      <c r="B80" s="1" t="s">
        <v>16698</v>
      </c>
      <c r="C80" s="1" t="s">
        <v>17158</v>
      </c>
      <c r="D80" s="2" t="s">
        <v>17159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12</v>
      </c>
      <c r="B81" s="1" t="s">
        <v>16692</v>
      </c>
      <c r="C81" s="1" t="s">
        <v>17160</v>
      </c>
      <c r="D81" s="2" t="s">
        <v>17161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12</v>
      </c>
      <c r="B82" s="1" t="s">
        <v>16698</v>
      </c>
      <c r="C82" s="1" t="s">
        <v>17162</v>
      </c>
      <c r="D82" s="2" t="s">
        <v>17163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12</v>
      </c>
      <c r="B83" s="1" t="s">
        <v>16790</v>
      </c>
      <c r="C83" s="1" t="s">
        <v>17164</v>
      </c>
      <c r="D83" s="2" t="s">
        <v>17165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12</v>
      </c>
      <c r="B84" s="1" t="s">
        <v>2</v>
      </c>
      <c r="C84" s="1" t="s">
        <v>17166</v>
      </c>
      <c r="D84" s="2" t="s">
        <v>17167</v>
      </c>
      <c r="E84" s="18"/>
      <c r="F84" s="18"/>
      <c r="G84" s="18">
        <v>11</v>
      </c>
      <c r="H84" s="18"/>
      <c r="I84" s="50"/>
      <c r="J84" s="2">
        <v>1</v>
      </c>
    </row>
    <row r="85" spans="1:10">
      <c r="A85" s="1" t="s">
        <v>12</v>
      </c>
      <c r="B85" s="1" t="s">
        <v>16790</v>
      </c>
      <c r="C85" s="1" t="s">
        <v>17168</v>
      </c>
      <c r="D85" s="2" t="s">
        <v>17169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12</v>
      </c>
      <c r="B86" s="1" t="s">
        <v>16692</v>
      </c>
      <c r="C86" s="1" t="s">
        <v>17170</v>
      </c>
      <c r="D86" s="2" t="s">
        <v>17171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12</v>
      </c>
      <c r="B87" s="1" t="s">
        <v>2</v>
      </c>
      <c r="C87" s="1" t="s">
        <v>17172</v>
      </c>
      <c r="D87" s="2" t="s">
        <v>17173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12</v>
      </c>
      <c r="B88" s="1" t="s">
        <v>16692</v>
      </c>
      <c r="C88" s="1" t="s">
        <v>17174</v>
      </c>
      <c r="D88" s="2" t="s">
        <v>17175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12</v>
      </c>
      <c r="B89" s="1" t="s">
        <v>16698</v>
      </c>
      <c r="C89" s="1" t="s">
        <v>17176</v>
      </c>
      <c r="D89" s="2" t="s">
        <v>17177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12</v>
      </c>
      <c r="B90" s="1" t="s">
        <v>16777</v>
      </c>
      <c r="C90" s="1" t="s">
        <v>17178</v>
      </c>
      <c r="D90" s="2" t="s">
        <v>17179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12</v>
      </c>
      <c r="B91" s="1" t="s">
        <v>16870</v>
      </c>
      <c r="C91" s="1" t="s">
        <v>17180</v>
      </c>
      <c r="D91" s="2" t="s">
        <v>17181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12</v>
      </c>
      <c r="B92" s="1" t="s">
        <v>16692</v>
      </c>
      <c r="C92" s="1" t="s">
        <v>17182</v>
      </c>
      <c r="D92" s="2" t="s">
        <v>17183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12</v>
      </c>
      <c r="B93" s="1" t="s">
        <v>2</v>
      </c>
      <c r="C93" s="1" t="s">
        <v>17184</v>
      </c>
      <c r="D93" s="2" t="s">
        <v>17185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12</v>
      </c>
      <c r="B94" s="1" t="s">
        <v>2</v>
      </c>
      <c r="C94" s="1" t="s">
        <v>17186</v>
      </c>
      <c r="D94" s="2" t="s">
        <v>17187</v>
      </c>
      <c r="E94" s="31"/>
      <c r="F94" s="31"/>
      <c r="G94" s="31">
        <v>6</v>
      </c>
      <c r="H94" s="31">
        <v>11</v>
      </c>
      <c r="I94" s="42">
        <v>11</v>
      </c>
      <c r="J94" s="2">
        <v>1</v>
      </c>
    </row>
    <row r="95" spans="1:10">
      <c r="A95" s="1" t="s">
        <v>12</v>
      </c>
      <c r="B95" s="1" t="s">
        <v>2</v>
      </c>
      <c r="C95" s="1" t="s">
        <v>17188</v>
      </c>
      <c r="D95" s="2" t="s">
        <v>17189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12</v>
      </c>
      <c r="B96" s="1" t="s">
        <v>16793</v>
      </c>
      <c r="C96" s="1" t="s">
        <v>17190</v>
      </c>
      <c r="D96" s="2" t="s">
        <v>17191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12</v>
      </c>
      <c r="B97" s="1" t="s">
        <v>16692</v>
      </c>
      <c r="C97" s="1" t="s">
        <v>17192</v>
      </c>
      <c r="D97" s="2" t="s">
        <v>17193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12</v>
      </c>
      <c r="B98" s="1" t="s">
        <v>2</v>
      </c>
      <c r="C98" s="1" t="s">
        <v>17194</v>
      </c>
      <c r="D98" s="2" t="s">
        <v>17195</v>
      </c>
      <c r="E98" s="31"/>
      <c r="F98" s="31"/>
      <c r="G98" s="31">
        <v>6</v>
      </c>
      <c r="H98" s="31"/>
      <c r="I98" s="42"/>
      <c r="J98" s="2">
        <v>1</v>
      </c>
    </row>
    <row r="99" spans="1:10">
      <c r="A99" s="1" t="s">
        <v>12</v>
      </c>
      <c r="B99" s="1" t="s">
        <v>2</v>
      </c>
      <c r="C99" s="1" t="s">
        <v>17196</v>
      </c>
      <c r="D99" s="2" t="s">
        <v>17197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12</v>
      </c>
      <c r="B100" s="1" t="s">
        <v>16777</v>
      </c>
      <c r="C100" s="1" t="s">
        <v>17198</v>
      </c>
      <c r="D100" s="2" t="s">
        <v>17199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12</v>
      </c>
      <c r="B101" s="1" t="s">
        <v>16698</v>
      </c>
      <c r="C101" s="1" t="s">
        <v>17200</v>
      </c>
      <c r="D101" s="2" t="s">
        <v>17201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12</v>
      </c>
      <c r="B102" s="1" t="s">
        <v>16777</v>
      </c>
      <c r="C102" s="1" t="s">
        <v>17202</v>
      </c>
      <c r="D102" s="2" t="s">
        <v>17203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12</v>
      </c>
      <c r="B103" s="1" t="s">
        <v>16790</v>
      </c>
      <c r="C103" s="1" t="s">
        <v>17204</v>
      </c>
      <c r="D103" s="2" t="s">
        <v>17205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12</v>
      </c>
      <c r="B104" s="1" t="s">
        <v>16793</v>
      </c>
      <c r="C104" s="1" t="s">
        <v>17206</v>
      </c>
      <c r="D104" s="2" t="s">
        <v>17207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12</v>
      </c>
      <c r="B105" s="1" t="s">
        <v>16698</v>
      </c>
      <c r="C105" s="1" t="s">
        <v>17208</v>
      </c>
      <c r="D105" s="2" t="s">
        <v>17209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12</v>
      </c>
      <c r="B106" s="1" t="s">
        <v>16692</v>
      </c>
      <c r="C106" s="1" t="s">
        <v>17210</v>
      </c>
      <c r="D106" s="2" t="s">
        <v>17211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12</v>
      </c>
      <c r="B107" s="1" t="s">
        <v>16692</v>
      </c>
      <c r="C107" s="1" t="s">
        <v>17212</v>
      </c>
      <c r="D107" s="2" t="s">
        <v>17213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12</v>
      </c>
      <c r="B108" s="1" t="s">
        <v>16698</v>
      </c>
      <c r="C108" s="1" t="s">
        <v>17214</v>
      </c>
      <c r="D108" s="2" t="s">
        <v>17215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12</v>
      </c>
      <c r="B109" s="1" t="s">
        <v>16692</v>
      </c>
      <c r="C109" s="1" t="s">
        <v>17216</v>
      </c>
      <c r="D109" s="2" t="s">
        <v>17217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12</v>
      </c>
      <c r="B110" s="1" t="s">
        <v>16692</v>
      </c>
      <c r="C110" s="1" t="s">
        <v>17218</v>
      </c>
      <c r="D110" s="2" t="s">
        <v>17219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12</v>
      </c>
      <c r="B111" s="1" t="s">
        <v>2</v>
      </c>
      <c r="C111" s="1" t="s">
        <v>17220</v>
      </c>
      <c r="D111" s="2" t="s">
        <v>17221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12</v>
      </c>
      <c r="B112" s="1" t="s">
        <v>2</v>
      </c>
      <c r="C112" s="1" t="s">
        <v>17222</v>
      </c>
      <c r="D112" s="2" t="s">
        <v>17223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12</v>
      </c>
      <c r="B113" s="1" t="s">
        <v>2</v>
      </c>
      <c r="C113" s="1" t="s">
        <v>17224</v>
      </c>
      <c r="D113" s="2" t="s">
        <v>17225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12</v>
      </c>
      <c r="B114" s="1" t="s">
        <v>16698</v>
      </c>
      <c r="C114" s="1" t="s">
        <v>17226</v>
      </c>
      <c r="D114" s="2" t="s">
        <v>17227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12</v>
      </c>
      <c r="B115" s="1" t="s">
        <v>16692</v>
      </c>
      <c r="C115" s="1" t="s">
        <v>17228</v>
      </c>
      <c r="D115" s="2" t="s">
        <v>17229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12</v>
      </c>
      <c r="B116" s="1" t="s">
        <v>2</v>
      </c>
      <c r="C116" s="1" t="s">
        <v>17230</v>
      </c>
      <c r="D116" s="2" t="s">
        <v>17231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12</v>
      </c>
      <c r="B117" s="1" t="s">
        <v>2</v>
      </c>
      <c r="C117" s="1" t="s">
        <v>17232</v>
      </c>
      <c r="D117" s="2" t="s">
        <v>17233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12</v>
      </c>
      <c r="B118" s="1" t="s">
        <v>2</v>
      </c>
      <c r="C118" s="1" t="s">
        <v>17234</v>
      </c>
      <c r="D118" s="2" t="s">
        <v>17235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12</v>
      </c>
      <c r="B119" s="1" t="s">
        <v>2</v>
      </c>
      <c r="C119" s="1" t="s">
        <v>17236</v>
      </c>
      <c r="D119" s="2" t="s">
        <v>17237</v>
      </c>
      <c r="E119" s="18">
        <v>59</v>
      </c>
      <c r="F119" s="18">
        <v>86</v>
      </c>
      <c r="G119" s="18">
        <v>141</v>
      </c>
      <c r="H119" s="18">
        <v>167</v>
      </c>
      <c r="I119" s="50">
        <v>167</v>
      </c>
      <c r="J119" s="2">
        <v>0</v>
      </c>
    </row>
    <row r="123" spans="1:10">
      <c r="A123" s="1">
        <v>53</v>
      </c>
      <c r="B123" s="1"/>
      <c r="C123" s="1" t="s">
        <v>17240</v>
      </c>
      <c r="D123" s="1" t="s">
        <v>17241</v>
      </c>
      <c r="E123" s="1" t="s">
        <v>17349</v>
      </c>
      <c r="F123" s="1" t="s">
        <v>16798</v>
      </c>
      <c r="G123" s="1" t="s">
        <v>17093</v>
      </c>
      <c r="H123" s="1" t="s">
        <v>16986</v>
      </c>
      <c r="I123" s="10" t="s">
        <v>17350</v>
      </c>
      <c r="J123" s="1" t="s">
        <v>17239</v>
      </c>
    </row>
    <row r="124" spans="1:10">
      <c r="A124" s="1" t="s">
        <v>12</v>
      </c>
      <c r="B124" s="1" t="s">
        <v>16698</v>
      </c>
      <c r="C124" s="1" t="s">
        <v>17242</v>
      </c>
      <c r="D124" s="2" t="s">
        <v>17243</v>
      </c>
      <c r="E124" s="32">
        <f>SUM(E126:E176)</f>
        <v>232</v>
      </c>
      <c r="F124" s="32">
        <f>SUM(F126:F176)</f>
        <v>290</v>
      </c>
      <c r="G124" s="32">
        <f t="shared" ref="G124:I124" si="59">SUM(G126:G176)</f>
        <v>697</v>
      </c>
      <c r="H124" s="32">
        <f t="shared" si="59"/>
        <v>2068</v>
      </c>
      <c r="I124" s="39">
        <f t="shared" si="59"/>
        <v>2068</v>
      </c>
      <c r="J124" s="2">
        <v>0</v>
      </c>
    </row>
    <row r="125" spans="1:10">
      <c r="A125" s="1" t="s">
        <v>16697</v>
      </c>
      <c r="B125" s="1" t="s">
        <v>16793</v>
      </c>
      <c r="C125" s="1" t="s">
        <v>17244</v>
      </c>
      <c r="D125" s="2" t="s">
        <v>17245</v>
      </c>
      <c r="E125" s="40">
        <f>SUMIF($J$126:$J$176,0,E126:E176)</f>
        <v>100</v>
      </c>
      <c r="F125" s="40">
        <f>SUMIF($J$126:$J$176,0,F126:F176)</f>
        <v>163</v>
      </c>
      <c r="G125" s="40">
        <f t="shared" ref="G125:I125" si="60">SUMIF($J$126:$J$176,0,G126:G176)</f>
        <v>274</v>
      </c>
      <c r="H125" s="40">
        <f t="shared" si="60"/>
        <v>794</v>
      </c>
      <c r="I125" s="41">
        <f t="shared" si="60"/>
        <v>794</v>
      </c>
      <c r="J125" s="2">
        <v>0</v>
      </c>
    </row>
    <row r="126" spans="1:10">
      <c r="A126" s="1" t="s">
        <v>12</v>
      </c>
      <c r="B126" s="1" t="s">
        <v>2</v>
      </c>
      <c r="C126" s="1" t="s">
        <v>17246</v>
      </c>
      <c r="D126" s="2" t="s">
        <v>17247</v>
      </c>
      <c r="E126" s="31">
        <v>40</v>
      </c>
      <c r="F126" s="31">
        <v>102</v>
      </c>
      <c r="G126" s="31">
        <v>262</v>
      </c>
      <c r="H126" s="31">
        <v>492</v>
      </c>
      <c r="I126" s="42">
        <v>492</v>
      </c>
      <c r="J126" s="2">
        <v>0</v>
      </c>
    </row>
    <row r="127" spans="1:10">
      <c r="A127" s="1" t="s">
        <v>12</v>
      </c>
      <c r="B127" s="1" t="s">
        <v>16777</v>
      </c>
      <c r="C127" s="1" t="s">
        <v>17248</v>
      </c>
      <c r="D127" s="2" t="s">
        <v>17249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12</v>
      </c>
      <c r="B128" s="1" t="s">
        <v>16777</v>
      </c>
      <c r="C128" s="1" t="s">
        <v>17250</v>
      </c>
      <c r="D128" s="2" t="s">
        <v>17251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12</v>
      </c>
      <c r="B129" s="1" t="s">
        <v>2</v>
      </c>
      <c r="C129" s="1" t="s">
        <v>17252</v>
      </c>
      <c r="D129" s="2" t="s">
        <v>17253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12</v>
      </c>
      <c r="B130" s="1" t="s">
        <v>2</v>
      </c>
      <c r="C130" s="1" t="s">
        <v>17254</v>
      </c>
      <c r="D130" s="2" t="s">
        <v>17255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12</v>
      </c>
      <c r="B131" s="1" t="s">
        <v>16790</v>
      </c>
      <c r="C131" s="1" t="s">
        <v>17256</v>
      </c>
      <c r="D131" s="2" t="s">
        <v>17257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12</v>
      </c>
      <c r="B132" s="1" t="s">
        <v>2</v>
      </c>
      <c r="C132" s="1" t="s">
        <v>17258</v>
      </c>
      <c r="D132" s="2" t="s">
        <v>17259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12</v>
      </c>
      <c r="B133" s="1" t="s">
        <v>2</v>
      </c>
      <c r="C133" s="1" t="s">
        <v>17260</v>
      </c>
      <c r="D133" s="2" t="s">
        <v>17261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12</v>
      </c>
      <c r="B134" s="1" t="s">
        <v>16870</v>
      </c>
      <c r="C134" s="1" t="s">
        <v>17262</v>
      </c>
      <c r="D134" s="2" t="s">
        <v>17263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12</v>
      </c>
      <c r="B135" s="1" t="s">
        <v>2</v>
      </c>
      <c r="C135" s="1" t="s">
        <v>17264</v>
      </c>
      <c r="D135" s="2" t="s">
        <v>17265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12</v>
      </c>
      <c r="B136" s="1" t="s">
        <v>2</v>
      </c>
      <c r="C136" s="1" t="s">
        <v>17266</v>
      </c>
      <c r="D136" s="2" t="s">
        <v>17267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12</v>
      </c>
      <c r="B137" s="1" t="s">
        <v>2</v>
      </c>
      <c r="C137" s="1" t="s">
        <v>17268</v>
      </c>
      <c r="D137" s="2" t="s">
        <v>17269</v>
      </c>
      <c r="E137" s="55">
        <v>60</v>
      </c>
      <c r="F137" s="55">
        <v>27</v>
      </c>
      <c r="G137" s="55">
        <v>1</v>
      </c>
      <c r="H137" s="55">
        <v>3</v>
      </c>
      <c r="I137" s="50">
        <v>3</v>
      </c>
      <c r="J137" s="2">
        <v>0</v>
      </c>
    </row>
    <row r="138" spans="1:10">
      <c r="A138" s="1" t="s">
        <v>12</v>
      </c>
      <c r="B138" s="1" t="s">
        <v>2</v>
      </c>
      <c r="C138" s="1" t="s">
        <v>17270</v>
      </c>
      <c r="D138" s="2" t="s">
        <v>17271</v>
      </c>
      <c r="E138" s="55">
        <v>132</v>
      </c>
      <c r="F138" s="55">
        <v>104</v>
      </c>
      <c r="G138" s="55">
        <v>74</v>
      </c>
      <c r="H138" s="55">
        <v>116</v>
      </c>
      <c r="I138" s="50">
        <v>116</v>
      </c>
      <c r="J138" s="2">
        <v>1</v>
      </c>
    </row>
    <row r="139" spans="1:10">
      <c r="A139" s="1" t="s">
        <v>12</v>
      </c>
      <c r="B139" s="1" t="s">
        <v>16692</v>
      </c>
      <c r="C139" s="1" t="s">
        <v>17272</v>
      </c>
      <c r="D139" s="2" t="s">
        <v>17273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12</v>
      </c>
      <c r="B140" s="1" t="s">
        <v>2</v>
      </c>
      <c r="C140" s="1" t="s">
        <v>17274</v>
      </c>
      <c r="D140" s="2" t="s">
        <v>17275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12</v>
      </c>
      <c r="B141" s="1" t="s">
        <v>16343</v>
      </c>
      <c r="C141" s="1" t="s">
        <v>17276</v>
      </c>
      <c r="D141" s="2" t="s">
        <v>17277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12</v>
      </c>
      <c r="B142" s="1" t="s">
        <v>16777</v>
      </c>
      <c r="C142" s="1" t="s">
        <v>17278</v>
      </c>
      <c r="D142" s="2" t="s">
        <v>17279</v>
      </c>
      <c r="E142" s="55"/>
      <c r="F142" s="55"/>
      <c r="G142" s="55"/>
      <c r="H142" s="55"/>
      <c r="I142" s="50"/>
      <c r="J142" s="2">
        <v>1</v>
      </c>
    </row>
    <row r="143" spans="1:10">
      <c r="A143" s="1" t="s">
        <v>12</v>
      </c>
      <c r="B143" s="1" t="s">
        <v>2</v>
      </c>
      <c r="C143" s="1" t="s">
        <v>17280</v>
      </c>
      <c r="D143" s="2" t="s">
        <v>17281</v>
      </c>
      <c r="E143" s="55"/>
      <c r="F143" s="55">
        <v>14</v>
      </c>
      <c r="G143" s="55">
        <v>105</v>
      </c>
      <c r="H143" s="55">
        <v>5</v>
      </c>
      <c r="I143" s="50">
        <v>5</v>
      </c>
      <c r="J143" s="2">
        <v>1</v>
      </c>
    </row>
    <row r="144" spans="1:10">
      <c r="A144" s="1" t="s">
        <v>12</v>
      </c>
      <c r="B144" s="1" t="s">
        <v>2</v>
      </c>
      <c r="C144" s="1" t="s">
        <v>17282</v>
      </c>
      <c r="D144" s="2" t="s">
        <v>17283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12</v>
      </c>
      <c r="B145" s="1" t="s">
        <v>16777</v>
      </c>
      <c r="C145" s="1" t="s">
        <v>17284</v>
      </c>
      <c r="D145" s="2" t="s">
        <v>17285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12</v>
      </c>
      <c r="B146" s="1" t="s">
        <v>16698</v>
      </c>
      <c r="C146" s="1" t="s">
        <v>17286</v>
      </c>
      <c r="D146" s="2" t="s">
        <v>17287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12</v>
      </c>
      <c r="B147" s="1" t="s">
        <v>16692</v>
      </c>
      <c r="C147" s="1" t="s">
        <v>17288</v>
      </c>
      <c r="D147" s="2" t="s">
        <v>17289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12</v>
      </c>
      <c r="B148" s="1" t="s">
        <v>2</v>
      </c>
      <c r="C148" s="1" t="s">
        <v>17290</v>
      </c>
      <c r="D148" s="2" t="s">
        <v>17291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12</v>
      </c>
      <c r="B149" s="1" t="s">
        <v>16793</v>
      </c>
      <c r="C149" s="1" t="s">
        <v>17292</v>
      </c>
      <c r="D149" s="2" t="s">
        <v>17293</v>
      </c>
      <c r="E149" s="55"/>
      <c r="F149" s="55">
        <v>8</v>
      </c>
      <c r="G149" s="55">
        <v>10</v>
      </c>
      <c r="H149" s="55"/>
      <c r="I149" s="50"/>
      <c r="J149" s="2">
        <v>1</v>
      </c>
    </row>
    <row r="150" spans="1:10">
      <c r="A150" s="1" t="s">
        <v>12</v>
      </c>
      <c r="B150" s="1" t="s">
        <v>2</v>
      </c>
      <c r="C150" s="1" t="s">
        <v>17294</v>
      </c>
      <c r="D150" s="2" t="s">
        <v>17295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12</v>
      </c>
      <c r="B151" s="1" t="s">
        <v>16692</v>
      </c>
      <c r="C151" s="1" t="s">
        <v>17296</v>
      </c>
      <c r="D151" s="2" t="s">
        <v>17297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12</v>
      </c>
      <c r="B152" s="1" t="s">
        <v>16692</v>
      </c>
      <c r="C152" s="1" t="s">
        <v>17298</v>
      </c>
      <c r="D152" s="2" t="s">
        <v>17299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12</v>
      </c>
      <c r="B153" s="1" t="s">
        <v>16692</v>
      </c>
      <c r="C153" s="1" t="s">
        <v>17300</v>
      </c>
      <c r="D153" s="2" t="s">
        <v>17301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12</v>
      </c>
      <c r="B154" s="1" t="s">
        <v>16790</v>
      </c>
      <c r="C154" s="1" t="s">
        <v>17302</v>
      </c>
      <c r="D154" s="2" t="s">
        <v>17303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12</v>
      </c>
      <c r="B155" s="1" t="s">
        <v>2</v>
      </c>
      <c r="C155" s="1" t="s">
        <v>17304</v>
      </c>
      <c r="D155" s="2" t="s">
        <v>17305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12</v>
      </c>
      <c r="B156" s="1" t="s">
        <v>2</v>
      </c>
      <c r="C156" s="1" t="s">
        <v>17306</v>
      </c>
      <c r="D156" s="2" t="s">
        <v>17307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12</v>
      </c>
      <c r="B157" s="1" t="s">
        <v>16692</v>
      </c>
      <c r="C157" s="1" t="s">
        <v>17308</v>
      </c>
      <c r="D157" s="2" t="s">
        <v>17309</v>
      </c>
      <c r="E157" s="55"/>
      <c r="F157" s="55"/>
      <c r="G157" s="55">
        <v>167</v>
      </c>
      <c r="H157" s="55"/>
      <c r="I157" s="50"/>
      <c r="J157" s="2">
        <v>1</v>
      </c>
    </row>
    <row r="158" spans="1:10">
      <c r="A158" s="1" t="s">
        <v>12</v>
      </c>
      <c r="B158" s="1" t="s">
        <v>2</v>
      </c>
      <c r="C158" s="1" t="s">
        <v>17310</v>
      </c>
      <c r="D158" s="2" t="s">
        <v>17311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12</v>
      </c>
      <c r="B159" s="1" t="s">
        <v>16790</v>
      </c>
      <c r="C159" s="1" t="s">
        <v>17312</v>
      </c>
      <c r="D159" s="2" t="s">
        <v>17313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12</v>
      </c>
      <c r="B160" s="1" t="s">
        <v>16698</v>
      </c>
      <c r="C160" s="1" t="s">
        <v>17314</v>
      </c>
      <c r="D160" s="2" t="s">
        <v>17315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12</v>
      </c>
      <c r="B161" s="1" t="s">
        <v>16793</v>
      </c>
      <c r="C161" s="1" t="s">
        <v>17316</v>
      </c>
      <c r="D161" s="2" t="s">
        <v>17317</v>
      </c>
      <c r="E161" s="55"/>
      <c r="F161" s="55"/>
      <c r="G161" s="55">
        <v>22</v>
      </c>
      <c r="H161" s="55">
        <v>424</v>
      </c>
      <c r="I161" s="50">
        <v>424</v>
      </c>
      <c r="J161" s="2">
        <v>1</v>
      </c>
    </row>
    <row r="162" spans="1:10">
      <c r="A162" s="1" t="s">
        <v>12</v>
      </c>
      <c r="B162" s="1" t="s">
        <v>17318</v>
      </c>
      <c r="C162" s="1" t="s">
        <v>17319</v>
      </c>
      <c r="D162" s="2" t="s">
        <v>17320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12</v>
      </c>
      <c r="B163" s="1" t="s">
        <v>16698</v>
      </c>
      <c r="C163" s="1" t="s">
        <v>17321</v>
      </c>
      <c r="D163" s="2" t="s">
        <v>17322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12</v>
      </c>
      <c r="B164" s="1" t="s">
        <v>17318</v>
      </c>
      <c r="C164" s="1" t="s">
        <v>17323</v>
      </c>
      <c r="D164" s="2" t="s">
        <v>17324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12</v>
      </c>
      <c r="B165" s="1" t="s">
        <v>2</v>
      </c>
      <c r="C165" s="1" t="s">
        <v>17325</v>
      </c>
      <c r="D165" s="2" t="s">
        <v>17326</v>
      </c>
      <c r="E165" s="55">
        <v>0</v>
      </c>
      <c r="F165" s="55"/>
      <c r="G165" s="55"/>
      <c r="H165" s="55">
        <v>729</v>
      </c>
      <c r="I165" s="50">
        <v>729</v>
      </c>
      <c r="J165" s="2">
        <v>1</v>
      </c>
    </row>
    <row r="166" spans="1:10">
      <c r="A166" s="1" t="s">
        <v>12</v>
      </c>
      <c r="B166" s="1" t="s">
        <v>16692</v>
      </c>
      <c r="C166" s="1" t="s">
        <v>17327</v>
      </c>
      <c r="D166" s="2" t="s">
        <v>17328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12</v>
      </c>
      <c r="B167" s="1" t="s">
        <v>2</v>
      </c>
      <c r="C167" s="1" t="s">
        <v>17329</v>
      </c>
      <c r="D167" s="2" t="s">
        <v>17330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12</v>
      </c>
      <c r="B168" s="1" t="s">
        <v>2</v>
      </c>
      <c r="C168" s="1" t="s">
        <v>17331</v>
      </c>
      <c r="D168" s="2" t="s">
        <v>17332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12</v>
      </c>
      <c r="B169" s="1" t="s">
        <v>16692</v>
      </c>
      <c r="C169" s="1" t="s">
        <v>17333</v>
      </c>
      <c r="D169" s="2" t="s">
        <v>17334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12</v>
      </c>
      <c r="B170" s="1" t="s">
        <v>16698</v>
      </c>
      <c r="C170" s="1" t="s">
        <v>17335</v>
      </c>
      <c r="D170" s="2" t="s">
        <v>17336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12</v>
      </c>
      <c r="B171" s="1" t="s">
        <v>16692</v>
      </c>
      <c r="C171" s="1" t="s">
        <v>17337</v>
      </c>
      <c r="D171" s="2" t="s">
        <v>17338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12</v>
      </c>
      <c r="B172" s="1" t="s">
        <v>16692</v>
      </c>
      <c r="C172" s="1" t="s">
        <v>17339</v>
      </c>
      <c r="D172" s="2" t="s">
        <v>17340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12</v>
      </c>
      <c r="B173" s="1" t="s">
        <v>2</v>
      </c>
      <c r="C173" s="1" t="s">
        <v>17341</v>
      </c>
      <c r="D173" s="2" t="s">
        <v>17342</v>
      </c>
      <c r="E173" s="55"/>
      <c r="F173" s="55">
        <v>1</v>
      </c>
      <c r="G173" s="55">
        <v>45</v>
      </c>
      <c r="H173" s="55"/>
      <c r="I173" s="50"/>
      <c r="J173" s="2">
        <v>1</v>
      </c>
    </row>
    <row r="174" spans="1:10">
      <c r="A174" s="1" t="s">
        <v>12</v>
      </c>
      <c r="B174" s="1" t="s">
        <v>16698</v>
      </c>
      <c r="C174" s="1" t="s">
        <v>17343</v>
      </c>
      <c r="D174" s="2" t="s">
        <v>17344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12</v>
      </c>
      <c r="B175" s="1" t="s">
        <v>16777</v>
      </c>
      <c r="C175" s="1" t="s">
        <v>17345</v>
      </c>
      <c r="D175" s="2" t="s">
        <v>17346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12</v>
      </c>
      <c r="B176" s="1" t="s">
        <v>16777</v>
      </c>
      <c r="C176" s="1" t="s">
        <v>17347</v>
      </c>
      <c r="D176" s="2" t="s">
        <v>17348</v>
      </c>
      <c r="E176" s="55">
        <v>0</v>
      </c>
      <c r="F176" s="55">
        <v>34</v>
      </c>
      <c r="G176" s="55">
        <v>11</v>
      </c>
      <c r="H176" s="55">
        <v>299</v>
      </c>
      <c r="I176" s="50">
        <v>299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E32" sqref="E32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17351</v>
      </c>
      <c r="D1" s="1" t="s">
        <v>17352</v>
      </c>
      <c r="E1" s="1" t="s">
        <v>16797</v>
      </c>
      <c r="F1" s="1" t="s">
        <v>16982</v>
      </c>
      <c r="G1" s="1" t="s">
        <v>16983</v>
      </c>
      <c r="H1" s="1" t="s">
        <v>16752</v>
      </c>
      <c r="I1" s="1" t="s">
        <v>16804</v>
      </c>
      <c r="J1" s="1" t="s">
        <v>16805</v>
      </c>
      <c r="K1" s="1" t="s">
        <v>16806</v>
      </c>
      <c r="L1" s="1" t="s">
        <v>16807</v>
      </c>
      <c r="M1" s="1" t="s">
        <v>16808</v>
      </c>
      <c r="N1" s="1" t="s">
        <v>16809</v>
      </c>
      <c r="O1" s="1" t="s">
        <v>16810</v>
      </c>
    </row>
    <row r="2" spans="1:15">
      <c r="A2" s="1" t="s">
        <v>12</v>
      </c>
      <c r="B2" s="1" t="s">
        <v>2</v>
      </c>
      <c r="C2" s="1" t="s">
        <v>17353</v>
      </c>
      <c r="D2" s="2" t="s">
        <v>17354</v>
      </c>
      <c r="E2" s="24">
        <f>IS추정!E14</f>
        <v>15182</v>
      </c>
      <c r="F2" s="24">
        <f>IS추정!F14</f>
        <v>18162</v>
      </c>
      <c r="G2" s="24">
        <f>IS추정!G14</f>
        <v>12194</v>
      </c>
      <c r="H2" s="24">
        <f>IS추정!H14</f>
        <v>5015</v>
      </c>
      <c r="I2" s="24">
        <f>IS추정!I14</f>
        <v>5015</v>
      </c>
      <c r="J2" s="24">
        <f>IS추정!J14</f>
        <v>5679</v>
      </c>
      <c r="K2" s="24">
        <f>IS추정!K14</f>
        <v>28399</v>
      </c>
      <c r="L2" s="24">
        <f>IS추정!L14</f>
        <v>41423</v>
      </c>
      <c r="M2" s="24">
        <f>IS추정!M14</f>
        <v>90816</v>
      </c>
      <c r="N2" s="24">
        <f>IS추정!N14</f>
        <v>93540</v>
      </c>
      <c r="O2" s="24">
        <f>IS추정!O14</f>
        <v>95410</v>
      </c>
    </row>
    <row r="3" spans="1:15">
      <c r="A3" s="1" t="s">
        <v>12</v>
      </c>
      <c r="B3" s="1" t="s">
        <v>2</v>
      </c>
      <c r="C3" s="1" t="s">
        <v>17355</v>
      </c>
      <c r="D3" s="2" t="s">
        <v>17356</v>
      </c>
      <c r="E3" s="24">
        <f>IS추정!E15</f>
        <v>11780</v>
      </c>
      <c r="F3" s="24">
        <f>IS추정!F15</f>
        <v>14341</v>
      </c>
      <c r="G3" s="24">
        <f>IS추정!G15</f>
        <v>11518</v>
      </c>
      <c r="H3" s="24">
        <f>IS추정!H15</f>
        <v>7282</v>
      </c>
      <c r="I3" s="24">
        <f>IS추정!I15</f>
        <v>7282</v>
      </c>
      <c r="J3" s="24">
        <f>IS추정!J15</f>
        <v>5312</v>
      </c>
      <c r="K3" s="24">
        <f>IS추정!K15</f>
        <v>26564</v>
      </c>
      <c r="L3" s="24">
        <f>IS추정!L15</f>
        <v>32769</v>
      </c>
      <c r="M3" s="24">
        <f>IS추정!M15</f>
        <v>71206</v>
      </c>
      <c r="N3" s="24">
        <f>IS추정!N15</f>
        <v>68572</v>
      </c>
      <c r="O3" s="24">
        <f>IS추정!O15</f>
        <v>69719</v>
      </c>
    </row>
    <row r="4" spans="1:15">
      <c r="A4" s="1" t="s">
        <v>4</v>
      </c>
      <c r="B4" s="1" t="s">
        <v>3</v>
      </c>
      <c r="C4" s="1" t="s">
        <v>17357</v>
      </c>
      <c r="D4" s="8" t="s">
        <v>17358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13.256700299102707</v>
      </c>
      <c r="K4" s="38">
        <f>IS추정!K3</f>
        <v>400.08596041730533</v>
      </c>
      <c r="L4" s="38">
        <f>IS추정!L3</f>
        <v>45.863258695958308</v>
      </c>
      <c r="M4" s="38">
        <f>IS추정!M3</f>
        <v>119.24163066303008</v>
      </c>
      <c r="N4" s="38">
        <f>IS추정!N3</f>
        <v>2.9999779818129735</v>
      </c>
      <c r="O4" s="38">
        <f>IS추정!O3</f>
        <v>1.9998076080334437</v>
      </c>
    </row>
    <row r="5" spans="1:15">
      <c r="A5" s="1" t="s">
        <v>12</v>
      </c>
      <c r="B5" s="1" t="s">
        <v>16708</v>
      </c>
      <c r="C5" s="1" t="s">
        <v>17359</v>
      </c>
      <c r="D5" s="2" t="s">
        <v>17360</v>
      </c>
      <c r="E5" s="27">
        <f t="shared" ref="E5:F7" si="0">E46</f>
        <v>6.2094069529652351</v>
      </c>
      <c r="F5" s="27">
        <f t="shared" si="0"/>
        <v>5.2430715935334877</v>
      </c>
      <c r="G5" s="27">
        <f t="shared" ref="G5:H5" si="1">G46</f>
        <v>4.6990366088631985</v>
      </c>
      <c r="H5" s="27">
        <f t="shared" si="1"/>
        <v>6.3885350318471339</v>
      </c>
      <c r="I5" s="27">
        <f t="shared" ref="I5:I11" si="2">H5</f>
        <v>6.3885350318471339</v>
      </c>
      <c r="J5" s="27">
        <f>$J$46</f>
        <v>5.6344583178002141</v>
      </c>
      <c r="K5" s="27">
        <f t="shared" ref="K5:O5" si="3">$J$46</f>
        <v>5.6344583178002141</v>
      </c>
      <c r="L5" s="27">
        <f t="shared" si="3"/>
        <v>5.6344583178002141</v>
      </c>
      <c r="M5" s="27">
        <f t="shared" si="3"/>
        <v>5.6344583178002141</v>
      </c>
      <c r="N5" s="27">
        <f t="shared" si="3"/>
        <v>5.6344583178002141</v>
      </c>
      <c r="O5" s="27">
        <f t="shared" si="3"/>
        <v>5.6344583178002141</v>
      </c>
    </row>
    <row r="6" spans="1:15">
      <c r="A6" s="1" t="s">
        <v>12</v>
      </c>
      <c r="B6" s="1" t="s">
        <v>16708</v>
      </c>
      <c r="C6" s="1" t="s">
        <v>17361</v>
      </c>
      <c r="D6" s="2" t="s">
        <v>17362</v>
      </c>
      <c r="E6" s="27">
        <f t="shared" si="0"/>
        <v>4.6598101265822782</v>
      </c>
      <c r="F6" s="27">
        <f t="shared" si="0"/>
        <v>4.1513967289043281</v>
      </c>
      <c r="G6" s="27">
        <f t="shared" ref="G6:H6" si="4">G47</f>
        <v>2.2522487289792728</v>
      </c>
      <c r="H6" s="27">
        <f t="shared" si="4"/>
        <v>1.3439143674448648</v>
      </c>
      <c r="I6" s="27">
        <f t="shared" si="2"/>
        <v>1.3439143674448648</v>
      </c>
      <c r="J6" s="27">
        <f>$J$47</f>
        <v>2.1146062148662446</v>
      </c>
      <c r="K6" s="27">
        <f t="shared" ref="K6:O6" si="5">$J$47</f>
        <v>2.1146062148662446</v>
      </c>
      <c r="L6" s="27">
        <f t="shared" si="5"/>
        <v>2.1146062148662446</v>
      </c>
      <c r="M6" s="27">
        <f t="shared" si="5"/>
        <v>2.1146062148662446</v>
      </c>
      <c r="N6" s="27">
        <f t="shared" si="5"/>
        <v>2.1146062148662446</v>
      </c>
      <c r="O6" s="27">
        <f t="shared" si="5"/>
        <v>2.1146062148662446</v>
      </c>
    </row>
    <row r="7" spans="1:15">
      <c r="A7" s="1" t="s">
        <v>12</v>
      </c>
      <c r="B7" s="1" t="s">
        <v>3</v>
      </c>
      <c r="C7" s="1" t="s">
        <v>17363</v>
      </c>
      <c r="D7" s="2" t="s">
        <v>17364</v>
      </c>
      <c r="E7" s="27">
        <f t="shared" si="0"/>
        <v>6.7701149425287355</v>
      </c>
      <c r="F7" s="27">
        <f t="shared" si="0"/>
        <v>4.889532901466076</v>
      </c>
      <c r="G7" s="27">
        <f t="shared" ref="G7:H7" si="6">G48</f>
        <v>4.7185579680458831</v>
      </c>
      <c r="H7" s="27">
        <f t="shared" si="6"/>
        <v>11.802269043760131</v>
      </c>
      <c r="I7" s="27">
        <f t="shared" si="2"/>
        <v>11.802269043760131</v>
      </c>
      <c r="J7" s="27">
        <f>$J$48</f>
        <v>8.2889093281397042</v>
      </c>
      <c r="K7" s="27">
        <f t="shared" ref="K7:O7" si="7">$J$48</f>
        <v>8.2889093281397042</v>
      </c>
      <c r="L7" s="27">
        <f t="shared" si="7"/>
        <v>8.2889093281397042</v>
      </c>
      <c r="M7" s="27">
        <f t="shared" si="7"/>
        <v>8.2889093281397042</v>
      </c>
      <c r="N7" s="27">
        <f t="shared" si="7"/>
        <v>8.2889093281397042</v>
      </c>
      <c r="O7" s="27">
        <f t="shared" si="7"/>
        <v>8.2889093281397042</v>
      </c>
    </row>
    <row r="8" spans="1:15">
      <c r="A8" s="1" t="s">
        <v>12</v>
      </c>
      <c r="B8" s="1" t="s">
        <v>16732</v>
      </c>
      <c r="C8" s="1" t="s">
        <v>17365</v>
      </c>
      <c r="D8" s="2" t="s">
        <v>17366</v>
      </c>
      <c r="E8" s="27">
        <f t="shared" ref="E8" si="8">E49</f>
        <v>83.265306122448976</v>
      </c>
      <c r="F8" s="27">
        <f t="shared" ref="F8:H8" si="9">F49</f>
        <v>29.836999734958919</v>
      </c>
      <c r="G8" s="27">
        <f t="shared" si="9"/>
        <v>6.9885239414325282</v>
      </c>
      <c r="H8" s="27">
        <f t="shared" si="9"/>
        <v>53.76676986584107</v>
      </c>
      <c r="I8" s="27">
        <f t="shared" ref="I8:I9" si="10">H8</f>
        <v>53.76676986584107</v>
      </c>
      <c r="J8" s="27">
        <f>$J$49</f>
        <v>34.185726202557866</v>
      </c>
      <c r="K8" s="27">
        <f t="shared" ref="K8:O8" si="11">$J$49</f>
        <v>34.185726202557866</v>
      </c>
      <c r="L8" s="27">
        <f t="shared" si="11"/>
        <v>34.185726202557866</v>
      </c>
      <c r="M8" s="27">
        <f t="shared" si="11"/>
        <v>34.185726202557866</v>
      </c>
      <c r="N8" s="27">
        <f t="shared" si="11"/>
        <v>34.185726202557866</v>
      </c>
      <c r="O8" s="27">
        <f t="shared" si="11"/>
        <v>34.185726202557866</v>
      </c>
    </row>
    <row r="9" spans="1:15">
      <c r="A9" s="1" t="s">
        <v>12</v>
      </c>
      <c r="B9" s="1" t="s">
        <v>16721</v>
      </c>
      <c r="C9" s="1" t="s">
        <v>17367</v>
      </c>
      <c r="D9" s="2" t="s">
        <v>17368</v>
      </c>
      <c r="E9" s="27">
        <f t="shared" ref="E9" si="12">E50</f>
        <v>54.941585096305658</v>
      </c>
      <c r="F9" s="27">
        <f t="shared" ref="F9:H9" si="13">F50</f>
        <v>20.775814467145224</v>
      </c>
      <c r="G9" s="27">
        <f t="shared" si="13"/>
        <v>4.252991452991453</v>
      </c>
      <c r="H9" s="27">
        <f t="shared" si="13"/>
        <v>3.2396019677996422</v>
      </c>
      <c r="I9" s="27">
        <f t="shared" si="10"/>
        <v>3.2396019677996422</v>
      </c>
      <c r="J9" s="27">
        <f>$J$50</f>
        <v>6.5001005460878432</v>
      </c>
      <c r="K9" s="27">
        <f t="shared" ref="K9:O9" si="14">$J$50</f>
        <v>6.5001005460878432</v>
      </c>
      <c r="L9" s="27">
        <f t="shared" si="14"/>
        <v>6.5001005460878432</v>
      </c>
      <c r="M9" s="27">
        <f t="shared" si="14"/>
        <v>6.5001005460878432</v>
      </c>
      <c r="N9" s="27">
        <f t="shared" si="14"/>
        <v>6.5001005460878432</v>
      </c>
      <c r="O9" s="27">
        <f t="shared" si="14"/>
        <v>6.5001005460878432</v>
      </c>
    </row>
    <row r="10" spans="1:15">
      <c r="A10" s="1" t="s">
        <v>12</v>
      </c>
      <c r="B10" s="1" t="s">
        <v>3</v>
      </c>
      <c r="C10" s="1" t="s">
        <v>17369</v>
      </c>
      <c r="D10" s="2" t="s">
        <v>17370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12</v>
      </c>
      <c r="B11" s="1" t="s">
        <v>16732</v>
      </c>
      <c r="C11" s="1" t="s">
        <v>17371</v>
      </c>
      <c r="D11" s="2" t="s">
        <v>17372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12</v>
      </c>
      <c r="B12" s="1"/>
      <c r="C12" s="1" t="s">
        <v>17373</v>
      </c>
      <c r="D12" s="1" t="s">
        <v>17374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12</v>
      </c>
      <c r="B13" s="1" t="s">
        <v>16692</v>
      </c>
      <c r="C13" s="1" t="s">
        <v>17375</v>
      </c>
      <c r="D13" s="3" t="s">
        <v>17376</v>
      </c>
      <c r="E13" s="31">
        <v>2445</v>
      </c>
      <c r="F13" s="31">
        <v>4483</v>
      </c>
      <c r="G13" s="31">
        <v>707</v>
      </c>
      <c r="H13" s="31">
        <v>863</v>
      </c>
      <c r="I13" s="491">
        <f>VALUE(IFERROR(I2/(J46),"0"))</f>
        <v>890.05894038771396</v>
      </c>
      <c r="J13" s="32">
        <f>IFERROR(INT(J2/J5),0)</f>
        <v>1007</v>
      </c>
      <c r="K13" s="105">
        <f t="shared" ref="K13:O13" si="20">IFERROR(INT(K2/K5),0)</f>
        <v>5040</v>
      </c>
      <c r="L13" s="105">
        <f t="shared" si="20"/>
        <v>7351</v>
      </c>
      <c r="M13" s="105">
        <f t="shared" si="20"/>
        <v>16117</v>
      </c>
      <c r="N13" s="105">
        <f t="shared" si="20"/>
        <v>16601</v>
      </c>
      <c r="O13" s="105">
        <f t="shared" si="20"/>
        <v>16933</v>
      </c>
    </row>
    <row r="14" spans="1:15">
      <c r="A14" s="1" t="s">
        <v>12</v>
      </c>
      <c r="B14" s="1" t="s">
        <v>16790</v>
      </c>
      <c r="C14" s="1" t="s">
        <v>17377</v>
      </c>
      <c r="D14" s="2" t="s">
        <v>17378</v>
      </c>
      <c r="E14" s="352">
        <v>3</v>
      </c>
      <c r="F14" s="352">
        <v>20</v>
      </c>
      <c r="G14" s="352">
        <v>176</v>
      </c>
      <c r="H14" s="352">
        <v>179</v>
      </c>
      <c r="I14" s="352">
        <v>179</v>
      </c>
      <c r="J14" s="352">
        <f>IFERROR(INT(I14*(1+J4/100)),0)</f>
        <v>202</v>
      </c>
      <c r="K14" s="352">
        <f t="shared" ref="K14:O14" si="21">IFERROR(INT(J14*(1+K4/100)),0)</f>
        <v>1010</v>
      </c>
      <c r="L14" s="352">
        <f t="shared" si="21"/>
        <v>1473</v>
      </c>
      <c r="M14" s="352">
        <f t="shared" si="21"/>
        <v>3229</v>
      </c>
      <c r="N14" s="352">
        <f t="shared" si="21"/>
        <v>3325</v>
      </c>
      <c r="O14" s="352">
        <f t="shared" si="21"/>
        <v>3391</v>
      </c>
    </row>
    <row r="15" spans="1:15">
      <c r="A15" s="1" t="s">
        <v>12</v>
      </c>
      <c r="B15" s="1" t="s">
        <v>16929</v>
      </c>
      <c r="C15" s="1" t="s">
        <v>17379</v>
      </c>
      <c r="D15" s="2" t="s">
        <v>17380</v>
      </c>
      <c r="E15" s="31">
        <v>2528</v>
      </c>
      <c r="F15" s="31">
        <v>4381</v>
      </c>
      <c r="G15" s="31">
        <v>5847</v>
      </c>
      <c r="H15" s="31">
        <v>4990</v>
      </c>
      <c r="I15" s="491">
        <f>VALUE(IFERROR(I3/(J47),"0"))</f>
        <v>3443.6671701830828</v>
      </c>
      <c r="J15" s="32">
        <f>IFERROR(INT(J3/J6),0)</f>
        <v>2512</v>
      </c>
      <c r="K15" s="105">
        <f t="shared" ref="K15:O15" si="22">IFERROR(INT(K3/K6),0)</f>
        <v>12562</v>
      </c>
      <c r="L15" s="105">
        <f t="shared" si="22"/>
        <v>15496</v>
      </c>
      <c r="M15" s="105">
        <f t="shared" si="22"/>
        <v>33673</v>
      </c>
      <c r="N15" s="105">
        <f t="shared" si="22"/>
        <v>32427</v>
      </c>
      <c r="O15" s="105">
        <f t="shared" si="22"/>
        <v>32970</v>
      </c>
    </row>
    <row r="16" spans="1:15">
      <c r="A16" s="1" t="s">
        <v>12</v>
      </c>
      <c r="B16" s="1" t="s">
        <v>11</v>
      </c>
      <c r="C16" s="1" t="s">
        <v>17381</v>
      </c>
      <c r="D16" s="3" t="s">
        <v>17382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4</v>
      </c>
      <c r="B17" s="1" t="s">
        <v>17383</v>
      </c>
      <c r="C17" s="1" t="s">
        <v>17384</v>
      </c>
      <c r="D17" s="8" t="s">
        <v>17385</v>
      </c>
      <c r="E17" s="30">
        <f>E13+E15</f>
        <v>4973</v>
      </c>
      <c r="F17" s="104">
        <f t="shared" ref="F17:O17" si="24">F13+F15</f>
        <v>8864</v>
      </c>
      <c r="G17" s="104">
        <f t="shared" si="24"/>
        <v>6554</v>
      </c>
      <c r="H17" s="104">
        <f t="shared" si="24"/>
        <v>5853</v>
      </c>
      <c r="I17" s="104">
        <f t="shared" si="24"/>
        <v>4333.7261105707967</v>
      </c>
      <c r="J17" s="104">
        <f t="shared" si="24"/>
        <v>3519</v>
      </c>
      <c r="K17" s="104">
        <f t="shared" si="24"/>
        <v>17602</v>
      </c>
      <c r="L17" s="104">
        <f t="shared" si="24"/>
        <v>22847</v>
      </c>
      <c r="M17" s="104">
        <f t="shared" si="24"/>
        <v>49790</v>
      </c>
      <c r="N17" s="104">
        <f t="shared" si="24"/>
        <v>49028</v>
      </c>
      <c r="O17" s="104">
        <f t="shared" si="24"/>
        <v>49903</v>
      </c>
    </row>
    <row r="18" spans="1:15">
      <c r="A18" s="1" t="s">
        <v>12</v>
      </c>
      <c r="B18" s="1" t="s">
        <v>16923</v>
      </c>
      <c r="C18" s="1" t="s">
        <v>17386</v>
      </c>
      <c r="D18" s="3" t="s">
        <v>17387</v>
      </c>
      <c r="E18" s="31">
        <v>1740</v>
      </c>
      <c r="F18" s="31">
        <v>4126</v>
      </c>
      <c r="G18" s="31">
        <v>756</v>
      </c>
      <c r="H18" s="31">
        <v>478</v>
      </c>
      <c r="I18" s="491">
        <f>VALUE(IFERROR(I3/(J48),"0"))</f>
        <v>878.52330285223582</v>
      </c>
      <c r="J18" s="32">
        <f>IFERROR(INT(J3/J7),0)</f>
        <v>640</v>
      </c>
      <c r="K18" s="496">
        <f t="shared" ref="K18:O18" si="25">IFERROR(INT(K3/K7),0)</f>
        <v>3204</v>
      </c>
      <c r="L18" s="496">
        <f t="shared" si="25"/>
        <v>3953</v>
      </c>
      <c r="M18" s="496">
        <f t="shared" si="25"/>
        <v>8590</v>
      </c>
      <c r="N18" s="496">
        <f t="shared" si="25"/>
        <v>8272</v>
      </c>
      <c r="O18" s="496">
        <f t="shared" si="25"/>
        <v>8411</v>
      </c>
    </row>
    <row r="19" spans="1:15">
      <c r="A19" s="1" t="s">
        <v>12</v>
      </c>
      <c r="B19" s="1" t="s">
        <v>2</v>
      </c>
      <c r="C19" s="1" t="s">
        <v>17388</v>
      </c>
      <c r="D19" s="2" t="s">
        <v>17389</v>
      </c>
      <c r="E19" s="352"/>
      <c r="F19" s="352">
        <v>389</v>
      </c>
      <c r="G19" s="352">
        <v>488</v>
      </c>
      <c r="H19" s="352">
        <v>681</v>
      </c>
      <c r="I19" s="352">
        <v>681</v>
      </c>
      <c r="J19" s="352">
        <f>IFERROR(INT(I19*(1+J4/100)),0)</f>
        <v>771</v>
      </c>
      <c r="K19" s="352">
        <f t="shared" ref="K19:O19" si="26">IFERROR(INT(J19*(1+K4/100)),0)</f>
        <v>3855</v>
      </c>
      <c r="L19" s="352">
        <f t="shared" si="26"/>
        <v>5623</v>
      </c>
      <c r="M19" s="352">
        <f t="shared" si="26"/>
        <v>12327</v>
      </c>
      <c r="N19" s="352">
        <f t="shared" si="26"/>
        <v>12696</v>
      </c>
      <c r="O19" s="352">
        <f t="shared" si="26"/>
        <v>12949</v>
      </c>
    </row>
    <row r="20" spans="1:15">
      <c r="A20" s="1" t="s">
        <v>12</v>
      </c>
      <c r="B20" s="1" t="s">
        <v>11</v>
      </c>
      <c r="C20" s="1" t="s">
        <v>17390</v>
      </c>
      <c r="D20" s="3" t="s">
        <v>17391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4</v>
      </c>
      <c r="B21" s="1" t="s">
        <v>2</v>
      </c>
      <c r="C21" s="1" t="s">
        <v>17392</v>
      </c>
      <c r="D21" s="8" t="s">
        <v>17393</v>
      </c>
      <c r="E21" s="30">
        <f>E18</f>
        <v>1740</v>
      </c>
      <c r="F21" s="104">
        <f t="shared" ref="F21:O21" si="28">F18</f>
        <v>4126</v>
      </c>
      <c r="G21" s="104">
        <f t="shared" si="28"/>
        <v>756</v>
      </c>
      <c r="H21" s="104">
        <f t="shared" si="28"/>
        <v>478</v>
      </c>
      <c r="I21" s="104">
        <f t="shared" si="28"/>
        <v>878.52330285223582</v>
      </c>
      <c r="J21" s="104">
        <f t="shared" si="28"/>
        <v>640</v>
      </c>
      <c r="K21" s="104">
        <f t="shared" si="28"/>
        <v>3204</v>
      </c>
      <c r="L21" s="104">
        <f t="shared" si="28"/>
        <v>3953</v>
      </c>
      <c r="M21" s="104">
        <f t="shared" si="28"/>
        <v>8590</v>
      </c>
      <c r="N21" s="104">
        <f t="shared" si="28"/>
        <v>8272</v>
      </c>
      <c r="O21" s="104">
        <f t="shared" si="28"/>
        <v>8411</v>
      </c>
    </row>
    <row r="22" spans="1:15">
      <c r="A22" s="1" t="s">
        <v>16711</v>
      </c>
      <c r="B22" s="1" t="s">
        <v>2</v>
      </c>
      <c r="C22" s="1" t="s">
        <v>17394</v>
      </c>
      <c r="D22" s="8" t="s">
        <v>17395</v>
      </c>
      <c r="E22" s="30">
        <f>E17-E21</f>
        <v>3233</v>
      </c>
      <c r="F22" s="30">
        <f t="shared" ref="F22:N22" si="29">F17-F21</f>
        <v>4738</v>
      </c>
      <c r="G22" s="30">
        <f t="shared" si="29"/>
        <v>5798</v>
      </c>
      <c r="H22" s="30">
        <f t="shared" si="29"/>
        <v>5375</v>
      </c>
      <c r="I22" s="30">
        <f t="shared" si="29"/>
        <v>3455.202807718561</v>
      </c>
      <c r="J22" s="30">
        <f t="shared" si="29"/>
        <v>2879</v>
      </c>
      <c r="K22" s="30">
        <f t="shared" si="29"/>
        <v>14398</v>
      </c>
      <c r="L22" s="30">
        <f t="shared" si="29"/>
        <v>18894</v>
      </c>
      <c r="M22" s="30">
        <f t="shared" si="29"/>
        <v>41200</v>
      </c>
      <c r="N22" s="30">
        <f t="shared" si="29"/>
        <v>40756</v>
      </c>
      <c r="O22" s="30">
        <f t="shared" ref="O22" si="30">O17-O21</f>
        <v>41492</v>
      </c>
    </row>
    <row r="23" spans="1:15">
      <c r="A23" s="1" t="s">
        <v>4</v>
      </c>
      <c r="B23" s="1" t="s">
        <v>2</v>
      </c>
      <c r="C23" s="1" t="s">
        <v>17396</v>
      </c>
      <c r="D23" s="8" t="s">
        <v>17397</v>
      </c>
      <c r="E23" s="29"/>
      <c r="F23" s="30">
        <f>F22-E22</f>
        <v>1505</v>
      </c>
      <c r="G23" s="30">
        <f t="shared" ref="G23:O23" si="31">G22-F22</f>
        <v>1060</v>
      </c>
      <c r="H23" s="30">
        <f t="shared" si="31"/>
        <v>-423</v>
      </c>
      <c r="I23" s="30">
        <f>I22-G22</f>
        <v>-2342.797192281439</v>
      </c>
      <c r="J23" s="30">
        <f t="shared" si="31"/>
        <v>-576.20280771856096</v>
      </c>
      <c r="K23" s="30">
        <f t="shared" si="31"/>
        <v>11519</v>
      </c>
      <c r="L23" s="30">
        <f t="shared" si="31"/>
        <v>4496</v>
      </c>
      <c r="M23" s="30">
        <f t="shared" si="31"/>
        <v>22306</v>
      </c>
      <c r="N23" s="30">
        <f t="shared" si="31"/>
        <v>-444</v>
      </c>
      <c r="O23" s="30">
        <f t="shared" si="31"/>
        <v>736</v>
      </c>
    </row>
    <row r="24" spans="1:15">
      <c r="A24" s="1" t="s">
        <v>12</v>
      </c>
      <c r="B24" s="1"/>
      <c r="C24" s="1" t="s">
        <v>17398</v>
      </c>
      <c r="D24" s="1" t="s">
        <v>17399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12</v>
      </c>
      <c r="B25" s="1" t="s">
        <v>16777</v>
      </c>
      <c r="C25" s="1" t="s">
        <v>17400</v>
      </c>
      <c r="D25" s="2" t="s">
        <v>17401</v>
      </c>
      <c r="E25" s="31">
        <v>2746</v>
      </c>
      <c r="F25" s="31">
        <v>14835</v>
      </c>
      <c r="G25" s="31">
        <v>10624</v>
      </c>
      <c r="H25" s="31">
        <v>1938</v>
      </c>
      <c r="I25" s="31">
        <v>1938</v>
      </c>
      <c r="J25" s="32">
        <f>IFERROR($I$25/$I$33*J33,0)</f>
        <v>3536</v>
      </c>
      <c r="K25" s="105">
        <f t="shared" ref="K25:O25" si="32">IFERROR($I$25/$I$33*K33,0)</f>
        <v>17697</v>
      </c>
      <c r="L25" s="105">
        <f t="shared" si="32"/>
        <v>25811</v>
      </c>
      <c r="M25" s="105">
        <f t="shared" si="32"/>
        <v>56590</v>
      </c>
      <c r="N25" s="105">
        <f t="shared" si="32"/>
        <v>58287</v>
      </c>
      <c r="O25" s="105">
        <f t="shared" si="32"/>
        <v>59451</v>
      </c>
    </row>
    <row r="26" spans="1:15">
      <c r="A26" s="1" t="s">
        <v>12</v>
      </c>
      <c r="B26" s="1" t="s">
        <v>16777</v>
      </c>
      <c r="C26" s="1" t="s">
        <v>17402</v>
      </c>
      <c r="D26" s="2" t="s">
        <v>17403</v>
      </c>
      <c r="E26" s="31"/>
      <c r="F26" s="31"/>
      <c r="G26" s="31"/>
      <c r="H26" s="31"/>
      <c r="I26" s="31"/>
      <c r="J26" s="105">
        <f>IFERROR($I$26/$I$33*J33,0)</f>
        <v>0</v>
      </c>
      <c r="K26" s="105">
        <f t="shared" ref="K26:O26" si="33">IFERROR($I$26/$I$33*K33,0)</f>
        <v>0</v>
      </c>
      <c r="L26" s="105">
        <f t="shared" si="33"/>
        <v>0</v>
      </c>
      <c r="M26" s="105">
        <f t="shared" si="33"/>
        <v>0</v>
      </c>
      <c r="N26" s="105">
        <f t="shared" si="33"/>
        <v>0</v>
      </c>
      <c r="O26" s="105">
        <f t="shared" si="33"/>
        <v>0</v>
      </c>
    </row>
    <row r="27" spans="1:15">
      <c r="A27" s="1" t="s">
        <v>12</v>
      </c>
      <c r="B27" s="1" t="s">
        <v>11</v>
      </c>
      <c r="C27" s="1" t="s">
        <v>17404</v>
      </c>
      <c r="D27" s="3" t="s">
        <v>17405</v>
      </c>
      <c r="E27" s="18"/>
      <c r="F27" s="18"/>
      <c r="G27" s="18"/>
      <c r="H27" s="18"/>
      <c r="I27" s="18"/>
      <c r="J27" s="32">
        <f>IFERROR($I$27/$I$33*J33,0)</f>
        <v>0</v>
      </c>
      <c r="K27" s="105">
        <f t="shared" ref="K27:O27" si="34">IFERROR($I$27/$I$33*K33,0)</f>
        <v>0</v>
      </c>
      <c r="L27" s="105">
        <f t="shared" si="34"/>
        <v>0</v>
      </c>
      <c r="M27" s="105">
        <f t="shared" si="34"/>
        <v>0</v>
      </c>
      <c r="N27" s="105">
        <f t="shared" si="34"/>
        <v>0</v>
      </c>
      <c r="O27" s="105">
        <f t="shared" si="34"/>
        <v>0</v>
      </c>
    </row>
    <row r="28" spans="1:15">
      <c r="A28" s="1" t="s">
        <v>12</v>
      </c>
      <c r="B28" s="1" t="s">
        <v>2</v>
      </c>
      <c r="C28" s="1" t="s">
        <v>17406</v>
      </c>
      <c r="D28" s="2" t="s">
        <v>17407</v>
      </c>
      <c r="E28" s="31"/>
      <c r="F28" s="31"/>
      <c r="G28" s="31"/>
      <c r="H28" s="31"/>
      <c r="I28" s="31"/>
      <c r="J28" s="32">
        <f>IFERROR($I$28/$I$33*J33,0)</f>
        <v>0</v>
      </c>
      <c r="K28" s="105">
        <f t="shared" ref="K28:O28" si="35">IFERROR($I$28/$I$33*K33,0)</f>
        <v>0</v>
      </c>
      <c r="L28" s="105">
        <f t="shared" si="35"/>
        <v>0</v>
      </c>
      <c r="M28" s="105">
        <f t="shared" si="35"/>
        <v>0</v>
      </c>
      <c r="N28" s="105">
        <f t="shared" si="35"/>
        <v>0</v>
      </c>
      <c r="O28" s="105">
        <f t="shared" si="35"/>
        <v>0</v>
      </c>
    </row>
    <row r="29" spans="1:15">
      <c r="A29" s="1" t="s">
        <v>12</v>
      </c>
      <c r="B29" s="1" t="s">
        <v>2</v>
      </c>
      <c r="C29" s="1" t="s">
        <v>17408</v>
      </c>
      <c r="D29" s="2" t="s">
        <v>17409</v>
      </c>
      <c r="E29" s="31">
        <v>194</v>
      </c>
      <c r="F29" s="31">
        <v>90</v>
      </c>
      <c r="G29" s="31">
        <v>2011</v>
      </c>
      <c r="H29" s="31"/>
      <c r="I29" s="31"/>
      <c r="J29" s="32">
        <f>IFERROR($I$29/$I$33*J33,0)</f>
        <v>0</v>
      </c>
      <c r="K29" s="105">
        <f t="shared" ref="K29:O29" si="36">IFERROR($I$29/$I$33*K33,0)</f>
        <v>0</v>
      </c>
      <c r="L29" s="105">
        <f t="shared" si="36"/>
        <v>0</v>
      </c>
      <c r="M29" s="105">
        <f t="shared" si="36"/>
        <v>0</v>
      </c>
      <c r="N29" s="105">
        <f t="shared" si="36"/>
        <v>0</v>
      </c>
      <c r="O29" s="105">
        <f t="shared" si="36"/>
        <v>0</v>
      </c>
    </row>
    <row r="30" spans="1:15">
      <c r="A30" s="1" t="s">
        <v>12</v>
      </c>
      <c r="B30" s="1" t="s">
        <v>11</v>
      </c>
      <c r="C30" s="1" t="s">
        <v>17410</v>
      </c>
      <c r="D30" s="3" t="s">
        <v>17411</v>
      </c>
      <c r="E30" s="18"/>
      <c r="F30" s="18">
        <v>167</v>
      </c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12</v>
      </c>
      <c r="B31" s="1" t="s">
        <v>2</v>
      </c>
      <c r="C31" s="1" t="s">
        <v>17412</v>
      </c>
      <c r="D31" s="2" t="s">
        <v>17413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12</v>
      </c>
      <c r="B32" s="1" t="s">
        <v>11</v>
      </c>
      <c r="C32" s="1" t="s">
        <v>17414</v>
      </c>
      <c r="D32" s="3" t="s">
        <v>17415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16697</v>
      </c>
      <c r="B33" s="1" t="s">
        <v>16790</v>
      </c>
      <c r="C33" s="1" t="s">
        <v>17416</v>
      </c>
      <c r="D33" s="8" t="s">
        <v>17417</v>
      </c>
      <c r="E33" s="30">
        <f>SUM(E25:E32)</f>
        <v>2940</v>
      </c>
      <c r="F33" s="30">
        <f t="shared" ref="F33:I33" si="40">SUM(F25:F32)</f>
        <v>15092</v>
      </c>
      <c r="G33" s="30">
        <f t="shared" si="40"/>
        <v>12635</v>
      </c>
      <c r="H33" s="30">
        <f t="shared" si="40"/>
        <v>1938</v>
      </c>
      <c r="I33" s="30">
        <f t="shared" si="40"/>
        <v>1938</v>
      </c>
      <c r="J33" s="30">
        <f>IFERROR(INT((J13+J14)/(J8/100)),0)</f>
        <v>3536</v>
      </c>
      <c r="K33" s="104">
        <f t="shared" ref="K33:O33" si="41">IFERROR(INT((K13+K14)/(K8/100)),0)</f>
        <v>17697</v>
      </c>
      <c r="L33" s="104">
        <f t="shared" si="41"/>
        <v>25811</v>
      </c>
      <c r="M33" s="104">
        <f t="shared" si="41"/>
        <v>56590</v>
      </c>
      <c r="N33" s="104">
        <f t="shared" si="41"/>
        <v>58287</v>
      </c>
      <c r="O33" s="104">
        <f t="shared" si="41"/>
        <v>59451</v>
      </c>
    </row>
    <row r="34" spans="1:20">
      <c r="A34" s="1" t="s">
        <v>12</v>
      </c>
      <c r="B34" s="1" t="s">
        <v>16692</v>
      </c>
      <c r="C34" s="1" t="s">
        <v>17418</v>
      </c>
      <c r="D34" s="2" t="s">
        <v>17419</v>
      </c>
      <c r="E34" s="31">
        <v>2000</v>
      </c>
      <c r="F34" s="31">
        <v>2700</v>
      </c>
      <c r="G34" s="31">
        <v>2863</v>
      </c>
      <c r="H34" s="31">
        <v>5900</v>
      </c>
      <c r="I34" s="31">
        <v>5900</v>
      </c>
      <c r="J34" s="32">
        <f t="shared" ref="J34:O34" si="42">IFERROR($I$34/$I$41*J41,0)</f>
        <v>3579.8104874776386</v>
      </c>
      <c r="K34" s="105">
        <f t="shared" si="42"/>
        <v>17909.442084078713</v>
      </c>
      <c r="L34" s="105">
        <f t="shared" si="42"/>
        <v>24295.281753130592</v>
      </c>
      <c r="M34" s="105">
        <f t="shared" si="42"/>
        <v>53068.831059928445</v>
      </c>
      <c r="N34" s="105">
        <f t="shared" si="42"/>
        <v>53198.124440966014</v>
      </c>
      <c r="O34" s="105">
        <f t="shared" si="42"/>
        <v>54192.726967799645</v>
      </c>
    </row>
    <row r="35" spans="1:20">
      <c r="A35" s="1" t="s">
        <v>12</v>
      </c>
      <c r="B35" s="1" t="s">
        <v>2</v>
      </c>
      <c r="C35" s="1" t="s">
        <v>17420</v>
      </c>
      <c r="D35" s="2" t="s">
        <v>17421</v>
      </c>
      <c r="E35" s="31"/>
      <c r="F35" s="31">
        <v>2411</v>
      </c>
      <c r="G35" s="31">
        <v>3012</v>
      </c>
      <c r="H35" s="31">
        <v>16417</v>
      </c>
      <c r="I35" s="31">
        <v>16417</v>
      </c>
      <c r="J35" s="32">
        <f>IFERROR($I$35/$I$41*J41,0)</f>
        <v>9960.9743682915923</v>
      </c>
      <c r="K35" s="105">
        <f t="shared" ref="K35:O35" si="43">IFERROR($I$35/$I$41*K41,0)</f>
        <v>49833.781473613599</v>
      </c>
      <c r="L35" s="105">
        <f t="shared" si="43"/>
        <v>67602.650939177111</v>
      </c>
      <c r="M35" s="105">
        <f t="shared" si="43"/>
        <v>147666.2711035331</v>
      </c>
      <c r="N35" s="105">
        <f t="shared" si="43"/>
        <v>148026.03541480322</v>
      </c>
      <c r="O35" s="105">
        <f t="shared" si="43"/>
        <v>150793.55908989266</v>
      </c>
    </row>
    <row r="36" spans="1:20">
      <c r="A36" s="1" t="s">
        <v>12</v>
      </c>
      <c r="B36" s="1" t="s">
        <v>2</v>
      </c>
      <c r="C36" s="1" t="s">
        <v>17422</v>
      </c>
      <c r="D36" s="2" t="s">
        <v>17423</v>
      </c>
      <c r="E36" s="31"/>
      <c r="F36" s="31">
        <v>11885</v>
      </c>
      <c r="G36" s="31">
        <v>12861</v>
      </c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12</v>
      </c>
      <c r="B37" s="1" t="s">
        <v>16692</v>
      </c>
      <c r="C37" s="1" t="s">
        <v>17424</v>
      </c>
      <c r="D37" s="2" t="s">
        <v>17425</v>
      </c>
      <c r="E37" s="31">
        <v>1167</v>
      </c>
      <c r="F37" s="31">
        <v>4736</v>
      </c>
      <c r="G37" s="31">
        <v>10514</v>
      </c>
      <c r="H37" s="31">
        <v>13459</v>
      </c>
      <c r="I37" s="31">
        <v>13459</v>
      </c>
      <c r="J37" s="32">
        <f>IFERROR($I$37/$I$41*J41,0)</f>
        <v>8166.2151442307695</v>
      </c>
      <c r="K37" s="105">
        <f t="shared" ref="K37:O37" si="45">IFERROR($I$37/$I$41*K41,0)</f>
        <v>40854.776442307695</v>
      </c>
      <c r="L37" s="105">
        <f t="shared" si="45"/>
        <v>55422.067307692305</v>
      </c>
      <c r="M37" s="105">
        <f t="shared" si="45"/>
        <v>121059.89783653845</v>
      </c>
      <c r="N37" s="105">
        <f t="shared" si="45"/>
        <v>121354.84014423077</v>
      </c>
      <c r="O37" s="105">
        <f t="shared" si="45"/>
        <v>123623.71394230769</v>
      </c>
    </row>
    <row r="38" spans="1:20">
      <c r="A38" s="1" t="s">
        <v>12</v>
      </c>
      <c r="B38" s="1" t="s">
        <v>11</v>
      </c>
      <c r="C38" s="1" t="s">
        <v>17426</v>
      </c>
      <c r="D38" s="3" t="s">
        <v>17427</v>
      </c>
      <c r="E38" s="18"/>
      <c r="F38" s="18"/>
      <c r="G38" s="18"/>
      <c r="H38" s="18"/>
      <c r="I38" s="18"/>
      <c r="J38" s="32">
        <f>IFERROR($I$38/$I$41*J41,0)</f>
        <v>0</v>
      </c>
      <c r="K38" s="105">
        <f t="shared" ref="K38:O38" si="46">IFERROR($I$38/$I$41*K41,0)</f>
        <v>0</v>
      </c>
      <c r="L38" s="105">
        <f t="shared" si="46"/>
        <v>0</v>
      </c>
      <c r="M38" s="105">
        <f t="shared" si="46"/>
        <v>0</v>
      </c>
      <c r="N38" s="105">
        <f t="shared" si="46"/>
        <v>0</v>
      </c>
      <c r="O38" s="105">
        <f t="shared" si="46"/>
        <v>0</v>
      </c>
    </row>
    <row r="39" spans="1:20">
      <c r="A39" s="1" t="s">
        <v>12</v>
      </c>
      <c r="B39" s="1" t="s">
        <v>11</v>
      </c>
      <c r="C39" s="1" t="s">
        <v>17428</v>
      </c>
      <c r="D39" s="3" t="s">
        <v>17429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12</v>
      </c>
      <c r="B40" s="1" t="s">
        <v>11</v>
      </c>
      <c r="C40" s="1" t="s">
        <v>17430</v>
      </c>
      <c r="D40" s="3" t="s">
        <v>17431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4</v>
      </c>
      <c r="B41" s="1" t="s">
        <v>2</v>
      </c>
      <c r="C41" s="1" t="s">
        <v>17432</v>
      </c>
      <c r="D41" s="8" t="s">
        <v>17433</v>
      </c>
      <c r="E41" s="30">
        <f>SUM(E34:E40)</f>
        <v>3167</v>
      </c>
      <c r="F41" s="30">
        <f>SUM(F34:F40)</f>
        <v>21732</v>
      </c>
      <c r="G41" s="30">
        <f>SUM(G34:G40)</f>
        <v>29250</v>
      </c>
      <c r="H41" s="30">
        <f>SUM(H34:H40)</f>
        <v>35776</v>
      </c>
      <c r="I41" s="30">
        <f>SUM(I34:I40)</f>
        <v>35776</v>
      </c>
      <c r="J41" s="30">
        <f t="shared" ref="J41:O41" si="49">IFERROR(INT((J18+J19)/(J9/100)),0)</f>
        <v>21707</v>
      </c>
      <c r="K41" s="104">
        <f t="shared" si="49"/>
        <v>108598</v>
      </c>
      <c r="L41" s="104">
        <f t="shared" si="49"/>
        <v>147320</v>
      </c>
      <c r="M41" s="104">
        <f t="shared" si="49"/>
        <v>321795</v>
      </c>
      <c r="N41" s="104">
        <f t="shared" si="49"/>
        <v>322579</v>
      </c>
      <c r="O41" s="104">
        <f t="shared" si="49"/>
        <v>328610</v>
      </c>
    </row>
    <row r="42" spans="1:20">
      <c r="D42" s="161" t="s">
        <v>69</v>
      </c>
      <c r="E42" s="196">
        <f>100*(IS추정!E28/E33)</f>
        <v>0.47619047619047622</v>
      </c>
      <c r="F42" s="196">
        <f>100*(IS추정!F28/F33)</f>
        <v>5.3008216273522389E-2</v>
      </c>
      <c r="G42" s="196">
        <f>100*(IS추정!G28/G33)</f>
        <v>0.85476850019786299</v>
      </c>
      <c r="H42" s="196">
        <f>100*(IS추정!H28/H33)</f>
        <v>5.5211558307533544</v>
      </c>
      <c r="I42" s="196">
        <f>100*(IS추정!I28/I33)</f>
        <v>5.5211558307533544</v>
      </c>
      <c r="J42" s="196">
        <f>100*(IS추정!J28/J33)</f>
        <v>0</v>
      </c>
      <c r="K42" s="196">
        <f>100*(IS추정!K28/K33)</f>
        <v>0</v>
      </c>
      <c r="L42" s="196">
        <f>100*(IS추정!L28/L33)</f>
        <v>0</v>
      </c>
      <c r="M42" s="196">
        <f>100*(IS추정!M28/M33)</f>
        <v>0</v>
      </c>
      <c r="N42" s="196">
        <f>100*(IS추정!N28/N33)</f>
        <v>0</v>
      </c>
      <c r="O42" s="197">
        <f>100*(IS추정!O28/O33)</f>
        <v>0</v>
      </c>
      <c r="Q42" s="56" t="s">
        <v>0</v>
      </c>
    </row>
    <row r="43" spans="1:20" ht="17.25" thickBot="1">
      <c r="D43" s="164" t="s">
        <v>70</v>
      </c>
      <c r="E43" s="200">
        <f>100*(IS추정!E31/E41)</f>
        <v>1.2630249447426587</v>
      </c>
      <c r="F43" s="200">
        <f>100*(IS추정!F31/F41)</f>
        <v>0.46935394809497516</v>
      </c>
      <c r="G43" s="200">
        <f>100*(IS추정!G31/G41)</f>
        <v>0.89572649572649576</v>
      </c>
      <c r="H43" s="200">
        <f>100*(IS추정!H31/H41)</f>
        <v>1.3752236135957066</v>
      </c>
      <c r="I43" s="200">
        <f>100*(IS추정!I31/I41)</f>
        <v>1.3752236135957066</v>
      </c>
      <c r="J43" s="200">
        <f>100*(IS추정!J31/J41)</f>
        <v>0</v>
      </c>
      <c r="K43" s="200">
        <f>100*(IS추정!K31/K41)</f>
        <v>0</v>
      </c>
      <c r="L43" s="200">
        <f>100*(IS추정!L31/L41)</f>
        <v>0</v>
      </c>
      <c r="M43" s="200">
        <f>100*(IS추정!M31/M41)</f>
        <v>0</v>
      </c>
      <c r="N43" s="200">
        <f>100*(IS추정!N31/N41)</f>
        <v>0</v>
      </c>
      <c r="O43" s="203">
        <f>100*(IS추정!O31/O41)</f>
        <v>0</v>
      </c>
      <c r="Q43" s="57">
        <f ca="1">+민감도!B7</f>
        <v>-3237369.4615647378</v>
      </c>
    </row>
    <row r="44" spans="1:20" ht="17.25" thickBot="1">
      <c r="E44" s="246">
        <f t="shared" ref="E44:O44" si="50">E22/E2</f>
        <v>0.21294954551442496</v>
      </c>
      <c r="F44" s="246">
        <f t="shared" si="50"/>
        <v>0.26087435304481887</v>
      </c>
      <c r="G44" s="246">
        <f t="shared" si="50"/>
        <v>0.47547974413646055</v>
      </c>
      <c r="H44" s="246">
        <f t="shared" si="50"/>
        <v>1.0717846460618146</v>
      </c>
      <c r="I44" s="246">
        <f t="shared" si="50"/>
        <v>0.68897364062184663</v>
      </c>
      <c r="J44" s="246">
        <f t="shared" si="50"/>
        <v>0.506955449903152</v>
      </c>
      <c r="K44" s="246">
        <f t="shared" si="50"/>
        <v>0.50698968273530753</v>
      </c>
      <c r="L44" s="246">
        <f t="shared" si="50"/>
        <v>0.45612340969992515</v>
      </c>
      <c r="M44" s="246">
        <f t="shared" si="50"/>
        <v>0.4536645525017618</v>
      </c>
      <c r="N44" s="246">
        <f t="shared" si="50"/>
        <v>0.43570664956168487</v>
      </c>
      <c r="O44" s="246">
        <f t="shared" si="50"/>
        <v>0.43488103972329945</v>
      </c>
    </row>
    <row r="45" spans="1:20">
      <c r="A45" s="367">
        <f>ROW(C52)-ROW(C45)</f>
        <v>7</v>
      </c>
      <c r="B45" s="1"/>
      <c r="C45" s="1" t="s">
        <v>17434</v>
      </c>
      <c r="D45" s="1" t="s">
        <v>17435</v>
      </c>
      <c r="E45" s="1" t="s">
        <v>16473</v>
      </c>
      <c r="F45" s="1" t="s">
        <v>16475</v>
      </c>
      <c r="G45" s="1" t="s">
        <v>16477</v>
      </c>
      <c r="H45" s="1" t="s">
        <v>16480</v>
      </c>
      <c r="I45" s="1" t="s">
        <v>16826</v>
      </c>
      <c r="J45" s="360" t="s">
        <v>202</v>
      </c>
      <c r="K45" s="120"/>
      <c r="L45" s="116" t="s">
        <v>23</v>
      </c>
      <c r="M45" s="14"/>
      <c r="N45" s="354" t="s">
        <v>30</v>
      </c>
      <c r="O45" s="354" t="s">
        <v>31</v>
      </c>
      <c r="P45" s="354" t="s">
        <v>204</v>
      </c>
      <c r="Q45" s="354" t="s">
        <v>205</v>
      </c>
      <c r="R45" s="354" t="s">
        <v>33</v>
      </c>
      <c r="S45" s="354" t="s">
        <v>203</v>
      </c>
      <c r="T45" s="354" t="s">
        <v>34</v>
      </c>
    </row>
    <row r="46" spans="1:20">
      <c r="A46" s="1" t="s">
        <v>12</v>
      </c>
      <c r="B46" s="1" t="s">
        <v>16989</v>
      </c>
      <c r="C46" s="1" t="s">
        <v>17436</v>
      </c>
      <c r="D46" s="2" t="s">
        <v>17437</v>
      </c>
      <c r="E46" s="28">
        <f>IF(E13=0,0,E2/E13)</f>
        <v>6.2094069529652351</v>
      </c>
      <c r="F46" s="28">
        <f>IF(F13=0,0,F2/AVERAGE(E13:F13))</f>
        <v>5.2430715935334877</v>
      </c>
      <c r="G46" s="87">
        <f>IF(G13=0,0,G2/AVERAGE(F13:G13))</f>
        <v>4.6990366088631985</v>
      </c>
      <c r="H46" s="87">
        <f>IF(H13=0,0,I2/AVERAGE(G13:H13))</f>
        <v>6.3885350318471339</v>
      </c>
      <c r="I46" s="28">
        <f>(F46+G46*2+H46*3)/6</f>
        <v>5.6344583178002141</v>
      </c>
      <c r="J46" s="357">
        <f>HLOOKUP($J$45,$N$45:$T$50,$M46,0)</f>
        <v>5.6344583178002141</v>
      </c>
      <c r="K46" s="92">
        <f>(E46+F46*2+G46*3)/6</f>
        <v>5.1321099944369672</v>
      </c>
      <c r="L46" s="159"/>
      <c r="M46" s="359">
        <v>2</v>
      </c>
      <c r="N46" s="353">
        <f>AVERAGE(E46:H46)</f>
        <v>5.6350125468022636</v>
      </c>
      <c r="O46" s="353">
        <f>AVERAGE(F46:H46)</f>
        <v>5.4435477447479395</v>
      </c>
      <c r="P46" s="353">
        <f>AVERAGE(G46:H46)</f>
        <v>5.5437858203551666</v>
      </c>
      <c r="Q46" s="353">
        <f>AVERAGE(E46:G46)</f>
        <v>5.3838383851206402</v>
      </c>
      <c r="R46" s="353">
        <f>(4*H46+3*G46+2*F46+E46)/10</f>
        <v>5.634680009401035</v>
      </c>
      <c r="S46" s="353">
        <f>(F46+G46*2+H46*3)/6</f>
        <v>5.6344583178002141</v>
      </c>
      <c r="T46" s="353">
        <f>(2*H46+G46)/3</f>
        <v>5.8253688908524888</v>
      </c>
    </row>
    <row r="47" spans="1:20">
      <c r="A47" s="1" t="s">
        <v>12</v>
      </c>
      <c r="B47" s="1" t="s">
        <v>3</v>
      </c>
      <c r="C47" s="1" t="s">
        <v>17438</v>
      </c>
      <c r="D47" s="2" t="s">
        <v>17439</v>
      </c>
      <c r="E47" s="28">
        <f>IF(E15=0,0,E3/E15)</f>
        <v>4.6598101265822782</v>
      </c>
      <c r="F47" s="28">
        <f>IF(F15=0,0,F3/AVERAGE(E15:F15))</f>
        <v>4.1513967289043281</v>
      </c>
      <c r="G47" s="87">
        <f>IF(G15=0,0,G3/AVERAGE(F15:G15))</f>
        <v>2.2522487289792728</v>
      </c>
      <c r="H47" s="87">
        <f>IF(H15=0,0,I3/AVERAGE(G15:H15))</f>
        <v>1.3439143674448648</v>
      </c>
      <c r="I47" s="28">
        <f t="shared" ref="I47:I50" si="51">(F47+G47*2+H47*3)/6</f>
        <v>2.1146062148662446</v>
      </c>
      <c r="J47" s="357">
        <f>HLOOKUP($J$45,$N$45:$T$50,$M47,0)</f>
        <v>2.1146062148662446</v>
      </c>
      <c r="K47" s="92">
        <f t="shared" ref="K47:K50" si="52">(E47+F47*2+G47*3)/6</f>
        <v>3.2865582952214587</v>
      </c>
      <c r="L47" s="159"/>
      <c r="M47" s="359">
        <v>3</v>
      </c>
      <c r="N47" s="353">
        <f>AVERAGE(E47:H47)</f>
        <v>3.1018424879776862</v>
      </c>
      <c r="O47" s="353">
        <f>AVERAGE(F47:H47)</f>
        <v>2.5825199417761548</v>
      </c>
      <c r="P47" s="353">
        <f>AVERAGE(G47:H47)</f>
        <v>1.7980815482120689</v>
      </c>
      <c r="Q47" s="353">
        <f>AVERAGE(E47:G47)</f>
        <v>3.6878185281552933</v>
      </c>
      <c r="R47" s="353">
        <f>(4*H47+3*G47+2*F47+E47)/10</f>
        <v>2.5095007241108211</v>
      </c>
      <c r="S47" s="353">
        <f t="shared" ref="S47:S50" si="53">(F47+G47*2+H47*3)/6</f>
        <v>2.1146062148662446</v>
      </c>
      <c r="T47" s="353">
        <f>(2*H47+G47)/3</f>
        <v>1.6466924879563341</v>
      </c>
    </row>
    <row r="48" spans="1:20">
      <c r="A48" s="1" t="s">
        <v>12</v>
      </c>
      <c r="B48" s="1" t="s">
        <v>16708</v>
      </c>
      <c r="C48" s="1" t="s">
        <v>17440</v>
      </c>
      <c r="D48" s="2" t="s">
        <v>17441</v>
      </c>
      <c r="E48" s="28">
        <f>IF(E18=0,0,E3/E18)</f>
        <v>6.7701149425287355</v>
      </c>
      <c r="F48" s="87">
        <f>IF(F18=0,0,F3/AVERAGE(E18:F18))</f>
        <v>4.889532901466076</v>
      </c>
      <c r="G48" s="87">
        <f>IF(G18=0,0,G3/AVERAGE(F18:G18))</f>
        <v>4.7185579680458831</v>
      </c>
      <c r="H48" s="87">
        <f>IF(H18=0,0,I3/AVERAGE(G18:H18))</f>
        <v>11.802269043760131</v>
      </c>
      <c r="I48" s="28">
        <f t="shared" si="51"/>
        <v>8.2889093281397042</v>
      </c>
      <c r="J48" s="357">
        <f>HLOOKUP($J$45,$N$45:$T$50,$M48,0)</f>
        <v>8.2889093281397042</v>
      </c>
      <c r="K48" s="92">
        <f t="shared" si="52"/>
        <v>5.1174757749330899</v>
      </c>
      <c r="L48" s="159"/>
      <c r="M48" s="359">
        <v>4</v>
      </c>
      <c r="N48" s="353">
        <f>AVERAGE(E48:H48)</f>
        <v>7.0451187139502061</v>
      </c>
      <c r="O48" s="353">
        <f>AVERAGE(F48:H48)</f>
        <v>7.1367866377573632</v>
      </c>
      <c r="P48" s="353">
        <f>AVERAGE(G48:H48)</f>
        <v>8.2604135059030064</v>
      </c>
      <c r="Q48" s="353">
        <f>AVERAGE(E48:G48)</f>
        <v>5.4594019373468976</v>
      </c>
      <c r="R48" s="353">
        <f>(4*H48+3*G48+2*F48+E48)/10</f>
        <v>7.7913930824639053</v>
      </c>
      <c r="S48" s="353">
        <f t="shared" si="53"/>
        <v>8.2889093281397042</v>
      </c>
      <c r="T48" s="353">
        <f>(2*H48+G48)/3</f>
        <v>9.4410320185220478</v>
      </c>
    </row>
    <row r="49" spans="1:20">
      <c r="A49" s="1" t="s">
        <v>12</v>
      </c>
      <c r="B49" s="1" t="s">
        <v>16708</v>
      </c>
      <c r="C49" s="1" t="s">
        <v>17442</v>
      </c>
      <c r="D49" s="2" t="s">
        <v>17443</v>
      </c>
      <c r="E49" s="28">
        <f>IF(E33=0,0,(E13+E14)/E33*100)</f>
        <v>83.265306122448976</v>
      </c>
      <c r="F49" s="28">
        <f>IF(F33=0,0,(F13+F14)/F33*100)</f>
        <v>29.836999734958919</v>
      </c>
      <c r="G49" s="28">
        <f>IF(G33=0,0,(G13+G14)/G33*100)</f>
        <v>6.9885239414325282</v>
      </c>
      <c r="H49" s="28">
        <f>IF(H33=0,0,(H13+H14)/H33*100)</f>
        <v>53.76676986584107</v>
      </c>
      <c r="I49" s="28">
        <f t="shared" si="51"/>
        <v>34.185726202557866</v>
      </c>
      <c r="J49" s="361">
        <f t="shared" ref="J49:J50" si="54">HLOOKUP($J$45,$N$45:$T$50,$M49,0)</f>
        <v>34.185726202557866</v>
      </c>
      <c r="K49" s="92">
        <f t="shared" si="52"/>
        <v>27.317479569444071</v>
      </c>
      <c r="L49" s="159"/>
      <c r="M49" s="359">
        <v>5</v>
      </c>
      <c r="N49" s="353">
        <f>AVERAGE(E49:H49)</f>
        <v>43.464399916170379</v>
      </c>
      <c r="O49" s="353">
        <f>AVERAGE(F49:H49)</f>
        <v>30.197431180744172</v>
      </c>
      <c r="P49" s="353">
        <f>AVERAGE(G49:H49)</f>
        <v>30.377646903636798</v>
      </c>
      <c r="Q49" s="353">
        <f>AVERAGE(E49:G49)</f>
        <v>40.03027659961348</v>
      </c>
      <c r="R49" s="353">
        <f>(4*H49+3*G49+2*F49+E49)/10</f>
        <v>37.897195688002867</v>
      </c>
      <c r="S49" s="353">
        <f t="shared" si="53"/>
        <v>34.185726202557866</v>
      </c>
      <c r="T49" s="353">
        <f>(2*H49+G49)/3</f>
        <v>38.174021224371558</v>
      </c>
    </row>
    <row r="50" spans="1:20" ht="17.25" thickBot="1">
      <c r="A50" s="1" t="s">
        <v>12</v>
      </c>
      <c r="B50" s="1" t="s">
        <v>3</v>
      </c>
      <c r="C50" s="1" t="s">
        <v>17444</v>
      </c>
      <c r="D50" s="2" t="s">
        <v>17445</v>
      </c>
      <c r="E50" s="28">
        <f>IF(E41=0,0,(E18+E19)/E41*100)</f>
        <v>54.941585096305658</v>
      </c>
      <c r="F50" s="28">
        <f>IF(F41=0,0,(F18+F19)/F41*100)</f>
        <v>20.775814467145224</v>
      </c>
      <c r="G50" s="28">
        <f>IF(G41=0,0,(G18+G19)/G41*100)</f>
        <v>4.252991452991453</v>
      </c>
      <c r="H50" s="28">
        <f>IF(H41=0,0,(H18+H19)/H41*100)</f>
        <v>3.2396019677996422</v>
      </c>
      <c r="I50" s="28">
        <f t="shared" si="51"/>
        <v>6.5001005460878432</v>
      </c>
      <c r="J50" s="362">
        <f t="shared" si="54"/>
        <v>6.5001005460878432</v>
      </c>
      <c r="K50" s="92">
        <f t="shared" si="52"/>
        <v>18.208698064928409</v>
      </c>
      <c r="L50" s="159"/>
      <c r="M50" s="359">
        <v>6</v>
      </c>
      <c r="N50" s="353">
        <f>AVERAGE(E50:H50)</f>
        <v>20.802498246060495</v>
      </c>
      <c r="O50" s="353">
        <f>AVERAGE(F50:H50)</f>
        <v>9.4228026293121072</v>
      </c>
      <c r="P50" s="353">
        <f>AVERAGE(G50:H50)</f>
        <v>3.7462967103955478</v>
      </c>
      <c r="Q50" s="353">
        <f>AVERAGE(E50:G50)</f>
        <v>26.656797005480779</v>
      </c>
      <c r="R50" s="353">
        <f>(4*H50+3*G50+2*F50+E50)/10</f>
        <v>12.221059626076904</v>
      </c>
      <c r="S50" s="353">
        <f t="shared" si="53"/>
        <v>6.5001005460878432</v>
      </c>
      <c r="T50" s="353">
        <f>(2*H50+G50)/3</f>
        <v>3.5773984628635791</v>
      </c>
    </row>
    <row r="51" spans="1:20">
      <c r="A51" s="1" t="s">
        <v>12</v>
      </c>
      <c r="B51" s="1" t="s">
        <v>3</v>
      </c>
      <c r="C51" s="1" t="s">
        <v>17446</v>
      </c>
      <c r="D51" s="2" t="s">
        <v>17447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12</v>
      </c>
      <c r="B52" s="1" t="s">
        <v>16721</v>
      </c>
      <c r="C52" s="1" t="s">
        <v>17448</v>
      </c>
      <c r="D52" s="2" t="s">
        <v>17449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446</v>
      </c>
      <c r="E53" s="433">
        <f t="shared" ref="E53:I53" si="55">IFERROR(E22/E2,"")</f>
        <v>0.21294954551442496</v>
      </c>
      <c r="F53" s="433">
        <f t="shared" si="55"/>
        <v>0.26087435304481887</v>
      </c>
      <c r="G53" s="433">
        <f t="shared" si="55"/>
        <v>0.47547974413646055</v>
      </c>
      <c r="H53" s="433">
        <f t="shared" si="55"/>
        <v>1.0717846460618146</v>
      </c>
      <c r="I53" s="433">
        <f t="shared" si="55"/>
        <v>0.68897364062184663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6.2094069529652351</v>
      </c>
      <c r="F56" s="326">
        <f>IF(F13=0,0,F2/F13)</f>
        <v>4.0513049297345525</v>
      </c>
      <c r="G56" s="326">
        <f>IF(G13=0,0,G2/G13)</f>
        <v>17.247524752475247</v>
      </c>
      <c r="H56" s="327">
        <f>IF(H13=0,0,I2/H13)</f>
        <v>5.8111239860950175</v>
      </c>
    </row>
    <row r="57" spans="1:20" customFormat="1">
      <c r="E57" s="326">
        <f>IF(E15=0,0,E3/E15)</f>
        <v>4.6598101265822782</v>
      </c>
      <c r="F57" s="326">
        <f>IF(F15=0,0,F3/F15)</f>
        <v>3.2734535494179413</v>
      </c>
      <c r="G57" s="326">
        <f>IF(G15=0,0,G3/G15)</f>
        <v>1.9698990935522491</v>
      </c>
      <c r="H57" s="327">
        <f>IF(H15=0,0,I3/H15)</f>
        <v>1.459318637274549</v>
      </c>
    </row>
    <row r="58" spans="1:20" customFormat="1">
      <c r="E58" s="326">
        <f>IF(E18=0,0,E2/E18)</f>
        <v>8.7252873563218394</v>
      </c>
      <c r="F58" s="326">
        <f>IF(F18=0,0,F2/F18)</f>
        <v>4.4018419777023752</v>
      </c>
      <c r="G58" s="326">
        <f>IF(G18=0,0,G2/G18)</f>
        <v>16.12962962962963</v>
      </c>
      <c r="H58" s="327">
        <f>IF(H18=0,0,I2/H18)</f>
        <v>10.49163179916318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4" activePane="bottomLeft" state="frozen"/>
      <selection activeCell="C1" sqref="C1"/>
      <selection pane="bottomLeft" activeCell="I34" sqref="I34:I35"/>
    </sheetView>
    <sheetView topLeftCell="C1" workbookViewId="1"/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ROW(C37)-ROW(C1)</f>
        <v>36</v>
      </c>
      <c r="B1" s="1"/>
      <c r="C1" s="1" t="s">
        <v>17450</v>
      </c>
      <c r="D1" s="1" t="s">
        <v>17451</v>
      </c>
      <c r="E1" s="1" t="s">
        <v>16796</v>
      </c>
      <c r="F1" s="1" t="s">
        <v>16798</v>
      </c>
      <c r="G1" s="1" t="s">
        <v>16984</v>
      </c>
      <c r="H1" s="1" t="s">
        <v>16986</v>
      </c>
      <c r="I1" s="1" t="s">
        <v>16804</v>
      </c>
      <c r="J1" s="1" t="s">
        <v>16805</v>
      </c>
      <c r="K1" s="1" t="s">
        <v>16806</v>
      </c>
      <c r="L1" s="1" t="s">
        <v>16807</v>
      </c>
      <c r="M1" s="1" t="s">
        <v>16808</v>
      </c>
      <c r="N1" s="1" t="s">
        <v>16809</v>
      </c>
      <c r="O1" s="1" t="s">
        <v>16810</v>
      </c>
    </row>
    <row r="2" spans="1:15">
      <c r="A2" s="1" t="s">
        <v>12</v>
      </c>
      <c r="B2" s="1" t="s">
        <v>16698</v>
      </c>
      <c r="C2" s="1" t="s">
        <v>17452</v>
      </c>
      <c r="D2" s="2" t="s">
        <v>17453</v>
      </c>
      <c r="E2" s="24">
        <f>NWC추정!E13</f>
        <v>2445</v>
      </c>
      <c r="F2" s="24">
        <f>NWC추정!F13</f>
        <v>4483</v>
      </c>
      <c r="G2" s="24">
        <f>NWC추정!G13</f>
        <v>707</v>
      </c>
      <c r="H2" s="24">
        <f>NWC추정!H13</f>
        <v>863</v>
      </c>
      <c r="I2" s="24">
        <f>NWC추정!I13</f>
        <v>890.05894038771396</v>
      </c>
      <c r="J2" s="24">
        <f>NWC추정!J13</f>
        <v>1007</v>
      </c>
      <c r="K2" s="24">
        <f>NWC추정!K13</f>
        <v>5040</v>
      </c>
      <c r="L2" s="24">
        <f>NWC추정!L13</f>
        <v>7351</v>
      </c>
      <c r="M2" s="24">
        <f>NWC추정!M13</f>
        <v>16117</v>
      </c>
      <c r="N2" s="24">
        <f>NWC추정!N13</f>
        <v>16601</v>
      </c>
      <c r="O2" s="24">
        <f>NWC추정!O13</f>
        <v>16933</v>
      </c>
    </row>
    <row r="3" spans="1:15">
      <c r="A3" s="1" t="s">
        <v>12</v>
      </c>
      <c r="B3" s="1" t="s">
        <v>2</v>
      </c>
      <c r="C3" s="1" t="s">
        <v>17454</v>
      </c>
      <c r="D3" s="2" t="s">
        <v>17455</v>
      </c>
      <c r="E3" s="24">
        <f>NWC추정!E14</f>
        <v>3</v>
      </c>
      <c r="F3" s="24">
        <f>NWC추정!F14</f>
        <v>20</v>
      </c>
      <c r="G3" s="24">
        <f>NWC추정!G14</f>
        <v>176</v>
      </c>
      <c r="H3" s="24">
        <f>NWC추정!H14</f>
        <v>179</v>
      </c>
      <c r="I3" s="24">
        <f>NWC추정!I14</f>
        <v>179</v>
      </c>
      <c r="J3" s="24">
        <f>NWC추정!J14</f>
        <v>202</v>
      </c>
      <c r="K3" s="24">
        <f>NWC추정!K14</f>
        <v>1010</v>
      </c>
      <c r="L3" s="24">
        <f>NWC추정!L14</f>
        <v>1473</v>
      </c>
      <c r="M3" s="24">
        <f>NWC추정!M14</f>
        <v>3229</v>
      </c>
      <c r="N3" s="24">
        <f>NWC추정!N14</f>
        <v>3325</v>
      </c>
      <c r="O3" s="24">
        <f>NWC추정!O14</f>
        <v>3391</v>
      </c>
    </row>
    <row r="4" spans="1:15">
      <c r="A4" s="1" t="s">
        <v>12</v>
      </c>
      <c r="B4" s="1" t="s">
        <v>17456</v>
      </c>
      <c r="C4" s="1" t="s">
        <v>17457</v>
      </c>
      <c r="D4" s="2" t="s">
        <v>17458</v>
      </c>
      <c r="E4" s="24">
        <f>NWC추정!E15</f>
        <v>2528</v>
      </c>
      <c r="F4" s="24">
        <f>NWC추정!F15</f>
        <v>4381</v>
      </c>
      <c r="G4" s="24">
        <f>NWC추정!G15</f>
        <v>5847</v>
      </c>
      <c r="H4" s="24">
        <f>NWC추정!H15</f>
        <v>4990</v>
      </c>
      <c r="I4" s="24">
        <f>NWC추정!I15</f>
        <v>3443.6671701830828</v>
      </c>
      <c r="J4" s="24">
        <f>NWC추정!J15</f>
        <v>2512</v>
      </c>
      <c r="K4" s="24">
        <f>NWC추정!K15</f>
        <v>12562</v>
      </c>
      <c r="L4" s="24">
        <f>NWC추정!L15</f>
        <v>15496</v>
      </c>
      <c r="M4" s="24">
        <f>NWC추정!M15</f>
        <v>33673</v>
      </c>
      <c r="N4" s="24">
        <f>NWC추정!N15</f>
        <v>32427</v>
      </c>
      <c r="O4" s="24">
        <f>NWC추정!O15</f>
        <v>32970</v>
      </c>
    </row>
    <row r="5" spans="1:15">
      <c r="A5" s="1" t="s">
        <v>12</v>
      </c>
      <c r="B5" s="1" t="s">
        <v>11</v>
      </c>
      <c r="C5" s="1" t="s">
        <v>17459</v>
      </c>
      <c r="D5" s="18" t="s">
        <v>17460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12</v>
      </c>
      <c r="B6" s="1" t="s">
        <v>2</v>
      </c>
      <c r="C6" s="1" t="s">
        <v>17461</v>
      </c>
      <c r="D6" s="2" t="s">
        <v>17462</v>
      </c>
      <c r="E6" s="24">
        <f>NWC추정!E18</f>
        <v>1740</v>
      </c>
      <c r="F6" s="24">
        <f>NWC추정!F18</f>
        <v>4126</v>
      </c>
      <c r="G6" s="24">
        <f>NWC추정!G18</f>
        <v>756</v>
      </c>
      <c r="H6" s="24">
        <f>NWC추정!H18</f>
        <v>478</v>
      </c>
      <c r="I6" s="24">
        <f>NWC추정!I18</f>
        <v>878.52330285223582</v>
      </c>
      <c r="J6" s="24">
        <f>NWC추정!J18</f>
        <v>640</v>
      </c>
      <c r="K6" s="24">
        <f>NWC추정!K18</f>
        <v>3204</v>
      </c>
      <c r="L6" s="24">
        <f>NWC추정!L18</f>
        <v>3953</v>
      </c>
      <c r="M6" s="24">
        <f>NWC추정!M18</f>
        <v>8590</v>
      </c>
      <c r="N6" s="24">
        <f>NWC추정!N18</f>
        <v>8272</v>
      </c>
      <c r="O6" s="24">
        <f>NWC추정!O18</f>
        <v>8411</v>
      </c>
    </row>
    <row r="7" spans="1:15">
      <c r="A7" s="1" t="s">
        <v>12</v>
      </c>
      <c r="B7" s="1" t="s">
        <v>2</v>
      </c>
      <c r="C7" s="1" t="s">
        <v>17463</v>
      </c>
      <c r="D7" s="2" t="s">
        <v>17464</v>
      </c>
      <c r="E7" s="24">
        <f>NWC추정!E19</f>
        <v>0</v>
      </c>
      <c r="F7" s="24">
        <f>NWC추정!F19</f>
        <v>389</v>
      </c>
      <c r="G7" s="24">
        <f>NWC추정!G19</f>
        <v>488</v>
      </c>
      <c r="H7" s="24">
        <f>NWC추정!H19</f>
        <v>681</v>
      </c>
      <c r="I7" s="24">
        <f>NWC추정!I19</f>
        <v>681</v>
      </c>
      <c r="J7" s="24">
        <f>NWC추정!J19</f>
        <v>771</v>
      </c>
      <c r="K7" s="24">
        <f>NWC추정!K19</f>
        <v>3855</v>
      </c>
      <c r="L7" s="24">
        <f>NWC추정!L19</f>
        <v>5623</v>
      </c>
      <c r="M7" s="24">
        <f>NWC추정!M19</f>
        <v>12327</v>
      </c>
      <c r="N7" s="24">
        <f>NWC추정!N19</f>
        <v>12696</v>
      </c>
      <c r="O7" s="24">
        <f>NWC추정!O19</f>
        <v>12949</v>
      </c>
    </row>
    <row r="8" spans="1:15">
      <c r="A8" s="1" t="s">
        <v>12</v>
      </c>
      <c r="B8" s="1" t="s">
        <v>11</v>
      </c>
      <c r="C8" s="1" t="s">
        <v>17465</v>
      </c>
      <c r="D8" s="18" t="s">
        <v>17466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12</v>
      </c>
      <c r="B9" s="1" t="s">
        <v>16692</v>
      </c>
      <c r="C9" s="1" t="s">
        <v>17467</v>
      </c>
      <c r="D9" s="2" t="s">
        <v>17468</v>
      </c>
      <c r="E9" s="24">
        <f>IS추정!E36</f>
        <v>-60</v>
      </c>
      <c r="F9" s="24">
        <f>IS추정!F36</f>
        <v>444</v>
      </c>
      <c r="G9" s="24">
        <f>IS추정!G36</f>
        <v>-3300</v>
      </c>
      <c r="H9" s="24">
        <f>IS추정!H36</f>
        <v>-9986</v>
      </c>
      <c r="I9" s="24">
        <f>IS추정!I36</f>
        <v>0</v>
      </c>
      <c r="J9" s="24">
        <f ca="1">IS추정!J36</f>
        <v>0</v>
      </c>
      <c r="K9" s="24">
        <f ca="1">IS추정!K36</f>
        <v>0</v>
      </c>
      <c r="L9" s="24">
        <f ca="1">IS추정!L36</f>
        <v>0</v>
      </c>
      <c r="M9" s="24">
        <f ca="1">IS추정!M36</f>
        <v>0</v>
      </c>
      <c r="N9" s="24">
        <f ca="1">IS추정!N36</f>
        <v>0</v>
      </c>
      <c r="O9" s="24">
        <f ca="1">IS추정!O36</f>
        <v>0</v>
      </c>
    </row>
    <row r="10" spans="1:15">
      <c r="A10" s="1" t="s">
        <v>12</v>
      </c>
      <c r="B10" s="1" t="s">
        <v>16726</v>
      </c>
      <c r="C10" s="1" t="s">
        <v>17469</v>
      </c>
      <c r="D10" s="2" t="s">
        <v>17470</v>
      </c>
      <c r="E10" s="27">
        <f>E42</f>
        <v>42.879663688912245</v>
      </c>
      <c r="F10" s="27">
        <f>F42</f>
        <v>22.790768296386275</v>
      </c>
      <c r="G10" s="27">
        <f t="shared" ref="G10:H10" si="0">G42</f>
        <v>6.5204548811106182</v>
      </c>
      <c r="H10" s="27">
        <f t="shared" si="0"/>
        <v>24.709509129713066</v>
      </c>
      <c r="I10" s="27">
        <f t="shared" ref="I10" si="1">H10</f>
        <v>24.709509129713066</v>
      </c>
      <c r="J10" s="27">
        <f>$J$42</f>
        <v>18.326700907957783</v>
      </c>
      <c r="K10" s="27">
        <f t="shared" ref="K10:O10" si="2">$J$42</f>
        <v>18.326700907957783</v>
      </c>
      <c r="L10" s="27">
        <f t="shared" si="2"/>
        <v>18.326700907957783</v>
      </c>
      <c r="M10" s="27">
        <f t="shared" si="2"/>
        <v>18.326700907957783</v>
      </c>
      <c r="N10" s="27">
        <f t="shared" si="2"/>
        <v>18.326700907957783</v>
      </c>
      <c r="O10" s="27">
        <f t="shared" si="2"/>
        <v>18.326700907957783</v>
      </c>
    </row>
    <row r="11" spans="1:15">
      <c r="A11" s="1" t="s">
        <v>12</v>
      </c>
      <c r="B11" s="1" t="s">
        <v>3</v>
      </c>
      <c r="C11" s="1" t="s">
        <v>17471</v>
      </c>
      <c r="D11" s="2" t="s">
        <v>17472</v>
      </c>
      <c r="E11" s="27">
        <f>E45</f>
        <v>2.6158038147138964</v>
      </c>
      <c r="F11" s="27">
        <f>F45</f>
        <v>1.3393202756057909</v>
      </c>
      <c r="G11" s="27">
        <f t="shared" ref="G11:H11" si="3">G45</f>
        <v>3.938165456408429</v>
      </c>
      <c r="H11" s="27">
        <f t="shared" si="3"/>
        <v>0.61473077069024396</v>
      </c>
      <c r="I11" s="27">
        <f>H11</f>
        <v>0.61473077069024396</v>
      </c>
      <c r="J11" s="27">
        <f>$J$45</f>
        <v>1.8433072500822301</v>
      </c>
      <c r="K11" s="27">
        <f t="shared" ref="K11:O11" si="4">$J$45</f>
        <v>1.8433072500822301</v>
      </c>
      <c r="L11" s="27">
        <f t="shared" si="4"/>
        <v>1.8433072500822301</v>
      </c>
      <c r="M11" s="27">
        <f t="shared" si="4"/>
        <v>1.8433072500822301</v>
      </c>
      <c r="N11" s="27">
        <f t="shared" si="4"/>
        <v>1.8433072500822301</v>
      </c>
      <c r="O11" s="27">
        <f t="shared" si="4"/>
        <v>1.8433072500822301</v>
      </c>
    </row>
    <row r="12" spans="1:15">
      <c r="A12" s="1" t="s">
        <v>12</v>
      </c>
      <c r="B12" s="1" t="s">
        <v>17473</v>
      </c>
      <c r="C12" s="1" t="s">
        <v>17474</v>
      </c>
      <c r="D12" s="2" t="s">
        <v>17475</v>
      </c>
      <c r="E12" s="27">
        <f>E43</f>
        <v>41.71661472069048</v>
      </c>
      <c r="F12" s="27">
        <f>F43</f>
        <v>43.992984507453961</v>
      </c>
      <c r="G12" s="27">
        <f t="shared" ref="G12:H12" si="5">G43</f>
        <v>15.965092402464066</v>
      </c>
      <c r="H12" s="27">
        <f t="shared" si="5"/>
        <v>4.6447320963411212</v>
      </c>
      <c r="I12" s="27">
        <f>H12</f>
        <v>4.6447320963411212</v>
      </c>
      <c r="J12" s="27">
        <f>$J$43</f>
        <v>14.976227600234244</v>
      </c>
      <c r="K12" s="27">
        <f t="shared" ref="K12:O12" si="6">$J$43</f>
        <v>14.976227600234244</v>
      </c>
      <c r="L12" s="27">
        <f t="shared" si="6"/>
        <v>14.976227600234244</v>
      </c>
      <c r="M12" s="27">
        <f t="shared" si="6"/>
        <v>14.976227600234244</v>
      </c>
      <c r="N12" s="27">
        <f t="shared" si="6"/>
        <v>14.976227600234244</v>
      </c>
      <c r="O12" s="27">
        <f t="shared" si="6"/>
        <v>14.976227600234244</v>
      </c>
    </row>
    <row r="13" spans="1:15">
      <c r="A13" s="1" t="s">
        <v>12</v>
      </c>
      <c r="B13" s="1" t="s">
        <v>3</v>
      </c>
      <c r="C13" s="1" t="s">
        <v>17476</v>
      </c>
      <c r="D13" s="2" t="s">
        <v>17477</v>
      </c>
      <c r="E13" s="27">
        <f>E44</f>
        <v>32.596478081678534</v>
      </c>
      <c r="F13" s="27">
        <f>F44</f>
        <v>16.794375836929028</v>
      </c>
      <c r="G13" s="27">
        <f t="shared" ref="G13:H13" si="7">G44</f>
        <v>3.9578759823104575</v>
      </c>
      <c r="H13" s="27">
        <f t="shared" si="7"/>
        <v>2.9681417742265928</v>
      </c>
      <c r="I13" s="27">
        <f>H13</f>
        <v>2.9681417742265928</v>
      </c>
      <c r="J13" s="27">
        <f>$J$44</f>
        <v>5.602425520704954</v>
      </c>
      <c r="K13" s="27">
        <f t="shared" ref="K13:O13" si="8">$J$44</f>
        <v>5.602425520704954</v>
      </c>
      <c r="L13" s="27">
        <f t="shared" si="8"/>
        <v>5.602425520704954</v>
      </c>
      <c r="M13" s="27">
        <f t="shared" si="8"/>
        <v>5.602425520704954</v>
      </c>
      <c r="N13" s="27">
        <f t="shared" si="8"/>
        <v>5.602425520704954</v>
      </c>
      <c r="O13" s="27">
        <f t="shared" si="8"/>
        <v>5.602425520704954</v>
      </c>
    </row>
    <row r="14" spans="1:15">
      <c r="A14" s="1" t="s">
        <v>12</v>
      </c>
      <c r="B14" s="1"/>
      <c r="C14" s="1" t="s">
        <v>17478</v>
      </c>
      <c r="D14" s="1" t="s">
        <v>17479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12</v>
      </c>
      <c r="B15" s="1" t="s">
        <v>16692</v>
      </c>
      <c r="C15" s="1" t="s">
        <v>17480</v>
      </c>
      <c r="D15" s="2" t="s">
        <v>17481</v>
      </c>
      <c r="E15" s="31">
        <v>5709</v>
      </c>
      <c r="F15" s="31">
        <v>19758</v>
      </c>
      <c r="G15" s="31">
        <v>13542</v>
      </c>
      <c r="H15" s="31">
        <v>4217</v>
      </c>
      <c r="I15" s="31">
        <v>4217</v>
      </c>
      <c r="J15" s="32">
        <f>INT((J2+J3+J5)/(J10/100))</f>
        <v>6596</v>
      </c>
      <c r="K15" s="32">
        <f t="shared" ref="K15:N15" si="10">INT((K2+K3+K5)/(K10/100))</f>
        <v>33011</v>
      </c>
      <c r="L15" s="32">
        <f t="shared" si="10"/>
        <v>48148</v>
      </c>
      <c r="M15" s="32">
        <f t="shared" si="10"/>
        <v>105561</v>
      </c>
      <c r="N15" s="32">
        <f t="shared" si="10"/>
        <v>108726</v>
      </c>
      <c r="O15" s="32">
        <f t="shared" ref="O15" si="11">INT((O2+O3+O5)/(O10/100))</f>
        <v>110898</v>
      </c>
    </row>
    <row r="16" spans="1:15">
      <c r="A16" s="1" t="s">
        <v>12</v>
      </c>
      <c r="B16" s="1" t="s">
        <v>2</v>
      </c>
      <c r="C16" s="1" t="s">
        <v>17482</v>
      </c>
      <c r="D16" s="2" t="s">
        <v>17483</v>
      </c>
      <c r="E16" s="31">
        <v>2528</v>
      </c>
      <c r="F16" s="31">
        <v>4381</v>
      </c>
      <c r="G16" s="31">
        <v>5847</v>
      </c>
      <c r="H16" s="31">
        <v>4990</v>
      </c>
      <c r="I16" s="31">
        <v>4990</v>
      </c>
      <c r="J16" s="24">
        <f>J4</f>
        <v>2512</v>
      </c>
      <c r="K16" s="24">
        <f t="shared" ref="K16:N16" si="12">K4</f>
        <v>12562</v>
      </c>
      <c r="L16" s="24">
        <f t="shared" si="12"/>
        <v>15496</v>
      </c>
      <c r="M16" s="24">
        <f t="shared" si="12"/>
        <v>33673</v>
      </c>
      <c r="N16" s="24">
        <f t="shared" si="12"/>
        <v>32427</v>
      </c>
      <c r="O16" s="24">
        <f t="shared" ref="O16" si="13">O4</f>
        <v>32970</v>
      </c>
    </row>
    <row r="17" spans="1:16">
      <c r="A17" s="1" t="s">
        <v>17484</v>
      </c>
      <c r="B17" s="1" t="s">
        <v>2</v>
      </c>
      <c r="C17" s="1" t="s">
        <v>17485</v>
      </c>
      <c r="D17" s="8" t="s">
        <v>17486</v>
      </c>
      <c r="E17" s="29">
        <v>8237</v>
      </c>
      <c r="F17" s="29">
        <v>24139</v>
      </c>
      <c r="G17" s="29">
        <v>19389</v>
      </c>
      <c r="H17" s="29">
        <v>9207</v>
      </c>
      <c r="I17" s="29">
        <v>9207</v>
      </c>
      <c r="J17" s="30">
        <f>J15+J16</f>
        <v>9108</v>
      </c>
      <c r="K17" s="30">
        <f t="shared" ref="K17:N17" si="14">K15+K16</f>
        <v>45573</v>
      </c>
      <c r="L17" s="30">
        <f t="shared" si="14"/>
        <v>63644</v>
      </c>
      <c r="M17" s="30">
        <f t="shared" si="14"/>
        <v>139234</v>
      </c>
      <c r="N17" s="30">
        <f t="shared" si="14"/>
        <v>141153</v>
      </c>
      <c r="O17" s="30">
        <f t="shared" ref="O17" si="15">O15+O16</f>
        <v>143868</v>
      </c>
    </row>
    <row r="18" spans="1:16">
      <c r="A18" s="1" t="s">
        <v>12</v>
      </c>
      <c r="B18" s="1" t="s">
        <v>2</v>
      </c>
      <c r="C18" s="1" t="s">
        <v>17487</v>
      </c>
      <c r="D18" s="2" t="s">
        <v>17488</v>
      </c>
      <c r="E18" s="31">
        <v>194</v>
      </c>
      <c r="F18" s="31">
        <v>257</v>
      </c>
      <c r="G18" s="31">
        <v>11112</v>
      </c>
      <c r="H18" s="31">
        <v>8371</v>
      </c>
      <c r="I18" s="31">
        <v>8371</v>
      </c>
      <c r="J18" s="32">
        <f ca="1">J26-J19-J23-J25</f>
        <v>-7631.8022762545215</v>
      </c>
      <c r="K18" s="32">
        <f t="shared" ref="K18:N18" ca="1" si="16">K26-K19-K23-K25</f>
        <v>53567.066374462564</v>
      </c>
      <c r="L18" s="32">
        <f t="shared" ca="1" si="16"/>
        <v>77837.027779380485</v>
      </c>
      <c r="M18" s="32">
        <f t="shared" ca="1" si="16"/>
        <v>200112.95843030367</v>
      </c>
      <c r="N18" s="32">
        <f t="shared" ca="1" si="16"/>
        <v>196751.55740045701</v>
      </c>
      <c r="O18" s="32">
        <f t="shared" ref="O18" ca="1" si="17">O26-O19-O23-O25</f>
        <v>198428.6269840085</v>
      </c>
      <c r="P18" s="222" t="str">
        <f ca="1">IF(AND(J18&gt;=0,K18&gt;=0,L18&gt;=0,M18&gt;=0,N18&gt;=0,O18&gt;=0),"문제없음","문제")</f>
        <v>문제</v>
      </c>
    </row>
    <row r="19" spans="1:16">
      <c r="A19" s="1" t="s">
        <v>12</v>
      </c>
      <c r="B19" s="1" t="s">
        <v>2</v>
      </c>
      <c r="C19" s="1" t="s">
        <v>17489</v>
      </c>
      <c r="D19" s="2" t="s">
        <v>17490</v>
      </c>
      <c r="E19" s="31">
        <v>3315</v>
      </c>
      <c r="F19" s="31">
        <v>11973</v>
      </c>
      <c r="G19" s="31">
        <v>30426</v>
      </c>
      <c r="H19" s="31">
        <v>40541</v>
      </c>
      <c r="I19" s="32">
        <f ca="1">I20+I21</f>
        <v>40541</v>
      </c>
      <c r="J19" s="32">
        <f ca="1">J20+J21</f>
        <v>42289</v>
      </c>
      <c r="K19" s="32">
        <f t="shared" ref="K19:N19" ca="1" si="18">K20+K21</f>
        <v>44155</v>
      </c>
      <c r="L19" s="32">
        <f t="shared" ca="1" si="18"/>
        <v>46145</v>
      </c>
      <c r="M19" s="32">
        <f t="shared" ca="1" si="18"/>
        <v>48269</v>
      </c>
      <c r="N19" s="32">
        <f t="shared" ca="1" si="18"/>
        <v>50535</v>
      </c>
      <c r="O19" s="32">
        <f t="shared" ref="O19" ca="1" si="19">O20+O21</f>
        <v>52952</v>
      </c>
    </row>
    <row r="20" spans="1:16">
      <c r="A20" s="1" t="s">
        <v>12</v>
      </c>
      <c r="B20" s="1" t="s">
        <v>2</v>
      </c>
      <c r="C20" s="1" t="s">
        <v>17491</v>
      </c>
      <c r="D20" s="2" t="s">
        <v>17492</v>
      </c>
      <c r="E20" s="31">
        <v>476</v>
      </c>
      <c r="F20" s="31">
        <v>476</v>
      </c>
      <c r="G20" s="31">
        <v>476</v>
      </c>
      <c r="H20" s="31">
        <v>476</v>
      </c>
      <c r="I20" s="31">
        <v>476</v>
      </c>
      <c r="J20" s="24">
        <f>I20</f>
        <v>476</v>
      </c>
      <c r="K20" s="24">
        <f t="shared" ref="K20:O20" si="20">J20</f>
        <v>476</v>
      </c>
      <c r="L20" s="24">
        <f t="shared" si="20"/>
        <v>476</v>
      </c>
      <c r="M20" s="24">
        <f t="shared" si="20"/>
        <v>476</v>
      </c>
      <c r="N20" s="24">
        <f t="shared" si="20"/>
        <v>476</v>
      </c>
      <c r="O20" s="24">
        <f t="shared" si="20"/>
        <v>476</v>
      </c>
    </row>
    <row r="21" spans="1:16">
      <c r="A21" s="1" t="s">
        <v>12</v>
      </c>
      <c r="B21" s="1" t="s">
        <v>2</v>
      </c>
      <c r="C21" s="1" t="s">
        <v>17493</v>
      </c>
      <c r="D21" s="2" t="s">
        <v>17494</v>
      </c>
      <c r="E21" s="24">
        <f>감가상각추정!E10</f>
        <v>2839</v>
      </c>
      <c r="F21" s="24">
        <f>감가상각추정!F10</f>
        <v>11497</v>
      </c>
      <c r="G21" s="24">
        <f>감가상각추정!G10</f>
        <v>29950</v>
      </c>
      <c r="H21" s="24">
        <f>감가상각추정!H10</f>
        <v>40065</v>
      </c>
      <c r="I21" s="24">
        <f ca="1">감가상각추정!I10</f>
        <v>40065</v>
      </c>
      <c r="J21" s="24">
        <f ca="1">감가상각추정!J10</f>
        <v>41813</v>
      </c>
      <c r="K21" s="24">
        <f ca="1">감가상각추정!K10</f>
        <v>43679</v>
      </c>
      <c r="L21" s="24">
        <f ca="1">감가상각추정!L10</f>
        <v>45669</v>
      </c>
      <c r="M21" s="24">
        <f ca="1">감가상각추정!M10</f>
        <v>47793</v>
      </c>
      <c r="N21" s="24">
        <f ca="1">감가상각추정!N10</f>
        <v>50059</v>
      </c>
      <c r="O21" s="24">
        <f ca="1">감가상각추정!O10</f>
        <v>52476</v>
      </c>
    </row>
    <row r="22" spans="1:16">
      <c r="A22" s="1" t="s">
        <v>12</v>
      </c>
      <c r="B22" s="1" t="s">
        <v>2</v>
      </c>
      <c r="C22" s="1" t="s">
        <v>17495</v>
      </c>
      <c r="D22" s="2" t="s">
        <v>17496</v>
      </c>
      <c r="E22" s="24">
        <f>감가상각추정!E8</f>
        <v>0</v>
      </c>
      <c r="F22" s="24">
        <f>감가상각추정!F8</f>
        <v>825</v>
      </c>
      <c r="G22" s="24">
        <f>감가상각추정!G8</f>
        <v>573</v>
      </c>
      <c r="H22" s="24">
        <f>감가상각추정!H8</f>
        <v>1160</v>
      </c>
      <c r="I22" s="24">
        <f>감가상각추정!I8</f>
        <v>1160</v>
      </c>
      <c r="J22" s="24">
        <f ca="1">감가상각추정!J8</f>
        <v>1504</v>
      </c>
      <c r="K22" s="24">
        <f ca="1">감가상각추정!K8</f>
        <v>1605</v>
      </c>
      <c r="L22" s="24">
        <f ca="1">감가상각추정!L8</f>
        <v>1712</v>
      </c>
      <c r="M22" s="24">
        <f ca="1">감가상각추정!M8</f>
        <v>1827</v>
      </c>
      <c r="N22" s="24">
        <f ca="1">감가상각추정!N8</f>
        <v>1949</v>
      </c>
      <c r="O22" s="24">
        <f ca="1">감가상각추정!O8</f>
        <v>2079</v>
      </c>
    </row>
    <row r="23" spans="1:16">
      <c r="A23" s="1" t="s">
        <v>12</v>
      </c>
      <c r="B23" s="1" t="s">
        <v>16777</v>
      </c>
      <c r="C23" s="1" t="s">
        <v>17497</v>
      </c>
      <c r="D23" s="2" t="s">
        <v>17498</v>
      </c>
      <c r="E23" s="24">
        <f>감가상각추정!E16</f>
        <v>65</v>
      </c>
      <c r="F23" s="24">
        <f>감가상각추정!F16</f>
        <v>515</v>
      </c>
      <c r="G23" s="24">
        <f>감가상각추정!G16</f>
        <v>1589</v>
      </c>
      <c r="H23" s="24">
        <f>감가상각추정!H16</f>
        <v>3471</v>
      </c>
      <c r="I23" s="24">
        <f ca="1">감가상각추정!I16</f>
        <v>3471</v>
      </c>
      <c r="J23" s="24">
        <f ca="1">감가상각추정!J16</f>
        <v>3566</v>
      </c>
      <c r="K23" s="24">
        <f ca="1">감가상각추정!K16</f>
        <v>3663</v>
      </c>
      <c r="L23" s="24">
        <f ca="1">감가상각추정!L16</f>
        <v>3764</v>
      </c>
      <c r="M23" s="24">
        <f ca="1">감가상각추정!M16</f>
        <v>3867</v>
      </c>
      <c r="N23" s="24">
        <f ca="1">감가상각추정!N16</f>
        <v>3972</v>
      </c>
      <c r="O23" s="24">
        <f ca="1">감가상각추정!O16</f>
        <v>4081</v>
      </c>
    </row>
    <row r="24" spans="1:16">
      <c r="A24" s="1" t="s">
        <v>12</v>
      </c>
      <c r="B24" s="1" t="s">
        <v>2</v>
      </c>
      <c r="C24" s="1" t="s">
        <v>17499</v>
      </c>
      <c r="D24" s="2" t="s">
        <v>17500</v>
      </c>
      <c r="E24" s="24">
        <f>감가상각추정!E14</f>
        <v>0</v>
      </c>
      <c r="F24" s="24">
        <f>감가상각추정!F14</f>
        <v>21</v>
      </c>
      <c r="G24" s="24">
        <f>감가상각추정!G14</f>
        <v>27</v>
      </c>
      <c r="H24" s="24">
        <f>감가상각추정!H14</f>
        <v>15</v>
      </c>
      <c r="I24" s="24">
        <f>감가상각추정!I14</f>
        <v>15</v>
      </c>
      <c r="J24" s="24">
        <f ca="1">감가상각추정!J14</f>
        <v>82</v>
      </c>
      <c r="K24" s="24">
        <f ca="1">감가상각추정!K14</f>
        <v>84</v>
      </c>
      <c r="L24" s="24">
        <f ca="1">감가상각추정!L14</f>
        <v>87</v>
      </c>
      <c r="M24" s="24">
        <f ca="1">감가상각추정!M14</f>
        <v>89</v>
      </c>
      <c r="N24" s="24">
        <f ca="1">감가상각추정!N14</f>
        <v>91</v>
      </c>
      <c r="O24" s="24">
        <f ca="1">감가상각추정!O14</f>
        <v>94</v>
      </c>
    </row>
    <row r="25" spans="1:16">
      <c r="A25" s="1" t="s">
        <v>12</v>
      </c>
      <c r="B25" s="1" t="s">
        <v>2</v>
      </c>
      <c r="C25" s="1" t="s">
        <v>17501</v>
      </c>
      <c r="D25" s="2" t="s">
        <v>17502</v>
      </c>
      <c r="E25" s="31">
        <v>96</v>
      </c>
      <c r="F25" s="31">
        <v>173</v>
      </c>
      <c r="G25" s="31">
        <v>1768</v>
      </c>
      <c r="H25" s="31">
        <v>324</v>
      </c>
      <c r="I25" s="31">
        <v>324</v>
      </c>
      <c r="J25" s="32">
        <f ca="1">J26*(J11/100)</f>
        <v>717.8022762545213</v>
      </c>
      <c r="K25" s="32">
        <f t="shared" ref="K25:N25" ca="1" si="21">K26*(K11/100)</f>
        <v>1903.9336255374349</v>
      </c>
      <c r="L25" s="32">
        <f t="shared" ca="1" si="21"/>
        <v>2398.9722206195183</v>
      </c>
      <c r="M25" s="32">
        <f t="shared" ca="1" si="21"/>
        <v>4737.04156969632</v>
      </c>
      <c r="N25" s="32">
        <f t="shared" ca="1" si="21"/>
        <v>4718.4425995429901</v>
      </c>
      <c r="O25" s="32">
        <f t="shared" ref="O25" ca="1" si="22">O26*(O11/100)</f>
        <v>4797.3730159915112</v>
      </c>
    </row>
    <row r="26" spans="1:16">
      <c r="A26" s="1" t="s">
        <v>4</v>
      </c>
      <c r="B26" s="1" t="s">
        <v>16777</v>
      </c>
      <c r="C26" s="1" t="s">
        <v>17503</v>
      </c>
      <c r="D26" s="8" t="s">
        <v>17504</v>
      </c>
      <c r="E26" s="29">
        <v>3670</v>
      </c>
      <c r="F26" s="29">
        <v>12917</v>
      </c>
      <c r="G26" s="29">
        <v>44894</v>
      </c>
      <c r="H26" s="29">
        <v>52706</v>
      </c>
      <c r="I26" s="29">
        <v>52706</v>
      </c>
      <c r="J26" s="30">
        <f ca="1">J27-J17</f>
        <v>38941</v>
      </c>
      <c r="K26" s="30">
        <f t="shared" ref="K26:N26" ca="1" si="23">K27-K17</f>
        <v>103289</v>
      </c>
      <c r="L26" s="30">
        <f t="shared" ca="1" si="23"/>
        <v>130145</v>
      </c>
      <c r="M26" s="30">
        <f t="shared" ca="1" si="23"/>
        <v>256986</v>
      </c>
      <c r="N26" s="30">
        <f t="shared" ca="1" si="23"/>
        <v>255977</v>
      </c>
      <c r="O26" s="30">
        <f t="shared" ref="O26" ca="1" si="24">O27-O17</f>
        <v>260259</v>
      </c>
    </row>
    <row r="27" spans="1:16">
      <c r="A27" s="1" t="s">
        <v>17484</v>
      </c>
      <c r="B27" s="1" t="s">
        <v>16793</v>
      </c>
      <c r="C27" s="1" t="s">
        <v>17505</v>
      </c>
      <c r="D27" s="8" t="s">
        <v>17506</v>
      </c>
      <c r="E27" s="29">
        <v>11908</v>
      </c>
      <c r="F27" s="29">
        <v>37057</v>
      </c>
      <c r="G27" s="29">
        <v>64283</v>
      </c>
      <c r="H27" s="29">
        <v>61913</v>
      </c>
      <c r="I27" s="29">
        <v>61913</v>
      </c>
      <c r="J27" s="36">
        <f ca="1">J37</f>
        <v>48049</v>
      </c>
      <c r="K27" s="36">
        <f t="shared" ref="K27:N27" ca="1" si="25">K37</f>
        <v>148862</v>
      </c>
      <c r="L27" s="36">
        <f t="shared" ca="1" si="25"/>
        <v>193789</v>
      </c>
      <c r="M27" s="36">
        <f t="shared" ca="1" si="25"/>
        <v>396220</v>
      </c>
      <c r="N27" s="36">
        <f t="shared" ca="1" si="25"/>
        <v>397130</v>
      </c>
      <c r="O27" s="36">
        <f t="shared" ref="O27" ca="1" si="26">O37</f>
        <v>404127</v>
      </c>
    </row>
    <row r="28" spans="1:16">
      <c r="A28" s="1" t="s">
        <v>12</v>
      </c>
      <c r="B28" s="1" t="s">
        <v>2</v>
      </c>
      <c r="C28" s="1" t="s">
        <v>17507</v>
      </c>
      <c r="D28" s="2" t="s">
        <v>17508</v>
      </c>
      <c r="E28" s="31">
        <v>4171</v>
      </c>
      <c r="F28" s="31">
        <v>10263</v>
      </c>
      <c r="G28" s="31">
        <v>7792</v>
      </c>
      <c r="H28" s="31">
        <v>24953</v>
      </c>
      <c r="I28" s="31">
        <v>24953</v>
      </c>
      <c r="J28" s="32">
        <f>INT((J6+J7+J8)/(J12/100))</f>
        <v>9421</v>
      </c>
      <c r="K28" s="32">
        <f t="shared" ref="K28:N28" si="27">INT((K6+K7+K8)/(K12/100))</f>
        <v>47134</v>
      </c>
      <c r="L28" s="32">
        <f t="shared" si="27"/>
        <v>63941</v>
      </c>
      <c r="M28" s="32">
        <f t="shared" si="27"/>
        <v>139668</v>
      </c>
      <c r="N28" s="32">
        <f t="shared" si="27"/>
        <v>140008</v>
      </c>
      <c r="O28" s="32">
        <f t="shared" ref="O28" si="28">INT((O6+O7+O8)/(O12/100))</f>
        <v>142626</v>
      </c>
    </row>
    <row r="29" spans="1:16">
      <c r="A29" s="1" t="s">
        <v>12</v>
      </c>
      <c r="B29" s="1" t="s">
        <v>16692</v>
      </c>
      <c r="C29" s="1" t="s">
        <v>17509</v>
      </c>
      <c r="D29" s="2" t="s">
        <v>17510</v>
      </c>
      <c r="E29" s="31">
        <v>1167</v>
      </c>
      <c r="F29" s="31">
        <v>16621</v>
      </c>
      <c r="G29" s="31">
        <v>23640</v>
      </c>
      <c r="H29" s="31">
        <v>14095</v>
      </c>
      <c r="I29" s="31">
        <v>14095</v>
      </c>
      <c r="J29" s="32">
        <f>J30-J28</f>
        <v>15764</v>
      </c>
      <c r="K29" s="32">
        <f t="shared" ref="K29:N29" si="29">K30-K28</f>
        <v>78864</v>
      </c>
      <c r="L29" s="32">
        <f t="shared" si="29"/>
        <v>106984</v>
      </c>
      <c r="M29" s="32">
        <f t="shared" si="29"/>
        <v>233688</v>
      </c>
      <c r="N29" s="32">
        <f t="shared" si="29"/>
        <v>234258</v>
      </c>
      <c r="O29" s="32">
        <f t="shared" ref="O29" si="30">O30-O28</f>
        <v>238637</v>
      </c>
    </row>
    <row r="30" spans="1:16">
      <c r="A30" s="1" t="s">
        <v>16697</v>
      </c>
      <c r="B30" s="1" t="s">
        <v>2</v>
      </c>
      <c r="C30" s="1" t="s">
        <v>17511</v>
      </c>
      <c r="D30" s="8" t="s">
        <v>17512</v>
      </c>
      <c r="E30" s="29">
        <v>5338</v>
      </c>
      <c r="F30" s="29">
        <v>26884</v>
      </c>
      <c r="G30" s="29">
        <v>31431</v>
      </c>
      <c r="H30" s="29">
        <v>39048</v>
      </c>
      <c r="I30" s="29">
        <v>39048</v>
      </c>
      <c r="J30" s="30">
        <f>INT((J6+J7+J8)/(J13/100))</f>
        <v>25185</v>
      </c>
      <c r="K30" s="30">
        <f t="shared" ref="K30:N30" si="31">INT((K6+K7+K8)/(K13/100))</f>
        <v>125998</v>
      </c>
      <c r="L30" s="30">
        <f t="shared" si="31"/>
        <v>170925</v>
      </c>
      <c r="M30" s="30">
        <f t="shared" si="31"/>
        <v>373356</v>
      </c>
      <c r="N30" s="30">
        <f t="shared" si="31"/>
        <v>374266</v>
      </c>
      <c r="O30" s="30">
        <f t="shared" ref="O30" si="32">INT((O6+O7+O8)/(O13/100))</f>
        <v>381263</v>
      </c>
    </row>
    <row r="31" spans="1:16">
      <c r="A31" s="1" t="s">
        <v>12</v>
      </c>
      <c r="B31" s="1" t="s">
        <v>2</v>
      </c>
      <c r="C31" s="1" t="s">
        <v>17513</v>
      </c>
      <c r="D31" s="2" t="s">
        <v>17514</v>
      </c>
      <c r="E31" s="31">
        <v>300</v>
      </c>
      <c r="F31" s="31">
        <v>368</v>
      </c>
      <c r="G31" s="31">
        <v>753</v>
      </c>
      <c r="H31" s="31">
        <v>753</v>
      </c>
      <c r="I31" s="31">
        <v>753</v>
      </c>
      <c r="J31" s="24">
        <f>I31</f>
        <v>753</v>
      </c>
      <c r="K31" s="24">
        <f t="shared" ref="K31:O31" si="33">J31</f>
        <v>753</v>
      </c>
      <c r="L31" s="24">
        <f t="shared" si="33"/>
        <v>753</v>
      </c>
      <c r="M31" s="24">
        <f t="shared" si="33"/>
        <v>753</v>
      </c>
      <c r="N31" s="24">
        <f t="shared" si="33"/>
        <v>753</v>
      </c>
      <c r="O31" s="24">
        <f t="shared" si="33"/>
        <v>753</v>
      </c>
    </row>
    <row r="32" spans="1:16">
      <c r="A32" s="1" t="s">
        <v>12</v>
      </c>
      <c r="B32" s="1" t="s">
        <v>16692</v>
      </c>
      <c r="C32" s="1" t="s">
        <v>17515</v>
      </c>
      <c r="D32" s="2" t="s">
        <v>17516</v>
      </c>
      <c r="E32" s="31"/>
      <c r="F32" s="31">
        <v>3090</v>
      </c>
      <c r="G32" s="31">
        <v>28683</v>
      </c>
      <c r="H32" s="31">
        <v>28683</v>
      </c>
      <c r="I32" s="31">
        <v>28683</v>
      </c>
      <c r="J32" s="24">
        <f>I32</f>
        <v>28683</v>
      </c>
      <c r="K32" s="24">
        <f>J32</f>
        <v>28683</v>
      </c>
      <c r="L32" s="24">
        <f t="shared" ref="L32:O32" si="34">K32</f>
        <v>28683</v>
      </c>
      <c r="M32" s="24">
        <f t="shared" si="34"/>
        <v>28683</v>
      </c>
      <c r="N32" s="24">
        <f t="shared" si="34"/>
        <v>28683</v>
      </c>
      <c r="O32" s="24">
        <f t="shared" si="34"/>
        <v>28683</v>
      </c>
    </row>
    <row r="33" spans="1:19">
      <c r="A33" s="1" t="s">
        <v>12</v>
      </c>
      <c r="B33" s="1" t="s">
        <v>16692</v>
      </c>
      <c r="C33" s="1" t="s">
        <v>17517</v>
      </c>
      <c r="D33" s="2" t="s">
        <v>17518</v>
      </c>
      <c r="E33" s="31"/>
      <c r="F33" s="31"/>
      <c r="G33" s="31"/>
      <c r="H33" s="31"/>
      <c r="I33" s="31"/>
      <c r="J33" s="24">
        <f>I33</f>
        <v>0</v>
      </c>
      <c r="K33" s="24">
        <f t="shared" ref="K33:O33" si="35">J33</f>
        <v>0</v>
      </c>
      <c r="L33" s="24">
        <f t="shared" si="35"/>
        <v>0</v>
      </c>
      <c r="M33" s="24">
        <f t="shared" si="35"/>
        <v>0</v>
      </c>
      <c r="N33" s="24">
        <f t="shared" si="35"/>
        <v>0</v>
      </c>
      <c r="O33" s="24">
        <f t="shared" si="35"/>
        <v>0</v>
      </c>
    </row>
    <row r="34" spans="1:19">
      <c r="A34" s="1" t="s">
        <v>12</v>
      </c>
      <c r="B34" s="1" t="s">
        <v>16698</v>
      </c>
      <c r="C34" s="1" t="s">
        <v>17519</v>
      </c>
      <c r="D34" s="2" t="s">
        <v>17520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12</v>
      </c>
      <c r="B35" s="1" t="s">
        <v>2</v>
      </c>
      <c r="C35" s="1" t="s">
        <v>17521</v>
      </c>
      <c r="D35" s="2" t="s">
        <v>17522</v>
      </c>
      <c r="E35" s="31">
        <v>6270</v>
      </c>
      <c r="F35" s="31">
        <v>6714</v>
      </c>
      <c r="G35" s="31">
        <v>3415</v>
      </c>
      <c r="H35" s="31">
        <v>-6572</v>
      </c>
      <c r="I35" s="31">
        <v>-6572</v>
      </c>
      <c r="J35" s="32">
        <f ca="1">I35+J9</f>
        <v>-6572</v>
      </c>
      <c r="K35" s="32">
        <f ca="1">J35+K9</f>
        <v>-6572</v>
      </c>
      <c r="L35" s="32">
        <f t="shared" ref="L35:O35" ca="1" si="37">K35+L9</f>
        <v>-6572</v>
      </c>
      <c r="M35" s="32">
        <f t="shared" ca="1" si="37"/>
        <v>-6572</v>
      </c>
      <c r="N35" s="32">
        <f t="shared" ca="1" si="37"/>
        <v>-6572</v>
      </c>
      <c r="O35" s="32">
        <f t="shared" ca="1" si="37"/>
        <v>-6572</v>
      </c>
    </row>
    <row r="36" spans="1:19">
      <c r="A36" s="1" t="s">
        <v>17484</v>
      </c>
      <c r="B36" s="1" t="s">
        <v>16790</v>
      </c>
      <c r="C36" s="1" t="s">
        <v>17523</v>
      </c>
      <c r="D36" s="8" t="s">
        <v>17524</v>
      </c>
      <c r="E36" s="29">
        <v>6570</v>
      </c>
      <c r="F36" s="29">
        <v>10173</v>
      </c>
      <c r="G36" s="29">
        <v>32851</v>
      </c>
      <c r="H36" s="29">
        <v>22865</v>
      </c>
      <c r="I36" s="29">
        <v>22865</v>
      </c>
      <c r="J36" s="30">
        <f ca="1">SUM(J31:J35)</f>
        <v>22864</v>
      </c>
      <c r="K36" s="30">
        <f t="shared" ref="K36:N36" ca="1" si="38">SUM(K31:K35)</f>
        <v>22864</v>
      </c>
      <c r="L36" s="30">
        <f t="shared" ca="1" si="38"/>
        <v>22864</v>
      </c>
      <c r="M36" s="30">
        <f t="shared" ca="1" si="38"/>
        <v>22864</v>
      </c>
      <c r="N36" s="30">
        <f t="shared" ca="1" si="38"/>
        <v>22864</v>
      </c>
      <c r="O36" s="30">
        <f t="shared" ref="O36" ca="1" si="39">SUM(O31:O35)</f>
        <v>22864</v>
      </c>
    </row>
    <row r="37" spans="1:19" ht="17.25" thickBot="1">
      <c r="A37" s="1" t="s">
        <v>4</v>
      </c>
      <c r="B37" s="1" t="s">
        <v>16692</v>
      </c>
      <c r="C37" s="1" t="s">
        <v>17525</v>
      </c>
      <c r="D37" s="8" t="s">
        <v>17526</v>
      </c>
      <c r="E37" s="29">
        <v>11908</v>
      </c>
      <c r="F37" s="29">
        <v>37057</v>
      </c>
      <c r="G37" s="29">
        <v>64283</v>
      </c>
      <c r="H37" s="29">
        <v>61913</v>
      </c>
      <c r="I37" s="29">
        <v>61913</v>
      </c>
      <c r="J37" s="30">
        <f ca="1">J30+J36</f>
        <v>48049</v>
      </c>
      <c r="K37" s="30">
        <f t="shared" ref="K37:N37" ca="1" si="40">K30+K36</f>
        <v>148862</v>
      </c>
      <c r="L37" s="30">
        <f t="shared" ca="1" si="40"/>
        <v>193789</v>
      </c>
      <c r="M37" s="30">
        <f t="shared" ca="1" si="40"/>
        <v>396220</v>
      </c>
      <c r="N37" s="30">
        <f t="shared" ca="1" si="40"/>
        <v>397130</v>
      </c>
      <c r="O37" s="30">
        <f t="shared" ref="O37" ca="1" si="41">O30+O36</f>
        <v>404127</v>
      </c>
    </row>
    <row r="38" spans="1:19">
      <c r="D38" s="184" t="s">
        <v>72</v>
      </c>
      <c r="E38" s="196">
        <f>100*(E30/E36)</f>
        <v>81.248097412480973</v>
      </c>
      <c r="F38" s="196">
        <f t="shared" ref="F38:O38" si="42">100*(F30/F36)</f>
        <v>264.26816081785114</v>
      </c>
      <c r="G38" s="196">
        <f t="shared" si="42"/>
        <v>95.677452741164643</v>
      </c>
      <c r="H38" s="196">
        <f t="shared" si="42"/>
        <v>170.77629564837088</v>
      </c>
      <c r="I38" s="196">
        <f t="shared" si="42"/>
        <v>170.77629564837088</v>
      </c>
      <c r="J38" s="196">
        <f t="shared" ca="1" si="42"/>
        <v>110.15132960111967</v>
      </c>
      <c r="K38" s="196">
        <f t="shared" ca="1" si="42"/>
        <v>551.07592722183347</v>
      </c>
      <c r="L38" s="196">
        <f t="shared" ca="1" si="42"/>
        <v>747.57260321903425</v>
      </c>
      <c r="M38" s="196">
        <f t="shared" ca="1" si="42"/>
        <v>1632.9426172148355</v>
      </c>
      <c r="N38" s="196">
        <f t="shared" ca="1" si="42"/>
        <v>1636.9226731980405</v>
      </c>
      <c r="O38" s="197">
        <f t="shared" ca="1" si="42"/>
        <v>1667.5253673897832</v>
      </c>
      <c r="Q38" s="56" t="s">
        <v>0</v>
      </c>
    </row>
    <row r="39" spans="1:19">
      <c r="D39" s="185" t="s">
        <v>73</v>
      </c>
      <c r="E39" s="198">
        <f>100*(E17/E28)</f>
        <v>197.4826180771997</v>
      </c>
      <c r="F39" s="198">
        <f t="shared" ref="F39:O39" si="43">100*(F17/F28)</f>
        <v>235.20413134561045</v>
      </c>
      <c r="G39" s="198">
        <f t="shared" si="43"/>
        <v>248.83213552361397</v>
      </c>
      <c r="H39" s="198">
        <f t="shared" si="43"/>
        <v>36.8973670500541</v>
      </c>
      <c r="I39" s="198">
        <f t="shared" si="43"/>
        <v>36.8973670500541</v>
      </c>
      <c r="J39" s="198">
        <f t="shared" si="43"/>
        <v>96.677635070586987</v>
      </c>
      <c r="K39" s="198">
        <f t="shared" si="43"/>
        <v>96.688165655365552</v>
      </c>
      <c r="L39" s="198">
        <f t="shared" si="43"/>
        <v>99.535509297633752</v>
      </c>
      <c r="M39" s="198">
        <f t="shared" si="43"/>
        <v>99.689263109660047</v>
      </c>
      <c r="N39" s="198">
        <f t="shared" si="43"/>
        <v>100.81781041083366</v>
      </c>
      <c r="O39" s="199">
        <f t="shared" si="43"/>
        <v>100.87080896891169</v>
      </c>
      <c r="Q39" s="57">
        <f ca="1">+민감도!B7</f>
        <v>-3237369.4615647378</v>
      </c>
    </row>
    <row r="40" spans="1:19" ht="17.25" thickBot="1">
      <c r="D40" s="186" t="s">
        <v>74</v>
      </c>
      <c r="E40" s="200">
        <f>100*((E36-(E31+E32))/(E31+E32))</f>
        <v>2090</v>
      </c>
      <c r="F40" s="200">
        <f t="shared" ref="F40:O40" si="44">100*((F36-(F31+F32))/(F31+F32))</f>
        <v>194.18739155581261</v>
      </c>
      <c r="G40" s="200">
        <f t="shared" si="44"/>
        <v>11.601440413099606</v>
      </c>
      <c r="H40" s="200">
        <f t="shared" si="44"/>
        <v>-22.323005843185214</v>
      </c>
      <c r="I40" s="200">
        <f t="shared" si="44"/>
        <v>-22.323005843185214</v>
      </c>
      <c r="J40" s="200">
        <f t="shared" ca="1" si="44"/>
        <v>-22.326403043891833</v>
      </c>
      <c r="K40" s="200">
        <f t="shared" ca="1" si="44"/>
        <v>-22.326403043891833</v>
      </c>
      <c r="L40" s="200">
        <f t="shared" ca="1" si="44"/>
        <v>-22.326403043891833</v>
      </c>
      <c r="M40" s="200">
        <f t="shared" ca="1" si="44"/>
        <v>-22.326403043891833</v>
      </c>
      <c r="N40" s="198">
        <f t="shared" ca="1" si="44"/>
        <v>-22.326403043891833</v>
      </c>
      <c r="O40" s="199">
        <f t="shared" ca="1" si="44"/>
        <v>-22.326403043891833</v>
      </c>
    </row>
    <row r="41" spans="1:19">
      <c r="A41" s="367">
        <f>ROW(C45)-ROW(C41)</f>
        <v>4</v>
      </c>
      <c r="B41" s="1"/>
      <c r="C41" s="1" t="s">
        <v>17527</v>
      </c>
      <c r="D41" s="1" t="s">
        <v>17528</v>
      </c>
      <c r="E41" s="1" t="s">
        <v>16473</v>
      </c>
      <c r="F41" s="1" t="s">
        <v>16475</v>
      </c>
      <c r="G41" s="1" t="s">
        <v>16477</v>
      </c>
      <c r="H41" s="1" t="s">
        <v>16480</v>
      </c>
      <c r="I41" s="1" t="s">
        <v>16826</v>
      </c>
      <c r="J41" s="367"/>
      <c r="K41" s="120"/>
      <c r="L41" s="116" t="s">
        <v>23</v>
      </c>
      <c r="N41" s="126" t="s">
        <v>30</v>
      </c>
      <c r="O41" s="126" t="s">
        <v>31</v>
      </c>
      <c r="P41" s="126" t="s">
        <v>32</v>
      </c>
      <c r="Q41" s="126" t="s">
        <v>31</v>
      </c>
      <c r="R41" s="126" t="s">
        <v>33</v>
      </c>
      <c r="S41" s="126" t="s">
        <v>34</v>
      </c>
    </row>
    <row r="42" spans="1:19">
      <c r="A42" s="1" t="s">
        <v>12</v>
      </c>
      <c r="B42" s="1" t="s">
        <v>17529</v>
      </c>
      <c r="C42" s="1" t="s">
        <v>17530</v>
      </c>
      <c r="D42" s="2" t="s">
        <v>17531</v>
      </c>
      <c r="E42" s="28">
        <f>IF((E2+E3+E5)=0,0,(E2+E3+E5)/E15*100)</f>
        <v>42.879663688912245</v>
      </c>
      <c r="F42" s="28">
        <f>IF((F2+F3+F5)=0,0,(F2+F3+F5)/F15*100)</f>
        <v>22.790768296386275</v>
      </c>
      <c r="G42" s="28">
        <f>IF((G2+G3+G5)=0,0,(G2+G3+G5)/G15*100)</f>
        <v>6.5204548811106182</v>
      </c>
      <c r="H42" s="28">
        <f>IF((H2+H3+H5)=0,0,(H2+H3+H5)/H15*100)</f>
        <v>24.709509129713066</v>
      </c>
      <c r="I42" s="28">
        <f>(F42+G42*2+H42*3)/6</f>
        <v>18.326700907957783</v>
      </c>
      <c r="J42" s="368">
        <f>I42</f>
        <v>18.326700907957783</v>
      </c>
      <c r="K42" s="92">
        <f>(E42+F42*2+G42*3)/6</f>
        <v>18.00376082083611</v>
      </c>
      <c r="L42" s="159"/>
      <c r="N42" s="117">
        <f>AVERAGE(E42:H42)</f>
        <v>24.225098999030553</v>
      </c>
      <c r="O42" s="117">
        <f>AVERAGE(F42:H42)</f>
        <v>18.006910769069986</v>
      </c>
      <c r="P42" s="117">
        <f>AVERAGE(G42:H42)</f>
        <v>15.614982005411843</v>
      </c>
      <c r="Q42" s="117">
        <f>AVERAGE(E42:G42)</f>
        <v>24.063628955469714</v>
      </c>
      <c r="R42" s="117">
        <f>(4*H42+3*G42+2*F42+E42)/10</f>
        <v>20.686060144386893</v>
      </c>
      <c r="S42" s="158">
        <f>(2*H42+G42)/3</f>
        <v>18.646491046845583</v>
      </c>
    </row>
    <row r="43" spans="1:19">
      <c r="A43" s="1" t="s">
        <v>12</v>
      </c>
      <c r="B43" s="1" t="s">
        <v>17529</v>
      </c>
      <c r="C43" s="1" t="s">
        <v>17532</v>
      </c>
      <c r="D43" s="2" t="s">
        <v>17533</v>
      </c>
      <c r="E43" s="28">
        <f>IF((E6+E7+E8)=0,0,(E6+E7+E8)/E28*100)</f>
        <v>41.71661472069048</v>
      </c>
      <c r="F43" s="28">
        <f>IF((F6+F7+F8)=0,0,(F6+F7+F8)/F28*100)</f>
        <v>43.992984507453961</v>
      </c>
      <c r="G43" s="28">
        <f>IF((G6+G7+G8)=0,0,(G6+G7+G8)/G28*100)</f>
        <v>15.965092402464066</v>
      </c>
      <c r="H43" s="28">
        <f>IF((H6+H7+H8)=0,0,(H6+H7+H8)/H28*100)</f>
        <v>4.6447320963411212</v>
      </c>
      <c r="I43" s="28">
        <f t="shared" ref="I43:I45" si="45">(F43+G43*2+H43*3)/6</f>
        <v>14.976227600234244</v>
      </c>
      <c r="J43" s="368">
        <f>I43</f>
        <v>14.976227600234244</v>
      </c>
      <c r="K43" s="92">
        <f t="shared" ref="K43:K45" si="46">(E43+F43*2+G43*3)/6</f>
        <v>29.599643490498437</v>
      </c>
      <c r="L43" s="159"/>
      <c r="N43" s="117">
        <f>AVERAGE(E43:H43)</f>
        <v>26.579855931737406</v>
      </c>
      <c r="O43" s="117">
        <f>AVERAGE(F43:H43)</f>
        <v>21.534269668753051</v>
      </c>
      <c r="P43" s="117">
        <f>AVERAGE(G43:H43)</f>
        <v>10.304912249402594</v>
      </c>
      <c r="Q43" s="117">
        <f>AVERAGE(E43:G43)</f>
        <v>33.891563876869505</v>
      </c>
      <c r="R43" s="117">
        <f>(4*H43+3*G43+2*F43+E43)/10</f>
        <v>19.61767893283551</v>
      </c>
      <c r="S43" s="158">
        <f>(2*H43+G43)/3</f>
        <v>8.4181855317154355</v>
      </c>
    </row>
    <row r="44" spans="1:19">
      <c r="A44" s="1" t="s">
        <v>12</v>
      </c>
      <c r="B44" s="1" t="s">
        <v>16989</v>
      </c>
      <c r="C44" s="1" t="s">
        <v>17534</v>
      </c>
      <c r="D44" s="2" t="s">
        <v>17535</v>
      </c>
      <c r="E44" s="28">
        <f>IF((E6+E7+E8)=0,0,(E6+E7+E8)/E30*100)</f>
        <v>32.596478081678534</v>
      </c>
      <c r="F44" s="28">
        <f>IF((F6+F7+F8)=0,0,(F6+F7+F8)/F30*100)</f>
        <v>16.794375836929028</v>
      </c>
      <c r="G44" s="28">
        <f>IF((G6+G7+G8)=0,0,(G6+G7+G8)/G30*100)</f>
        <v>3.9578759823104575</v>
      </c>
      <c r="H44" s="28">
        <f>IF((H6+H7+H8)=0,0,(H6+H7+H8)/H30*100)</f>
        <v>2.9681417742265928</v>
      </c>
      <c r="I44" s="28">
        <f t="shared" si="45"/>
        <v>5.602425520704954</v>
      </c>
      <c r="J44" s="368">
        <f>I44</f>
        <v>5.602425520704954</v>
      </c>
      <c r="K44" s="92">
        <f t="shared" si="46"/>
        <v>13.009809617077996</v>
      </c>
      <c r="L44" s="159"/>
      <c r="N44" s="117">
        <f>AVERAGE(E44:H44)</f>
        <v>14.079217918786153</v>
      </c>
      <c r="O44" s="117">
        <f>AVERAGE(F44:H44)</f>
        <v>7.9067978644886923</v>
      </c>
      <c r="P44" s="117">
        <f>AVERAGE(G44:H44)</f>
        <v>3.4630088782685249</v>
      </c>
      <c r="Q44" s="117">
        <f>AVERAGE(E44:G44)</f>
        <v>17.782909966972671</v>
      </c>
      <c r="R44" s="117">
        <f>(4*H44+3*G44+2*F44+E44)/10</f>
        <v>8.9931424799374327</v>
      </c>
      <c r="S44" s="158">
        <f>(2*H44+G44)/3</f>
        <v>3.2980531769212145</v>
      </c>
    </row>
    <row r="45" spans="1:19">
      <c r="A45" s="1" t="s">
        <v>12</v>
      </c>
      <c r="B45" s="1" t="s">
        <v>3</v>
      </c>
      <c r="C45" s="1" t="s">
        <v>17536</v>
      </c>
      <c r="D45" s="2" t="s">
        <v>17537</v>
      </c>
      <c r="E45" s="28">
        <f>IF(E25=0,0,E25/E26*100)</f>
        <v>2.6158038147138964</v>
      </c>
      <c r="F45" s="28">
        <f>IF(F25=0,0,F25/F26*100)</f>
        <v>1.3393202756057909</v>
      </c>
      <c r="G45" s="28">
        <f>IF(G25=0,0,G25/G26*100)</f>
        <v>3.938165456408429</v>
      </c>
      <c r="H45" s="28">
        <f>IF(H25=0,0,H25/H26*100)</f>
        <v>0.61473077069024396</v>
      </c>
      <c r="I45" s="28">
        <f t="shared" si="45"/>
        <v>1.8433072500822301</v>
      </c>
      <c r="J45" s="368">
        <f>I45</f>
        <v>1.8433072500822301</v>
      </c>
      <c r="K45" s="92">
        <f t="shared" si="46"/>
        <v>2.8514901225251279</v>
      </c>
      <c r="L45" s="159"/>
      <c r="N45" s="117">
        <f>AVERAGE(E45:H45)</f>
        <v>2.12700507935459</v>
      </c>
      <c r="O45" s="117">
        <f>AVERAGE(F45:H45)</f>
        <v>1.9640721675681547</v>
      </c>
      <c r="P45" s="117">
        <f>AVERAGE(G45:H45)</f>
        <v>2.2764481135493364</v>
      </c>
      <c r="Q45" s="117">
        <f>AVERAGE(E45:G45)</f>
        <v>2.6310965155760386</v>
      </c>
      <c r="R45" s="117">
        <f>(4*H45+3*G45+2*F45+E45)/10</f>
        <v>1.9567863817911739</v>
      </c>
      <c r="S45" s="158">
        <f>(2*H45+G45)/3</f>
        <v>1.7225423325963056</v>
      </c>
    </row>
    <row r="47" spans="1:19" ht="17.25" thickBot="1">
      <c r="D47" s="8" t="s">
        <v>53</v>
      </c>
    </row>
    <row r="48" spans="1:19">
      <c r="D48" s="167" t="str">
        <f t="shared" ref="D48" si="47">D23</f>
        <v>[D60220]  무형자산(계)</v>
      </c>
      <c r="E48" s="190">
        <f t="shared" ref="E48:I48" si="48">E23</f>
        <v>65</v>
      </c>
      <c r="F48" s="190">
        <f t="shared" ref="F48" si="49">F23</f>
        <v>515</v>
      </c>
      <c r="G48" s="190">
        <f t="shared" si="48"/>
        <v>1589</v>
      </c>
      <c r="H48" s="190">
        <f t="shared" si="48"/>
        <v>3471</v>
      </c>
      <c r="I48" s="191">
        <f t="shared" ca="1" si="48"/>
        <v>3471</v>
      </c>
    </row>
    <row r="49" spans="4:9">
      <c r="D49" s="168" t="str">
        <f t="shared" ref="D49" si="50">D19</f>
        <v>[D60180]  유형자산(계)</v>
      </c>
      <c r="E49" s="192">
        <f t="shared" ref="E49:I49" si="51">E19</f>
        <v>3315</v>
      </c>
      <c r="F49" s="192">
        <f t="shared" ref="F49" si="52">F19</f>
        <v>11973</v>
      </c>
      <c r="G49" s="192">
        <f t="shared" si="51"/>
        <v>30426</v>
      </c>
      <c r="H49" s="192">
        <f t="shared" si="51"/>
        <v>40541</v>
      </c>
      <c r="I49" s="193">
        <f t="shared" ca="1" si="51"/>
        <v>40541</v>
      </c>
    </row>
    <row r="50" spans="4:9">
      <c r="D50" s="168" t="str">
        <f t="shared" ref="D50" si="53">D18</f>
        <v>[D60170]  투자자산(계)</v>
      </c>
      <c r="E50" s="192">
        <f t="shared" ref="E50:I50" si="54">E18</f>
        <v>194</v>
      </c>
      <c r="F50" s="192">
        <f t="shared" ref="F50" si="55">F18</f>
        <v>257</v>
      </c>
      <c r="G50" s="192">
        <f t="shared" si="54"/>
        <v>11112</v>
      </c>
      <c r="H50" s="192">
        <f t="shared" si="54"/>
        <v>8371</v>
      </c>
      <c r="I50" s="193">
        <f t="shared" si="54"/>
        <v>8371</v>
      </c>
    </row>
    <row r="51" spans="4:9">
      <c r="D51" s="168" t="str">
        <f t="shared" ref="D51" si="56">D16</f>
        <v>[D60150]  재고자산(계)</v>
      </c>
      <c r="E51" s="192">
        <f t="shared" ref="E51:I51" si="57">E16</f>
        <v>2528</v>
      </c>
      <c r="F51" s="192">
        <f t="shared" ref="F51" si="58">F16</f>
        <v>4381</v>
      </c>
      <c r="G51" s="192">
        <f t="shared" si="57"/>
        <v>5847</v>
      </c>
      <c r="H51" s="192">
        <f t="shared" si="57"/>
        <v>4990</v>
      </c>
      <c r="I51" s="193">
        <f t="shared" si="57"/>
        <v>4990</v>
      </c>
    </row>
    <row r="52" spans="4:9" ht="17.25" thickBot="1">
      <c r="D52" s="169" t="str">
        <f t="shared" ref="D52" si="59">D15</f>
        <v>[D60140]  당좌자산(계)</v>
      </c>
      <c r="E52" s="194">
        <f t="shared" ref="E52:I52" si="60">E15</f>
        <v>5709</v>
      </c>
      <c r="F52" s="194">
        <f t="shared" ref="F52" si="61">F15</f>
        <v>19758</v>
      </c>
      <c r="G52" s="194">
        <f t="shared" si="60"/>
        <v>13542</v>
      </c>
      <c r="H52" s="194">
        <f t="shared" si="60"/>
        <v>4217</v>
      </c>
      <c r="I52" s="195">
        <f t="shared" si="60"/>
        <v>4217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71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90">
        <f t="shared" ref="E60:I60" si="63">E35</f>
        <v>6270</v>
      </c>
      <c r="F60" s="190">
        <f t="shared" ref="F60" si="64">F35</f>
        <v>6714</v>
      </c>
      <c r="G60" s="190">
        <f t="shared" si="63"/>
        <v>3415</v>
      </c>
      <c r="H60" s="190">
        <f t="shared" si="63"/>
        <v>-6572</v>
      </c>
      <c r="I60" s="191">
        <f t="shared" si="63"/>
        <v>-6572</v>
      </c>
    </row>
    <row r="61" spans="4:9">
      <c r="D61" s="168" t="str">
        <f t="shared" ref="D61" si="65">D32</f>
        <v>[D60310]  자본잉여금</v>
      </c>
      <c r="E61" s="192">
        <f t="shared" ref="E61:I61" si="66">E32</f>
        <v>0</v>
      </c>
      <c r="F61" s="192">
        <f t="shared" ref="F61" si="67">F32</f>
        <v>3090</v>
      </c>
      <c r="G61" s="192">
        <f t="shared" si="66"/>
        <v>28683</v>
      </c>
      <c r="H61" s="192">
        <f t="shared" si="66"/>
        <v>28683</v>
      </c>
      <c r="I61" s="193">
        <f t="shared" si="66"/>
        <v>28683</v>
      </c>
    </row>
    <row r="62" spans="4:9">
      <c r="D62" s="168" t="str">
        <f t="shared" ref="D62" si="68">D31</f>
        <v>[D60300]  자본금</v>
      </c>
      <c r="E62" s="192">
        <f t="shared" ref="E62:I62" si="69">E31</f>
        <v>300</v>
      </c>
      <c r="F62" s="192">
        <f t="shared" ref="F62" si="70">F31</f>
        <v>368</v>
      </c>
      <c r="G62" s="192">
        <f t="shared" si="69"/>
        <v>753</v>
      </c>
      <c r="H62" s="192">
        <f t="shared" si="69"/>
        <v>753</v>
      </c>
      <c r="I62" s="193">
        <f t="shared" si="69"/>
        <v>753</v>
      </c>
    </row>
    <row r="63" spans="4:9">
      <c r="D63" s="168" t="str">
        <f t="shared" ref="D63" si="71">D29</f>
        <v>[D60280]  비유동부채(계)</v>
      </c>
      <c r="E63" s="192">
        <f t="shared" ref="E63:I63" si="72">E29</f>
        <v>1167</v>
      </c>
      <c r="F63" s="192">
        <f t="shared" ref="F63" si="73">F29</f>
        <v>16621</v>
      </c>
      <c r="G63" s="192">
        <f t="shared" si="72"/>
        <v>23640</v>
      </c>
      <c r="H63" s="192">
        <f t="shared" si="72"/>
        <v>14095</v>
      </c>
      <c r="I63" s="193">
        <f t="shared" si="72"/>
        <v>14095</v>
      </c>
    </row>
    <row r="64" spans="4:9" ht="17.25" thickBot="1">
      <c r="D64" s="169" t="str">
        <f t="shared" ref="D64" si="74">D28</f>
        <v>[D60270]  유동부채(계)</v>
      </c>
      <c r="E64" s="194">
        <f t="shared" ref="E64:I64" si="75">E28</f>
        <v>4171</v>
      </c>
      <c r="F64" s="194">
        <f t="shared" ref="F64" si="76">F28</f>
        <v>10263</v>
      </c>
      <c r="G64" s="194">
        <f t="shared" si="75"/>
        <v>7792</v>
      </c>
      <c r="H64" s="194">
        <f t="shared" si="75"/>
        <v>24953</v>
      </c>
      <c r="I64" s="195">
        <f t="shared" si="75"/>
        <v>24953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I21" sqref="I21"/>
    </sheetView>
    <sheetView topLeftCell="C1" workbookViewId="1"/>
  </sheetViews>
  <sheetFormatPr defaultColWidth="9" defaultRowHeight="16.5"/>
  <cols>
    <col min="1" max="2" width="9" style="78" hidden="1" customWidth="1"/>
    <col min="3" max="3" width="9" style="78"/>
    <col min="4" max="4" width="48.5" style="78" bestFit="1" customWidth="1"/>
    <col min="5" max="13" width="11.625" style="78" customWidth="1"/>
    <col min="14" max="16384" width="9" style="78"/>
  </cols>
  <sheetData>
    <row r="1" spans="1:19">
      <c r="A1" s="14">
        <f>ROW(C24)-ROW(C1)</f>
        <v>23</v>
      </c>
      <c r="C1" s="80" t="s">
        <v>17538</v>
      </c>
      <c r="D1" s="13" t="s">
        <v>17539</v>
      </c>
      <c r="E1" s="13" t="s">
        <v>17615</v>
      </c>
      <c r="F1" s="13" t="s">
        <v>16806</v>
      </c>
      <c r="G1" s="13" t="s">
        <v>16807</v>
      </c>
      <c r="H1" s="13" t="s">
        <v>16808</v>
      </c>
      <c r="I1" s="13" t="s">
        <v>16809</v>
      </c>
      <c r="J1" s="13" t="s">
        <v>16810</v>
      </c>
      <c r="K1" s="13" t="s">
        <v>17616</v>
      </c>
      <c r="M1" s="86" t="s">
        <v>14</v>
      </c>
    </row>
    <row r="2" spans="1:19">
      <c r="A2" s="78" t="s">
        <v>12</v>
      </c>
      <c r="B2" s="78" t="s">
        <v>17540</v>
      </c>
      <c r="C2" s="80" t="s">
        <v>17541</v>
      </c>
      <c r="D2" s="78" t="s">
        <v>5</v>
      </c>
      <c r="F2" s="378" t="str">
        <f>F22</f>
        <v>2025-12-31</v>
      </c>
      <c r="G2" s="378" t="str">
        <f t="shared" ref="G2:J2" si="0">G22</f>
        <v>2026-12-31</v>
      </c>
      <c r="H2" s="378" t="str">
        <f t="shared" si="0"/>
        <v>2027-12-31</v>
      </c>
      <c r="I2" s="378" t="str">
        <f t="shared" si="0"/>
        <v>2028-12-31</v>
      </c>
      <c r="J2" s="378" t="str">
        <f t="shared" si="0"/>
        <v>2029-12-31</v>
      </c>
      <c r="K2" s="31"/>
      <c r="M2" s="205" t="s">
        <v>604</v>
      </c>
    </row>
    <row r="3" spans="1:19">
      <c r="A3" s="78" t="s">
        <v>12</v>
      </c>
      <c r="B3" s="78" t="s">
        <v>16770</v>
      </c>
      <c r="C3" s="80" t="s">
        <v>17542</v>
      </c>
      <c r="D3" s="78" t="s">
        <v>6</v>
      </c>
      <c r="F3" s="27">
        <f ca="1">WACC!$E$35</f>
        <v>15.880678476280444</v>
      </c>
      <c r="G3" s="27">
        <f ca="1">WACC!$E$35</f>
        <v>15.880678476280444</v>
      </c>
      <c r="H3" s="27">
        <f ca="1">WACC!$E$35</f>
        <v>15.880678476280444</v>
      </c>
      <c r="I3" s="27">
        <f ca="1">WACC!$E$35</f>
        <v>15.880678476280444</v>
      </c>
      <c r="J3" s="27">
        <f ca="1">WACC!$E$35</f>
        <v>15.880678476280444</v>
      </c>
      <c r="K3" s="27">
        <f ca="1">J3</f>
        <v>15.880678476280444</v>
      </c>
    </row>
    <row r="4" spans="1:19">
      <c r="A4" s="78" t="s">
        <v>12</v>
      </c>
      <c r="B4" s="78" t="s">
        <v>16989</v>
      </c>
      <c r="C4" s="80" t="s">
        <v>17543</v>
      </c>
      <c r="D4" s="78" t="s">
        <v>17544</v>
      </c>
      <c r="F4" s="44"/>
      <c r="G4" s="44"/>
      <c r="H4" s="44"/>
      <c r="I4" s="44"/>
      <c r="J4" s="44"/>
      <c r="M4" s="44">
        <f>영구g</f>
        <v>1</v>
      </c>
    </row>
    <row r="5" spans="1:19">
      <c r="A5" s="78" t="s">
        <v>12</v>
      </c>
      <c r="B5" s="78" t="s">
        <v>3</v>
      </c>
      <c r="C5" s="80" t="s">
        <v>679</v>
      </c>
      <c r="D5" s="78" t="s">
        <v>7</v>
      </c>
      <c r="F5" s="379">
        <f ca="1">1/(1+F3/100)^F24</f>
        <v>0.92895459087000887</v>
      </c>
      <c r="G5" s="379">
        <f t="shared" ref="G5:J5" ca="1" si="1">1/(1+G3/100)^G24</f>
        <v>0.80164752492380009</v>
      </c>
      <c r="H5" s="379">
        <f t="shared" ca="1" si="1"/>
        <v>0.69178704807798386</v>
      </c>
      <c r="I5" s="379">
        <f t="shared" ca="1" si="1"/>
        <v>0.5969822210003588</v>
      </c>
      <c r="J5" s="379">
        <f t="shared" ca="1" si="1"/>
        <v>0.51516976673773507</v>
      </c>
      <c r="K5" s="28">
        <f ca="1">J5</f>
        <v>0.51516976673773507</v>
      </c>
    </row>
    <row r="6" spans="1:19">
      <c r="A6" s="78" t="s">
        <v>12</v>
      </c>
      <c r="C6" s="80" t="s">
        <v>17545</v>
      </c>
      <c r="D6" s="13" t="s">
        <v>17546</v>
      </c>
      <c r="E6" s="13"/>
      <c r="F6" s="13"/>
      <c r="G6" s="13"/>
      <c r="H6" s="13"/>
      <c r="I6" s="13"/>
      <c r="J6" s="13"/>
      <c r="K6" s="13"/>
      <c r="O6"/>
      <c r="P6"/>
      <c r="Q6"/>
      <c r="R6"/>
    </row>
    <row r="7" spans="1:19">
      <c r="A7" s="78" t="s">
        <v>12</v>
      </c>
      <c r="B7" s="78" t="s">
        <v>2</v>
      </c>
      <c r="C7" s="80" t="s">
        <v>17547</v>
      </c>
      <c r="D7" s="78" t="s">
        <v>17548</v>
      </c>
      <c r="E7" s="31"/>
      <c r="F7" s="492">
        <f ca="1">IS추정!K25</f>
        <v>-11109</v>
      </c>
      <c r="G7" s="492">
        <f ca="1">IS추정!L25</f>
        <v>-8757</v>
      </c>
      <c r="H7" s="492">
        <f ca="1">IS추정!M25</f>
        <v>-14386</v>
      </c>
      <c r="I7" s="492">
        <f ca="1">IS추정!N25</f>
        <v>-10073</v>
      </c>
      <c r="J7" s="492">
        <f ca="1">IS추정!O25</f>
        <v>-10116</v>
      </c>
      <c r="K7" s="31"/>
      <c r="O7"/>
      <c r="P7"/>
      <c r="Q7"/>
      <c r="R7"/>
    </row>
    <row r="8" spans="1:19">
      <c r="A8" s="78" t="s">
        <v>12</v>
      </c>
      <c r="B8" s="78" t="s">
        <v>2</v>
      </c>
      <c r="C8" s="80" t="s">
        <v>17549</v>
      </c>
      <c r="D8" s="78" t="s">
        <v>17550</v>
      </c>
      <c r="E8" s="31"/>
      <c r="F8" s="32"/>
      <c r="G8" s="32"/>
      <c r="H8" s="32"/>
      <c r="I8" s="32"/>
      <c r="J8" s="32"/>
      <c r="K8" s="31"/>
      <c r="O8"/>
      <c r="P8"/>
      <c r="Q8"/>
      <c r="R8"/>
    </row>
    <row r="9" spans="1:19">
      <c r="A9" s="78" t="s">
        <v>12</v>
      </c>
      <c r="B9" s="78" t="s">
        <v>16777</v>
      </c>
      <c r="C9" s="80" t="s">
        <v>17551</v>
      </c>
      <c r="D9" s="78" t="s">
        <v>17552</v>
      </c>
      <c r="E9" s="31"/>
      <c r="F9" s="32"/>
      <c r="G9" s="32"/>
      <c r="H9" s="32"/>
      <c r="I9" s="32"/>
      <c r="J9" s="32"/>
      <c r="K9" s="31"/>
      <c r="O9"/>
      <c r="P9"/>
      <c r="Q9"/>
      <c r="R9"/>
    </row>
    <row r="10" spans="1:19">
      <c r="A10" s="78" t="s">
        <v>4</v>
      </c>
      <c r="B10" s="78" t="s">
        <v>3</v>
      </c>
      <c r="C10" s="80" t="s">
        <v>17553</v>
      </c>
      <c r="D10" s="8" t="s">
        <v>17554</v>
      </c>
      <c r="E10" s="31"/>
      <c r="F10" s="66">
        <f ca="1">IS추정!K33</f>
        <v>0</v>
      </c>
      <c r="G10" s="66">
        <f ca="1">IS추정!L33</f>
        <v>0</v>
      </c>
      <c r="H10" s="66">
        <f ca="1">IS추정!M33</f>
        <v>0</v>
      </c>
      <c r="I10" s="66">
        <f ca="1">IS추정!N33</f>
        <v>0</v>
      </c>
      <c r="J10" s="66">
        <f ca="1">IS추정!O33</f>
        <v>0</v>
      </c>
      <c r="K10" s="188">
        <f ca="1">+J10</f>
        <v>0</v>
      </c>
      <c r="O10"/>
      <c r="P10" s="646" t="str">
        <f>민감도!I11</f>
        <v>과세표준</v>
      </c>
      <c r="Q10" s="646" t="str">
        <f>민감도!J11</f>
        <v>세율(*)</v>
      </c>
      <c r="R10" s="646" t="str">
        <f>민감도!K11</f>
        <v>누진공제</v>
      </c>
      <c r="S10" s="646" t="str">
        <f>민감도!L11</f>
        <v>기준</v>
      </c>
    </row>
    <row r="11" spans="1:19">
      <c r="A11" s="78" t="s">
        <v>16729</v>
      </c>
      <c r="B11" s="78" t="s">
        <v>16698</v>
      </c>
      <c r="C11" s="80" t="s">
        <v>17555</v>
      </c>
      <c r="D11" s="8" t="s">
        <v>17556</v>
      </c>
      <c r="E11" s="31"/>
      <c r="F11" s="104">
        <f ca="1">IF(F7&lt;0,F7,+F7*(1-F10/100)+VLOOKUP(F7,법인세[],3))</f>
        <v>-11109</v>
      </c>
      <c r="G11" s="104">
        <f ca="1">IF(G7&lt;0,G7,+G7*(1-G10/100)+VLOOKUP(G7,법인세[],3))</f>
        <v>-8757</v>
      </c>
      <c r="H11" s="104">
        <f ca="1">IF(H7&lt;0,H7,+H7*(1-H10/100)+VLOOKUP(H7,법인세[],3))</f>
        <v>-14386</v>
      </c>
      <c r="I11" s="104">
        <f ca="1">IF(I7&lt;0,I7,+I7*(1-I10/100)+VLOOKUP(I7,법인세[],3))</f>
        <v>-10073</v>
      </c>
      <c r="J11" s="104">
        <f ca="1">IF(J7&lt;0,J7,+J7*(1-J10/100)+VLOOKUP(J7,법인세[],3))</f>
        <v>-10116</v>
      </c>
      <c r="K11" s="104">
        <f ca="1">IF(J7&lt;0,J7,+J7*(1+영구g/100)*(1-K10/100)+VLOOKUP(J7,법인세[],3))</f>
        <v>-10116</v>
      </c>
      <c r="P11" s="647">
        <f>민감도!I12</f>
        <v>0</v>
      </c>
      <c r="Q11" s="648">
        <f>민감도!J12</f>
        <v>9.9</v>
      </c>
      <c r="R11" s="649">
        <f>민감도!K12</f>
        <v>0</v>
      </c>
      <c r="S11" s="650" t="str">
        <f>민감도!L12</f>
        <v>2억미만</v>
      </c>
    </row>
    <row r="12" spans="1:19">
      <c r="A12" s="78" t="s">
        <v>12</v>
      </c>
      <c r="B12" s="78" t="s">
        <v>16790</v>
      </c>
      <c r="C12" s="80" t="s">
        <v>17557</v>
      </c>
      <c r="D12" s="78" t="s">
        <v>17558</v>
      </c>
      <c r="E12" s="24">
        <f ca="1">BS추정!J19</f>
        <v>42289</v>
      </c>
      <c r="F12" s="24">
        <f ca="1">BS추정!K19</f>
        <v>44155</v>
      </c>
      <c r="G12" s="24">
        <f ca="1">BS추정!L19</f>
        <v>46145</v>
      </c>
      <c r="H12" s="24">
        <f ca="1">BS추정!M19</f>
        <v>48269</v>
      </c>
      <c r="I12" s="24">
        <f ca="1">BS추정!N19</f>
        <v>50535</v>
      </c>
      <c r="J12" s="24">
        <f ca="1">BS추정!O19</f>
        <v>52952</v>
      </c>
      <c r="K12" s="31"/>
      <c r="P12" s="647">
        <f>민감도!I13</f>
        <v>200</v>
      </c>
      <c r="Q12" s="648">
        <f>민감도!J13</f>
        <v>20.900000000000002</v>
      </c>
      <c r="R12" s="647">
        <f>민감도!K13</f>
        <v>22</v>
      </c>
      <c r="S12" s="650" t="str">
        <f>민감도!L13</f>
        <v>2~200</v>
      </c>
    </row>
    <row r="13" spans="1:19">
      <c r="A13" s="78" t="s">
        <v>12</v>
      </c>
      <c r="B13" s="78" t="s">
        <v>16698</v>
      </c>
      <c r="C13" s="80" t="s">
        <v>17559</v>
      </c>
      <c r="D13" s="78" t="s">
        <v>17560</v>
      </c>
      <c r="E13" s="24">
        <f ca="1">BS추정!J23</f>
        <v>3566</v>
      </c>
      <c r="F13" s="24">
        <f ca="1">BS추정!K23</f>
        <v>3663</v>
      </c>
      <c r="G13" s="24">
        <f ca="1">BS추정!L23</f>
        <v>3764</v>
      </c>
      <c r="H13" s="24">
        <f ca="1">BS추정!M23</f>
        <v>3867</v>
      </c>
      <c r="I13" s="24">
        <f ca="1">BS추정!N23</f>
        <v>3972</v>
      </c>
      <c r="J13" s="24">
        <f ca="1">BS추정!O23</f>
        <v>4081</v>
      </c>
      <c r="K13" s="31"/>
      <c r="P13" s="647">
        <f>민감도!I14</f>
        <v>20000</v>
      </c>
      <c r="Q13" s="648">
        <f>민감도!J14</f>
        <v>23.1</v>
      </c>
      <c r="R13" s="647">
        <f>민감도!K14</f>
        <v>462</v>
      </c>
      <c r="S13" s="650" t="str">
        <f>민감도!L14</f>
        <v>200~3000</v>
      </c>
    </row>
    <row r="14" spans="1:19">
      <c r="A14" s="78" t="s">
        <v>12</v>
      </c>
      <c r="B14" s="78" t="s">
        <v>2</v>
      </c>
      <c r="C14" s="80" t="s">
        <v>17561</v>
      </c>
      <c r="D14" s="78" t="s">
        <v>17562</v>
      </c>
      <c r="E14" s="32">
        <f ca="1">E12+E13</f>
        <v>45855</v>
      </c>
      <c r="F14" s="32">
        <f t="shared" ref="F14:J14" ca="1" si="2">F12+F13</f>
        <v>47818</v>
      </c>
      <c r="G14" s="32">
        <f t="shared" ca="1" si="2"/>
        <v>49909</v>
      </c>
      <c r="H14" s="32">
        <f t="shared" ca="1" si="2"/>
        <v>52136</v>
      </c>
      <c r="I14" s="32">
        <f t="shared" ca="1" si="2"/>
        <v>54507</v>
      </c>
      <c r="J14" s="32">
        <f t="shared" ca="1" si="2"/>
        <v>57033</v>
      </c>
      <c r="K14" s="31"/>
      <c r="P14" s="647">
        <f>민감도!I15</f>
        <v>300000</v>
      </c>
      <c r="Q14" s="648">
        <f>민감도!J15</f>
        <v>26.400000000000002</v>
      </c>
      <c r="R14" s="647">
        <f>민감도!K15</f>
        <v>10362</v>
      </c>
      <c r="S14" s="650" t="str">
        <f>민감도!L15</f>
        <v>3000억초과</v>
      </c>
    </row>
    <row r="15" spans="1:19">
      <c r="A15" s="78" t="s">
        <v>4</v>
      </c>
      <c r="B15" s="78" t="s">
        <v>16692</v>
      </c>
      <c r="C15" s="80" t="s">
        <v>17563</v>
      </c>
      <c r="D15" s="8" t="s">
        <v>17564</v>
      </c>
      <c r="E15" s="31"/>
      <c r="F15" s="104">
        <f t="shared" ref="F15:J15" ca="1" si="3">F14-E14</f>
        <v>1963</v>
      </c>
      <c r="G15" s="30">
        <f t="shared" ca="1" si="3"/>
        <v>2091</v>
      </c>
      <c r="H15" s="30">
        <f t="shared" ca="1" si="3"/>
        <v>2227</v>
      </c>
      <c r="I15" s="30">
        <f t="shared" ca="1" si="3"/>
        <v>2371</v>
      </c>
      <c r="J15" s="30">
        <f t="shared" ca="1" si="3"/>
        <v>2526</v>
      </c>
      <c r="K15" s="98"/>
      <c r="P15" s="205"/>
      <c r="Q15" s="651" t="s">
        <v>706</v>
      </c>
      <c r="R15" s="205"/>
      <c r="S15" s="205"/>
    </row>
    <row r="16" spans="1:19">
      <c r="A16" s="78" t="s">
        <v>12</v>
      </c>
      <c r="B16" s="78" t="s">
        <v>16698</v>
      </c>
      <c r="C16" s="80" t="s">
        <v>680</v>
      </c>
      <c r="D16" s="78" t="s">
        <v>416</v>
      </c>
      <c r="E16" s="24">
        <f>NWC추정!J17</f>
        <v>3519</v>
      </c>
      <c r="F16" s="24">
        <f>NWC추정!K17</f>
        <v>17602</v>
      </c>
      <c r="G16" s="24">
        <f>NWC추정!L17</f>
        <v>22847</v>
      </c>
      <c r="H16" s="24">
        <f>NWC추정!M17</f>
        <v>49790</v>
      </c>
      <c r="I16" s="24">
        <f>NWC추정!N17</f>
        <v>49028</v>
      </c>
      <c r="J16" s="24">
        <f>NWC추정!O17</f>
        <v>49903</v>
      </c>
      <c r="K16" s="568">
        <f>IF(영구g=0,0,+J16*(1+영구g/100))</f>
        <v>50402.03</v>
      </c>
    </row>
    <row r="17" spans="1:13">
      <c r="A17" s="78" t="s">
        <v>12</v>
      </c>
      <c r="B17" s="78" t="s">
        <v>2</v>
      </c>
      <c r="C17" s="80" t="s">
        <v>681</v>
      </c>
      <c r="D17" s="78" t="s">
        <v>422</v>
      </c>
      <c r="E17" s="24">
        <f>NWC추정!J21</f>
        <v>640</v>
      </c>
      <c r="F17" s="24">
        <f>NWC추정!K21</f>
        <v>3204</v>
      </c>
      <c r="G17" s="24">
        <f>NWC추정!L21</f>
        <v>3953</v>
      </c>
      <c r="H17" s="24">
        <f>NWC추정!M21</f>
        <v>8590</v>
      </c>
      <c r="I17" s="24">
        <f>NWC추정!N21</f>
        <v>8272</v>
      </c>
      <c r="J17" s="24">
        <f>NWC추정!O21</f>
        <v>8411</v>
      </c>
      <c r="K17" s="568">
        <f>IF(영구g=0,0,+J17*(1+영구g/100))</f>
        <v>8495.11</v>
      </c>
    </row>
    <row r="18" spans="1:13">
      <c r="A18" s="78" t="s">
        <v>12</v>
      </c>
      <c r="B18" s="78" t="s">
        <v>16692</v>
      </c>
      <c r="C18" s="80" t="s">
        <v>682</v>
      </c>
      <c r="D18" s="78" t="s">
        <v>428</v>
      </c>
      <c r="E18" s="32">
        <f>E16-E17</f>
        <v>2879</v>
      </c>
      <c r="F18" s="32">
        <f t="shared" ref="F18:J18" si="4">F16-F17</f>
        <v>14398</v>
      </c>
      <c r="G18" s="32">
        <f t="shared" si="4"/>
        <v>18894</v>
      </c>
      <c r="H18" s="32">
        <f t="shared" si="4"/>
        <v>41200</v>
      </c>
      <c r="I18" s="32">
        <f t="shared" si="4"/>
        <v>40756</v>
      </c>
      <c r="J18" s="32">
        <f t="shared" si="4"/>
        <v>41492</v>
      </c>
      <c r="K18" s="568">
        <f>+K16-K17</f>
        <v>41906.92</v>
      </c>
    </row>
    <row r="19" spans="1:13">
      <c r="A19" s="78" t="s">
        <v>4</v>
      </c>
      <c r="B19" s="78" t="s">
        <v>2</v>
      </c>
      <c r="C19" s="80" t="s">
        <v>683</v>
      </c>
      <c r="D19" s="8" t="s">
        <v>665</v>
      </c>
      <c r="E19" s="31"/>
      <c r="F19" s="104">
        <f t="shared" ref="F19:J19" si="5">F18-E18</f>
        <v>11519</v>
      </c>
      <c r="G19" s="30">
        <f t="shared" si="5"/>
        <v>4496</v>
      </c>
      <c r="H19" s="30">
        <f t="shared" si="5"/>
        <v>22306</v>
      </c>
      <c r="I19" s="30">
        <f t="shared" si="5"/>
        <v>-444</v>
      </c>
      <c r="J19" s="30">
        <f t="shared" si="5"/>
        <v>736</v>
      </c>
      <c r="K19" s="569">
        <f>IF(영구g=0,0,(K18-J18))</f>
        <v>414.91999999999825</v>
      </c>
    </row>
    <row r="20" spans="1:13">
      <c r="A20" s="78" t="s">
        <v>16729</v>
      </c>
      <c r="B20" s="78" t="s">
        <v>16698</v>
      </c>
      <c r="C20" s="80" t="s">
        <v>17565</v>
      </c>
      <c r="D20" s="8" t="s">
        <v>8</v>
      </c>
      <c r="E20" s="31"/>
      <c r="F20" s="30">
        <f ca="1">F11-F15-F19</f>
        <v>-24591</v>
      </c>
      <c r="G20" s="30">
        <f t="shared" ref="G20:J20" ca="1" si="6">G11-G15-G19</f>
        <v>-15344</v>
      </c>
      <c r="H20" s="30">
        <f t="shared" ca="1" si="6"/>
        <v>-38919</v>
      </c>
      <c r="I20" s="30">
        <f t="shared" ca="1" si="6"/>
        <v>-12000</v>
      </c>
      <c r="J20" s="30">
        <f t="shared" ca="1" si="6"/>
        <v>-13378</v>
      </c>
      <c r="K20" s="30">
        <f ca="1">(K11-K15-K19)/(K3/100-영구g/100)</f>
        <v>-70769.085003658343</v>
      </c>
    </row>
    <row r="21" spans="1:13">
      <c r="A21" s="78" t="s">
        <v>16711</v>
      </c>
      <c r="B21" s="78" t="s">
        <v>16698</v>
      </c>
      <c r="C21" s="107" t="s">
        <v>17566</v>
      </c>
      <c r="D21" s="8" t="s">
        <v>9</v>
      </c>
      <c r="E21" s="31"/>
      <c r="F21" s="267">
        <f ca="1">F20*F5*F23</f>
        <v>-22843.922344084389</v>
      </c>
      <c r="G21" s="267">
        <f t="shared" ref="G21:J21" ca="1" si="7">G20*G5*G23</f>
        <v>-12300.479622430788</v>
      </c>
      <c r="H21" s="267">
        <f t="shared" ca="1" si="7"/>
        <v>-26923.660124147053</v>
      </c>
      <c r="I21" s="267">
        <f t="shared" ca="1" si="7"/>
        <v>-7163.7866520043053</v>
      </c>
      <c r="J21" s="267">
        <f t="shared" ca="1" si="7"/>
        <v>-6891.9411394174194</v>
      </c>
      <c r="K21" s="30">
        <f ca="1">K20*K5</f>
        <v>-36458.093013577614</v>
      </c>
    </row>
    <row r="22" spans="1:13">
      <c r="A22" s="78" t="s">
        <v>12</v>
      </c>
      <c r="B22" s="205" t="s">
        <v>11</v>
      </c>
      <c r="C22" s="107" t="s">
        <v>17567</v>
      </c>
      <c r="E22" s="328" t="str">
        <f>MID(평가기준일,1,10)</f>
        <v>2024-12-31</v>
      </c>
      <c r="F22" s="328" t="str">
        <f>MID(F1,1,4)&amp;"-12-31"</f>
        <v>2025-12-31</v>
      </c>
      <c r="G22" s="328" t="str">
        <f t="shared" ref="G22:J22" si="8">MID(G1,1,4)&amp;"-12-31"</f>
        <v>2026-12-31</v>
      </c>
      <c r="H22" s="328" t="str">
        <f t="shared" si="8"/>
        <v>2027-12-31</v>
      </c>
      <c r="I22" s="328" t="str">
        <f t="shared" si="8"/>
        <v>2028-12-31</v>
      </c>
      <c r="J22" s="328" t="str">
        <f t="shared" si="8"/>
        <v>2029-12-31</v>
      </c>
    </row>
    <row r="23" spans="1:13">
      <c r="A23" s="78" t="s">
        <v>12</v>
      </c>
      <c r="B23" s="205" t="s">
        <v>11</v>
      </c>
      <c r="C23" s="107" t="s">
        <v>17568</v>
      </c>
      <c r="E23" s="205"/>
      <c r="F23" s="266">
        <f>YEARFRAC(E22,F22,1)</f>
        <v>1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5"/>
      <c r="L23" s="205"/>
      <c r="M23" s="205"/>
    </row>
    <row r="24" spans="1:13">
      <c r="A24" s="78" t="s">
        <v>12</v>
      </c>
      <c r="B24" s="205" t="s">
        <v>2</v>
      </c>
      <c r="C24" s="107" t="s">
        <v>17569</v>
      </c>
      <c r="D24" s="78" t="s">
        <v>348</v>
      </c>
      <c r="E24" s="205"/>
      <c r="F24" s="266">
        <f>F23/2</f>
        <v>0.5</v>
      </c>
      <c r="G24" s="266">
        <f>F23+G23/2</f>
        <v>1.5</v>
      </c>
      <c r="H24" s="266">
        <f>G24+H23</f>
        <v>2.5</v>
      </c>
      <c r="I24" s="266">
        <f>H24+I23</f>
        <v>3.5</v>
      </c>
      <c r="J24" s="266">
        <f>I24+J23</f>
        <v>4.5</v>
      </c>
      <c r="K24" s="205"/>
      <c r="L24" s="205"/>
      <c r="M24" s="205"/>
    </row>
    <row r="25" spans="1:13" s="205" customFormat="1">
      <c r="F25" s="266"/>
      <c r="G25" s="266"/>
      <c r="H25" s="266"/>
      <c r="I25" s="266"/>
      <c r="J25" s="266"/>
    </row>
    <row r="26" spans="1:13" s="205" customFormat="1">
      <c r="F26" s="266"/>
      <c r="G26" s="266"/>
      <c r="H26" s="266"/>
      <c r="I26" s="266"/>
      <c r="J26" s="266"/>
    </row>
    <row r="27" spans="1:13" s="205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80" t="s">
        <v>17570</v>
      </c>
      <c r="D28" s="80" t="s">
        <v>17571</v>
      </c>
      <c r="E28" s="80" t="s">
        <v>16482</v>
      </c>
      <c r="G28" s="114" t="s">
        <v>35</v>
      </c>
      <c r="H28" s="114">
        <v>20231231</v>
      </c>
      <c r="K28" s="205"/>
      <c r="L28" s="205"/>
      <c r="M28" s="205"/>
    </row>
    <row r="29" spans="1:13">
      <c r="A29" s="78" t="s">
        <v>12</v>
      </c>
      <c r="B29" s="78" t="s">
        <v>2</v>
      </c>
      <c r="C29" s="80" t="s">
        <v>17572</v>
      </c>
      <c r="D29" s="78" t="s">
        <v>17573</v>
      </c>
      <c r="E29" s="31"/>
      <c r="G29" s="209">
        <f>E29-H29</f>
        <v>-1289.4000000000001</v>
      </c>
      <c r="H29" s="102">
        <v>1289.4000000000001</v>
      </c>
      <c r="K29" s="205"/>
      <c r="L29" s="205"/>
      <c r="M29" s="205"/>
    </row>
    <row r="30" spans="1:13">
      <c r="A30" s="78" t="s">
        <v>12</v>
      </c>
      <c r="B30" s="78" t="s">
        <v>2</v>
      </c>
      <c r="C30" s="80" t="s">
        <v>17574</v>
      </c>
      <c r="D30" s="78" t="s">
        <v>17575</v>
      </c>
      <c r="E30" s="31"/>
      <c r="G30" s="209">
        <f t="shared" ref="G30:G48" si="10">E30-H30</f>
        <v>0</v>
      </c>
      <c r="H30" s="102"/>
      <c r="K30" s="205"/>
      <c r="L30" s="205"/>
      <c r="M30" s="205"/>
    </row>
    <row r="31" spans="1:13">
      <c r="A31" s="78" t="s">
        <v>12</v>
      </c>
      <c r="B31" s="78" t="s">
        <v>16692</v>
      </c>
      <c r="C31" s="80" t="s">
        <v>17576</v>
      </c>
      <c r="D31" s="78" t="s">
        <v>17577</v>
      </c>
      <c r="E31" s="31"/>
      <c r="G31" s="209">
        <f t="shared" si="10"/>
        <v>0</v>
      </c>
      <c r="H31" s="102">
        <v>0</v>
      </c>
      <c r="K31" s="205"/>
      <c r="L31" s="205"/>
      <c r="M31" s="205"/>
    </row>
    <row r="32" spans="1:13">
      <c r="A32" s="78" t="s">
        <v>12</v>
      </c>
      <c r="B32" s="78" t="s">
        <v>17578</v>
      </c>
      <c r="C32" s="80" t="s">
        <v>17579</v>
      </c>
      <c r="D32" s="78" t="s">
        <v>17580</v>
      </c>
      <c r="E32" s="31"/>
      <c r="G32" s="209">
        <f t="shared" si="10"/>
        <v>0</v>
      </c>
      <c r="H32" s="102"/>
      <c r="K32" s="205"/>
      <c r="L32" s="205"/>
      <c r="M32" s="205"/>
    </row>
    <row r="33" spans="1:13">
      <c r="A33" s="78" t="s">
        <v>12</v>
      </c>
      <c r="B33" s="78" t="s">
        <v>16698</v>
      </c>
      <c r="C33" s="80" t="s">
        <v>17581</v>
      </c>
      <c r="D33" s="78" t="s">
        <v>17582</v>
      </c>
      <c r="E33" s="31">
        <v>8371</v>
      </c>
      <c r="G33" s="209">
        <f t="shared" si="10"/>
        <v>8371</v>
      </c>
      <c r="H33" s="102"/>
      <c r="K33" s="205"/>
      <c r="L33" s="205"/>
      <c r="M33" s="205"/>
    </row>
    <row r="34" spans="1:13">
      <c r="A34" s="78" t="s">
        <v>12</v>
      </c>
      <c r="B34" s="78" t="s">
        <v>16793</v>
      </c>
      <c r="C34" s="80" t="s">
        <v>17583</v>
      </c>
      <c r="D34" s="78" t="s">
        <v>17584</v>
      </c>
      <c r="E34" s="31"/>
      <c r="G34" s="209">
        <f t="shared" si="10"/>
        <v>0</v>
      </c>
      <c r="H34" s="102"/>
      <c r="K34" s="205"/>
      <c r="L34" s="205"/>
      <c r="M34" s="205"/>
    </row>
    <row r="35" spans="1:13">
      <c r="A35" s="78" t="s">
        <v>12</v>
      </c>
      <c r="B35" s="78" t="s">
        <v>17456</v>
      </c>
      <c r="C35" s="80" t="s">
        <v>17585</v>
      </c>
      <c r="D35" s="78" t="s">
        <v>17586</v>
      </c>
      <c r="E35" s="31"/>
      <c r="G35" s="209">
        <f t="shared" si="10"/>
        <v>0</v>
      </c>
      <c r="H35" s="102"/>
      <c r="K35" s="205"/>
      <c r="L35" s="205"/>
      <c r="M35" s="205"/>
    </row>
    <row r="36" spans="1:13">
      <c r="A36" s="78" t="s">
        <v>12</v>
      </c>
      <c r="B36" s="78" t="s">
        <v>17587</v>
      </c>
      <c r="C36" s="80" t="s">
        <v>17588</v>
      </c>
      <c r="D36" s="79" t="s">
        <v>17589</v>
      </c>
      <c r="E36" s="18"/>
      <c r="G36" s="209">
        <f t="shared" si="10"/>
        <v>0</v>
      </c>
      <c r="H36" s="101"/>
      <c r="K36" s="205"/>
      <c r="L36" s="205"/>
      <c r="M36" s="205"/>
    </row>
    <row r="37" spans="1:13">
      <c r="A37" s="78" t="s">
        <v>16711</v>
      </c>
      <c r="B37" s="78" t="s">
        <v>2</v>
      </c>
      <c r="C37" s="80" t="s">
        <v>17590</v>
      </c>
      <c r="D37" s="8" t="s">
        <v>17591</v>
      </c>
      <c r="E37" s="30">
        <f>SUM(E29:E36)</f>
        <v>8371</v>
      </c>
      <c r="G37" s="209">
        <f t="shared" si="10"/>
        <v>7081.6</v>
      </c>
      <c r="H37" s="89">
        <v>1289.4000000000001</v>
      </c>
      <c r="K37" s="205"/>
      <c r="L37" s="205"/>
      <c r="M37" s="205"/>
    </row>
    <row r="38" spans="1:13">
      <c r="A38" s="78" t="s">
        <v>12</v>
      </c>
      <c r="B38" s="78" t="s">
        <v>16793</v>
      </c>
      <c r="C38" s="80" t="s">
        <v>17592</v>
      </c>
      <c r="D38" s="78" t="s">
        <v>17593</v>
      </c>
      <c r="E38" s="31">
        <v>5900</v>
      </c>
      <c r="G38" s="209">
        <f t="shared" si="10"/>
        <v>-3230</v>
      </c>
      <c r="H38" s="102">
        <v>9130</v>
      </c>
      <c r="K38" s="205"/>
      <c r="L38" s="205"/>
      <c r="M38" s="205"/>
    </row>
    <row r="39" spans="1:13">
      <c r="A39" s="78" t="s">
        <v>12</v>
      </c>
      <c r="B39" s="78" t="s">
        <v>16777</v>
      </c>
      <c r="C39" s="80" t="s">
        <v>17594</v>
      </c>
      <c r="D39" s="78" t="s">
        <v>17595</v>
      </c>
      <c r="E39" s="31">
        <v>16417</v>
      </c>
      <c r="G39" s="209">
        <f t="shared" si="10"/>
        <v>-832.58983100000114</v>
      </c>
      <c r="H39" s="102">
        <v>17249.589831000001</v>
      </c>
      <c r="K39" s="205"/>
      <c r="L39" s="205"/>
      <c r="M39" s="205"/>
    </row>
    <row r="40" spans="1:13">
      <c r="A40" s="78" t="s">
        <v>12</v>
      </c>
      <c r="B40" s="78" t="s">
        <v>16793</v>
      </c>
      <c r="C40" s="80" t="s">
        <v>17596</v>
      </c>
      <c r="D40" s="78" t="s">
        <v>17597</v>
      </c>
      <c r="E40" s="31"/>
      <c r="G40" s="209">
        <f t="shared" si="10"/>
        <v>0</v>
      </c>
      <c r="H40" s="102">
        <v>0</v>
      </c>
      <c r="K40" s="205"/>
      <c r="L40" s="205"/>
      <c r="M40" s="205"/>
    </row>
    <row r="41" spans="1:13">
      <c r="A41" s="78" t="s">
        <v>12</v>
      </c>
      <c r="B41" s="78" t="s">
        <v>2</v>
      </c>
      <c r="C41" s="80" t="s">
        <v>17598</v>
      </c>
      <c r="D41" s="78" t="s">
        <v>17599</v>
      </c>
      <c r="E41" s="31">
        <v>13459</v>
      </c>
      <c r="G41" s="209">
        <f t="shared" si="10"/>
        <v>-1807.8199999999997</v>
      </c>
      <c r="H41" s="102">
        <v>15266.82</v>
      </c>
      <c r="K41" s="205"/>
      <c r="L41" s="205"/>
      <c r="M41" s="205"/>
    </row>
    <row r="42" spans="1:13">
      <c r="A42" s="78" t="s">
        <v>12</v>
      </c>
      <c r="B42" s="78" t="s">
        <v>16770</v>
      </c>
      <c r="C42" s="80" t="s">
        <v>17600</v>
      </c>
      <c r="D42" s="78" t="s">
        <v>17601</v>
      </c>
      <c r="E42" s="31"/>
      <c r="G42" s="209">
        <f t="shared" si="10"/>
        <v>0</v>
      </c>
      <c r="H42" s="102"/>
      <c r="K42" s="206" t="s">
        <v>75</v>
      </c>
      <c r="L42" s="205"/>
    </row>
    <row r="43" spans="1:13">
      <c r="A43" s="78" t="s">
        <v>12</v>
      </c>
      <c r="B43" s="78" t="s">
        <v>17602</v>
      </c>
      <c r="C43" s="80" t="s">
        <v>17603</v>
      </c>
      <c r="D43" s="79" t="s">
        <v>17604</v>
      </c>
      <c r="E43" s="18"/>
      <c r="G43" s="209">
        <f t="shared" si="10"/>
        <v>0</v>
      </c>
      <c r="H43" s="101"/>
      <c r="K43" s="208" t="s">
        <v>76</v>
      </c>
      <c r="L43" s="208" t="s">
        <v>77</v>
      </c>
    </row>
    <row r="44" spans="1:13">
      <c r="A44" s="78" t="s">
        <v>12</v>
      </c>
      <c r="B44" s="78" t="s">
        <v>16790</v>
      </c>
      <c r="C44" s="80" t="s">
        <v>17605</v>
      </c>
      <c r="D44" s="74" t="s">
        <v>17606</v>
      </c>
      <c r="E44" s="31">
        <v>1938</v>
      </c>
      <c r="G44" s="209">
        <f t="shared" si="10"/>
        <v>-1194.873568</v>
      </c>
      <c r="H44" s="102">
        <v>3132.873568</v>
      </c>
      <c r="K44" s="223"/>
      <c r="L44" s="207"/>
    </row>
    <row r="45" spans="1:13">
      <c r="A45" s="78" t="s">
        <v>4</v>
      </c>
      <c r="B45" s="78" t="s">
        <v>2</v>
      </c>
      <c r="C45" s="80" t="s">
        <v>17607</v>
      </c>
      <c r="D45" s="8" t="s">
        <v>17608</v>
      </c>
      <c r="E45" s="30">
        <f>E38+E39+E40+E41+E42+E43-E44</f>
        <v>33838</v>
      </c>
      <c r="G45" s="209">
        <f t="shared" si="10"/>
        <v>-4675.5362629999945</v>
      </c>
      <c r="H45" s="104">
        <v>38513.536262999995</v>
      </c>
      <c r="K45" s="223"/>
      <c r="L45" s="207"/>
    </row>
    <row r="46" spans="1:13">
      <c r="A46" s="78" t="s">
        <v>12</v>
      </c>
      <c r="B46" s="78" t="s">
        <v>16793</v>
      </c>
      <c r="C46" s="80" t="s">
        <v>17609</v>
      </c>
      <c r="D46" s="78" t="s">
        <v>17610</v>
      </c>
      <c r="E46" s="31">
        <v>326</v>
      </c>
      <c r="G46" s="209">
        <f t="shared" si="10"/>
        <v>326</v>
      </c>
      <c r="H46" s="102"/>
      <c r="K46" s="223"/>
      <c r="L46" s="207"/>
    </row>
    <row r="47" spans="1:13">
      <c r="A47" s="78" t="s">
        <v>12</v>
      </c>
      <c r="B47" s="78" t="s">
        <v>16790</v>
      </c>
      <c r="C47" s="80" t="s">
        <v>17611</v>
      </c>
      <c r="D47" s="74" t="s">
        <v>17612</v>
      </c>
      <c r="G47" s="209">
        <f t="shared" si="10"/>
        <v>0</v>
      </c>
      <c r="H47" s="99"/>
      <c r="K47" s="223"/>
      <c r="L47" s="207"/>
    </row>
    <row r="48" spans="1:13">
      <c r="A48" s="78" t="s">
        <v>16697</v>
      </c>
      <c r="B48" s="78" t="s">
        <v>2</v>
      </c>
      <c r="C48" s="80" t="s">
        <v>17613</v>
      </c>
      <c r="D48" s="8" t="s">
        <v>17614</v>
      </c>
      <c r="E48" s="30">
        <f>E46+E47</f>
        <v>326</v>
      </c>
      <c r="G48" s="209">
        <f t="shared" si="10"/>
        <v>326</v>
      </c>
      <c r="H48" s="104">
        <v>0</v>
      </c>
      <c r="K48" s="223"/>
      <c r="L48" s="207"/>
    </row>
    <row r="49" spans="1:11">
      <c r="G49" s="210"/>
      <c r="H49" s="99"/>
    </row>
    <row r="50" spans="1:11">
      <c r="G50" s="210"/>
      <c r="H50" s="99"/>
    </row>
    <row r="51" spans="1:11">
      <c r="C51" s="79"/>
      <c r="D51" s="79"/>
      <c r="E51" s="79"/>
      <c r="G51" s="210"/>
      <c r="H51" s="100"/>
    </row>
    <row r="52" spans="1:11">
      <c r="A52" s="14">
        <f>ROW(C61)-ROW(C52)</f>
        <v>9</v>
      </c>
      <c r="C52" s="80" t="s">
        <v>17617</v>
      </c>
      <c r="D52" s="80" t="s">
        <v>17618</v>
      </c>
      <c r="E52" s="80" t="s">
        <v>13</v>
      </c>
      <c r="G52" s="210"/>
      <c r="H52" s="107" t="s">
        <v>13</v>
      </c>
    </row>
    <row r="53" spans="1:11">
      <c r="A53" s="78" t="s">
        <v>12</v>
      </c>
      <c r="B53" s="78" t="s">
        <v>16698</v>
      </c>
      <c r="C53" s="80" t="s">
        <v>17619</v>
      </c>
      <c r="D53" s="78" t="s">
        <v>17620</v>
      </c>
      <c r="E53" s="32">
        <f ca="1">F21+G21+H21+I21+J21+K21</f>
        <v>-112581.88289566158</v>
      </c>
      <c r="F53" s="234"/>
      <c r="G53" s="209">
        <f ca="1">E53-H53</f>
        <v>-169943.53911727315</v>
      </c>
      <c r="H53" s="108">
        <v>57361.656221611578</v>
      </c>
      <c r="I53" s="234"/>
      <c r="J53" s="234"/>
      <c r="K53" s="227"/>
    </row>
    <row r="54" spans="1:11">
      <c r="A54" s="78" t="s">
        <v>12</v>
      </c>
      <c r="B54" s="78" t="s">
        <v>16692</v>
      </c>
      <c r="C54" s="80" t="s">
        <v>17621</v>
      </c>
      <c r="D54" s="78" t="s">
        <v>17622</v>
      </c>
      <c r="E54" s="24">
        <f>E37</f>
        <v>8371</v>
      </c>
      <c r="F54" s="234"/>
      <c r="G54" s="209">
        <f>E54-H54</f>
        <v>7081.6</v>
      </c>
      <c r="H54" s="103">
        <v>1289.4000000000001</v>
      </c>
      <c r="I54" s="234"/>
      <c r="J54" s="234"/>
      <c r="K54" s="227"/>
    </row>
    <row r="55" spans="1:11">
      <c r="A55" s="78" t="s">
        <v>12</v>
      </c>
      <c r="B55" s="78" t="s">
        <v>16692</v>
      </c>
      <c r="C55" s="80" t="s">
        <v>17623</v>
      </c>
      <c r="D55" s="78" t="s">
        <v>17624</v>
      </c>
      <c r="E55" s="32">
        <f ca="1">E53+E54</f>
        <v>-104210.88289566158</v>
      </c>
      <c r="F55" s="234"/>
      <c r="G55" s="209">
        <f ca="1">E55-H55</f>
        <v>-162861.93911727314</v>
      </c>
      <c r="H55" s="105">
        <v>58651.05622161158</v>
      </c>
      <c r="I55" s="234"/>
      <c r="J55" s="234"/>
      <c r="K55" s="227"/>
    </row>
    <row r="56" spans="1:11">
      <c r="A56" s="78" t="s">
        <v>12</v>
      </c>
      <c r="B56" s="78" t="s">
        <v>2</v>
      </c>
      <c r="C56" s="80" t="s">
        <v>17625</v>
      </c>
      <c r="D56" s="78" t="s">
        <v>17626</v>
      </c>
      <c r="E56" s="24">
        <f>E45</f>
        <v>33838</v>
      </c>
      <c r="F56" s="234"/>
      <c r="G56" s="209">
        <f>-(E56-H56)</f>
        <v>4675.5362629999945</v>
      </c>
      <c r="H56" s="103">
        <v>38513.536262999995</v>
      </c>
      <c r="I56" s="234"/>
      <c r="J56" s="234"/>
    </row>
    <row r="57" spans="1:11">
      <c r="A57" s="78" t="s">
        <v>12</v>
      </c>
      <c r="B57" s="78" t="s">
        <v>2</v>
      </c>
      <c r="C57" s="80" t="s">
        <v>17627</v>
      </c>
      <c r="D57" s="74" t="s">
        <v>17628</v>
      </c>
      <c r="E57" s="24">
        <f>E48</f>
        <v>326</v>
      </c>
      <c r="F57" s="234"/>
      <c r="G57" s="209">
        <f>-(E57-H57)</f>
        <v>-326</v>
      </c>
      <c r="H57" s="103">
        <v>0</v>
      </c>
      <c r="I57" s="234"/>
      <c r="J57" s="234"/>
    </row>
    <row r="58" spans="1:11">
      <c r="A58" s="78" t="s">
        <v>4</v>
      </c>
      <c r="B58" s="78" t="s">
        <v>2</v>
      </c>
      <c r="C58" s="80" t="s">
        <v>17629</v>
      </c>
      <c r="D58" s="8" t="s">
        <v>17630</v>
      </c>
      <c r="E58" s="30">
        <f ca="1">E55-E56-E57</f>
        <v>-138374.88289566158</v>
      </c>
      <c r="F58" s="234"/>
      <c r="G58" s="209">
        <f ca="1">E58-H58</f>
        <v>-158512.40285427315</v>
      </c>
      <c r="H58" s="104">
        <v>20137.519958611585</v>
      </c>
      <c r="I58" s="234"/>
      <c r="J58" s="234"/>
      <c r="K58" s="227"/>
    </row>
    <row r="59" spans="1:11">
      <c r="A59" s="78" t="s">
        <v>12</v>
      </c>
      <c r="B59" s="78" t="s">
        <v>2</v>
      </c>
      <c r="C59" s="80" t="s">
        <v>17631</v>
      </c>
      <c r="D59" s="74" t="s">
        <v>17632</v>
      </c>
      <c r="E59" s="24">
        <f>WACC!E18</f>
        <v>42743</v>
      </c>
      <c r="F59" s="81"/>
      <c r="G59" s="209">
        <f>E59-H59</f>
        <v>-32588</v>
      </c>
      <c r="H59" s="57">
        <v>75331</v>
      </c>
    </row>
    <row r="60" spans="1:11">
      <c r="A60" s="78" t="s">
        <v>16729</v>
      </c>
      <c r="B60" s="78" t="s">
        <v>2</v>
      </c>
      <c r="C60" s="80" t="s">
        <v>17633</v>
      </c>
      <c r="D60" s="8" t="s">
        <v>17634</v>
      </c>
      <c r="E60" s="45">
        <f ca="1">E58*1000000/E59</f>
        <v>-3237369.4615647378</v>
      </c>
      <c r="F60" s="344">
        <f ca="1">E60/H60-1</f>
        <v>-13.110442567424654</v>
      </c>
      <c r="G60" s="209">
        <f ca="1">E60-H60</f>
        <v>-3504689.9532429525</v>
      </c>
      <c r="H60" s="106">
        <v>267320.49167821457</v>
      </c>
    </row>
    <row r="61" spans="1:11">
      <c r="A61" s="78" t="s">
        <v>12</v>
      </c>
      <c r="B61" s="78" t="s">
        <v>17635</v>
      </c>
      <c r="C61" s="80" t="s">
        <v>17636</v>
      </c>
      <c r="D61" s="78" t="s">
        <v>17637</v>
      </c>
      <c r="E61" s="24">
        <f>WACC!E38</f>
        <v>534941.39391245355</v>
      </c>
      <c r="F61" s="343">
        <f>E61/H61-1</f>
        <v>0.76242508284087851</v>
      </c>
      <c r="G61" s="209">
        <f>E61-H61</f>
        <v>231415.64457950956</v>
      </c>
      <c r="H61" s="57">
        <v>303525.74933294399</v>
      </c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36</v>
      </c>
      <c r="E66" s="170"/>
      <c r="F66" s="170"/>
      <c r="G66" s="170"/>
      <c r="H66" s="170"/>
      <c r="I66" s="175"/>
    </row>
    <row r="67" spans="4:9">
      <c r="D67" s="174" t="s">
        <v>37</v>
      </c>
      <c r="E67" s="170"/>
      <c r="F67" s="170"/>
      <c r="G67" s="170"/>
      <c r="H67" s="170"/>
      <c r="I67" s="175"/>
    </row>
    <row r="68" spans="4:9">
      <c r="D68" s="174" t="s">
        <v>38</v>
      </c>
      <c r="E68" s="170"/>
      <c r="F68" s="170"/>
      <c r="G68" s="170"/>
      <c r="H68" s="170"/>
      <c r="I68" s="175"/>
    </row>
    <row r="69" spans="4:9">
      <c r="D69" s="174" t="s">
        <v>39</v>
      </c>
      <c r="E69" s="170"/>
      <c r="F69" s="170"/>
      <c r="G69" s="170"/>
      <c r="H69" s="170"/>
      <c r="I69" s="175"/>
    </row>
    <row r="70" spans="4:9">
      <c r="D70" s="174" t="s">
        <v>40</v>
      </c>
      <c r="E70" s="170"/>
      <c r="F70" s="170"/>
      <c r="G70" s="170"/>
      <c r="H70" s="170"/>
      <c r="I70" s="175"/>
    </row>
    <row r="71" spans="4:9">
      <c r="D71" s="174" t="s">
        <v>41</v>
      </c>
      <c r="E71" s="170"/>
      <c r="F71" s="170"/>
      <c r="G71" s="170"/>
      <c r="H71" s="170"/>
      <c r="I71" s="175"/>
    </row>
    <row r="72" spans="4:9">
      <c r="D72" s="174" t="s">
        <v>42</v>
      </c>
      <c r="E72" s="170"/>
      <c r="F72" s="170"/>
      <c r="G72" s="170"/>
      <c r="H72" s="170"/>
      <c r="I72" s="175"/>
    </row>
    <row r="73" spans="4:9">
      <c r="D73" s="174" t="s">
        <v>43</v>
      </c>
      <c r="E73" s="170"/>
      <c r="F73" s="170"/>
      <c r="G73" s="170"/>
      <c r="H73" s="170"/>
      <c r="I73" s="175"/>
    </row>
    <row r="74" spans="4:9">
      <c r="D74" s="174" t="s">
        <v>44</v>
      </c>
      <c r="E74" s="170"/>
      <c r="F74" s="170"/>
      <c r="G74" s="170"/>
      <c r="H74" s="170"/>
      <c r="I74" s="175"/>
    </row>
    <row r="75" spans="4:9" ht="17.25" thickBot="1">
      <c r="D75" s="176" t="s">
        <v>45</v>
      </c>
      <c r="E75" s="177"/>
      <c r="F75" s="177"/>
      <c r="G75" s="177"/>
      <c r="H75" s="177"/>
      <c r="I75" s="178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8" sqref="J18"/>
    </sheetView>
    <sheetView topLeftCell="C1" workbookViewId="1">
      <selection activeCell="M22" sqref="M22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5">
      <c r="A1" s="107">
        <v>2</v>
      </c>
      <c r="B1" s="12"/>
      <c r="C1" s="12" t="s">
        <v>17638</v>
      </c>
      <c r="D1" s="12" t="s">
        <v>17639</v>
      </c>
      <c r="E1" s="12" t="s">
        <v>17644</v>
      </c>
      <c r="F1" s="12" t="s">
        <v>17645</v>
      </c>
      <c r="G1" s="12" t="s">
        <v>16473</v>
      </c>
      <c r="H1" s="12" t="s">
        <v>16475</v>
      </c>
      <c r="I1" s="12" t="s">
        <v>16477</v>
      </c>
      <c r="J1" s="12" t="s">
        <v>16480</v>
      </c>
      <c r="K1" s="12" t="s">
        <v>16826</v>
      </c>
      <c r="L1" s="438"/>
      <c r="O1" s="381"/>
    </row>
    <row r="2" spans="1:15">
      <c r="A2" s="12" t="s">
        <v>12</v>
      </c>
      <c r="B2" s="12" t="s">
        <v>11</v>
      </c>
      <c r="C2" s="12" t="s">
        <v>17640</v>
      </c>
      <c r="D2" s="2" t="s">
        <v>17641</v>
      </c>
      <c r="E2" s="2">
        <v>21993</v>
      </c>
      <c r="F2" s="2">
        <v>12855</v>
      </c>
      <c r="G2" s="2">
        <v>15182</v>
      </c>
      <c r="H2" s="2">
        <v>18162</v>
      </c>
      <c r="I2" s="2">
        <v>12194</v>
      </c>
      <c r="J2" s="2">
        <v>5015</v>
      </c>
      <c r="K2" s="51">
        <f>IF(TRIM($E$2)&lt;&gt;"",(($J$2/$E$2)^(1/5)-1)*100,(IF(TRIM($F$2)&lt;&gt;"",(($J$2/$F$2)^(1/4)-1)*100,(($J$2/$G$2)^(1/3)-1)*100)))</f>
        <v>-25.595827214793797</v>
      </c>
      <c r="L2" s="51"/>
      <c r="M2" s="51"/>
      <c r="N2" s="51"/>
    </row>
    <row r="3" spans="1:15">
      <c r="A3" s="12" t="s">
        <v>12</v>
      </c>
      <c r="B3" s="12" t="s">
        <v>16361</v>
      </c>
      <c r="C3" s="12" t="s">
        <v>17642</v>
      </c>
      <c r="D3" s="2" t="s">
        <v>17643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5">
      <c r="E6" s="254" t="str">
        <f>MID(E7,1,8)</f>
        <v>20241231</v>
      </c>
      <c r="F6" s="254" t="str">
        <f t="shared" ref="F6:J6" si="0">MID(F7,1,8)</f>
        <v>20251231</v>
      </c>
      <c r="G6" s="254" t="str">
        <f t="shared" si="0"/>
        <v>20261231</v>
      </c>
      <c r="H6" s="254" t="str">
        <f t="shared" si="0"/>
        <v>20271231</v>
      </c>
      <c r="I6" s="254" t="str">
        <f t="shared" si="0"/>
        <v>20281231</v>
      </c>
      <c r="J6" s="254" t="str">
        <f t="shared" si="0"/>
        <v>20291231</v>
      </c>
      <c r="K6"/>
      <c r="M6" s="56" t="s">
        <v>0</v>
      </c>
      <c r="O6" s="329" t="s">
        <v>184</v>
      </c>
    </row>
    <row r="7" spans="1:15">
      <c r="A7" s="107">
        <v>2</v>
      </c>
      <c r="B7" s="12"/>
      <c r="C7" s="12" t="s">
        <v>17646</v>
      </c>
      <c r="D7" s="12" t="s">
        <v>17647</v>
      </c>
      <c r="E7" s="12" t="s">
        <v>17655</v>
      </c>
      <c r="F7" s="12" t="s">
        <v>17656</v>
      </c>
      <c r="G7" s="12" t="s">
        <v>17657</v>
      </c>
      <c r="H7" s="12" t="s">
        <v>17658</v>
      </c>
      <c r="I7" s="12" t="s">
        <v>17659</v>
      </c>
      <c r="J7" s="107" t="s">
        <v>17660</v>
      </c>
      <c r="K7"/>
      <c r="L7" s="436" t="s">
        <v>447</v>
      </c>
      <c r="M7" s="57">
        <f ca="1">+민감도!B7</f>
        <v>-3237369.4615647378</v>
      </c>
      <c r="O7" s="434">
        <f>WACC!J39</f>
        <v>267320.49167821457</v>
      </c>
    </row>
    <row r="8" spans="1:15">
      <c r="A8" s="12" t="s">
        <v>12</v>
      </c>
      <c r="B8" s="12" t="s">
        <v>17648</v>
      </c>
      <c r="C8" s="12" t="s">
        <v>17649</v>
      </c>
      <c r="D8" s="2" t="s">
        <v>17650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5">
        <v>2.0379999999999998</v>
      </c>
      <c r="K8"/>
      <c r="L8" s="235">
        <f ca="1">AVERAGE(OFFSET($E$7,1,IF(LEFT(평가기준일,4)=LEFT($E$7,4),0,1),1,5))</f>
        <v>2.2056</v>
      </c>
      <c r="M8" s="298"/>
    </row>
    <row r="9" spans="1:15" ht="17.25" thickBot="1">
      <c r="A9" s="12" t="s">
        <v>17651</v>
      </c>
      <c r="B9" s="12" t="s">
        <v>17652</v>
      </c>
      <c r="C9" s="12" t="s">
        <v>17653</v>
      </c>
      <c r="D9" s="8" t="s">
        <v>17654</v>
      </c>
      <c r="E9" s="53">
        <f>IFERROR(HLOOKUP(E6,$J$16:$O$20,5,0),"")</f>
        <v>13.256700299102707</v>
      </c>
      <c r="F9" s="53">
        <f t="shared" ref="F9:J9" si="1">IFERROR(HLOOKUP(F6,$J$16:$O$20,5,0),"")</f>
        <v>400.08596041730533</v>
      </c>
      <c r="G9" s="53">
        <f t="shared" si="1"/>
        <v>45.863258695958308</v>
      </c>
      <c r="H9" s="53">
        <f t="shared" si="1"/>
        <v>119.24163066303008</v>
      </c>
      <c r="I9" s="53">
        <f t="shared" si="1"/>
        <v>2.9999779818129735</v>
      </c>
      <c r="J9" s="53">
        <f t="shared" si="1"/>
        <v>1.9998076080334437</v>
      </c>
      <c r="K9"/>
      <c r="L9" s="235">
        <f ca="1">AVERAGE(OFFSET($E$7,2,IF(LEFT(평가기준일,4)=LEFT($E$7,4),0,1),1,5))</f>
        <v>116.28950561144188</v>
      </c>
      <c r="M9" s="490"/>
    </row>
    <row r="10" spans="1:15" ht="17.25" thickBot="1">
      <c r="D10" s="145" t="s">
        <v>67</v>
      </c>
      <c r="E10" s="211"/>
      <c r="F10" s="211"/>
      <c r="G10" s="211"/>
      <c r="H10" s="211"/>
      <c r="I10" s="211"/>
      <c r="J10" s="212"/>
      <c r="K10"/>
    </row>
    <row r="12" spans="1:15" ht="17.25" thickBot="1">
      <c r="D12" s="121" t="s">
        <v>48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5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5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5" s="99" customFormat="1" ht="17.25" thickBot="1">
      <c r="M15" s="127"/>
      <c r="O15" s="127" t="s">
        <v>49</v>
      </c>
    </row>
    <row r="16" spans="1:15" s="99" customFormat="1">
      <c r="D16" s="124" t="s">
        <v>50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5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51</v>
      </c>
      <c r="E17" s="129">
        <f t="shared" ref="E17:H17" si="4">F2</f>
        <v>12855</v>
      </c>
      <c r="F17" s="129">
        <f t="shared" si="4"/>
        <v>15182</v>
      </c>
      <c r="G17" s="129">
        <f t="shared" si="4"/>
        <v>18162</v>
      </c>
      <c r="H17" s="129">
        <f t="shared" si="4"/>
        <v>12194</v>
      </c>
      <c r="I17" s="130">
        <f>J2</f>
        <v>5015</v>
      </c>
      <c r="J17" s="334">
        <f t="shared" ref="J17:O17" si="5">I17*(1+J18/100)</f>
        <v>5679.8235200000008</v>
      </c>
      <c r="K17" s="335">
        <f t="shared" si="5"/>
        <v>28404</v>
      </c>
      <c r="L17" s="336">
        <f t="shared" si="5"/>
        <v>41431</v>
      </c>
      <c r="M17" s="335">
        <f t="shared" si="5"/>
        <v>90834</v>
      </c>
      <c r="N17" s="335">
        <f t="shared" si="5"/>
        <v>93559</v>
      </c>
      <c r="O17" s="335">
        <f t="shared" si="5"/>
        <v>95430.000000000015</v>
      </c>
    </row>
    <row r="18" spans="4:17" s="99" customFormat="1" ht="17.25" thickBot="1">
      <c r="D18" s="131" t="s">
        <v>52</v>
      </c>
      <c r="E18" s="132"/>
      <c r="F18" s="213">
        <f>(F17/E17-1)*100</f>
        <v>18.101905873201083</v>
      </c>
      <c r="G18" s="213">
        <f t="shared" ref="G18:I18" si="6">(G17/F17-1)*100</f>
        <v>19.628507443024645</v>
      </c>
      <c r="H18" s="213">
        <f t="shared" si="6"/>
        <v>-32.859817200748822</v>
      </c>
      <c r="I18" s="214">
        <f t="shared" si="6"/>
        <v>-58.873216335902903</v>
      </c>
      <c r="J18" s="337">
        <f>J20</f>
        <v>13.256700299102707</v>
      </c>
      <c r="K18" s="338">
        <f t="shared" ref="K18:O18" si="7">K20</f>
        <v>400.08596041730533</v>
      </c>
      <c r="L18" s="339">
        <f t="shared" si="7"/>
        <v>45.863258695958308</v>
      </c>
      <c r="M18" s="338">
        <f t="shared" si="7"/>
        <v>119.24163066303008</v>
      </c>
      <c r="N18" s="338">
        <f t="shared" si="7"/>
        <v>2.9999779818129735</v>
      </c>
      <c r="O18" s="338">
        <f t="shared" si="7"/>
        <v>1.9998076080334437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5" customFormat="1">
      <c r="E20" s="179" t="s">
        <v>46</v>
      </c>
      <c r="F20" s="179" t="s">
        <v>80</v>
      </c>
      <c r="G20" s="179" t="s">
        <v>47</v>
      </c>
      <c r="I20" s="154" t="s">
        <v>81</v>
      </c>
      <c r="J20" s="236">
        <f>SUMPRODUCT(J21:J25,$I$21:$I$25)/SUM($I$21:$I$25)</f>
        <v>13.256700299102707</v>
      </c>
      <c r="K20" s="236">
        <f t="shared" ref="K20:O20" si="8">SUMPRODUCT(K21:K25,$I$21:$I$25)/SUM($I$21:$I$25)</f>
        <v>400.08596041730533</v>
      </c>
      <c r="L20" s="236">
        <f t="shared" si="8"/>
        <v>45.863258695958308</v>
      </c>
      <c r="M20" s="236">
        <f t="shared" si="8"/>
        <v>119.24163066303008</v>
      </c>
      <c r="N20" s="236">
        <f t="shared" si="8"/>
        <v>2.9999779818129735</v>
      </c>
      <c r="O20" s="236">
        <f t="shared" si="8"/>
        <v>1.9998076080334437</v>
      </c>
    </row>
    <row r="21" spans="4:17" s="205" customFormat="1">
      <c r="E21" s="180">
        <f>100*((I17/F17)^(1/3)-1)</f>
        <v>-30.873062531447392</v>
      </c>
      <c r="F21" s="181">
        <f>(3*I18+2*H18+G18)/6</f>
        <v>-37.118462661030286</v>
      </c>
      <c r="G21" s="181">
        <f>AVERAGE(G18:I18)</f>
        <v>-24.034842031209024</v>
      </c>
      <c r="H21" s="237" t="s">
        <v>82</v>
      </c>
      <c r="I21" s="238">
        <v>0</v>
      </c>
      <c r="J21" s="239">
        <f>HLOOKUP($16:$16,$6:$8,3,0)</f>
        <v>2.4860000000000002</v>
      </c>
      <c r="K21" s="239">
        <f t="shared" ref="K21:O21" si="9">HLOOKUP($16:$16,$6:$8,3,0)</f>
        <v>2.1659999999999999</v>
      </c>
      <c r="L21" s="239">
        <f t="shared" si="9"/>
        <v>2.1589999999999998</v>
      </c>
      <c r="M21" s="239">
        <f t="shared" si="9"/>
        <v>2.117</v>
      </c>
      <c r="N21" s="239">
        <f t="shared" si="9"/>
        <v>2.1</v>
      </c>
      <c r="O21" s="239">
        <f t="shared" si="9"/>
        <v>2.0379999999999998</v>
      </c>
    </row>
    <row r="22" spans="4:17" s="205" customFormat="1">
      <c r="D22" s="146"/>
      <c r="E22" s="146"/>
      <c r="F22" s="146"/>
      <c r="G22" s="146"/>
      <c r="H22" s="240"/>
      <c r="I22" s="241">
        <v>1</v>
      </c>
      <c r="J22" s="341">
        <f>IS추정!S18*100</f>
        <v>13.256700299102707</v>
      </c>
      <c r="K22" s="342">
        <f>IS추정!T18*100</f>
        <v>400.08596041730533</v>
      </c>
      <c r="L22" s="342">
        <f>IS추정!U18*100</f>
        <v>45.863258695958308</v>
      </c>
      <c r="M22" s="342">
        <f>IS추정!V18*100</f>
        <v>119.24163066303008</v>
      </c>
      <c r="N22" s="342">
        <f>IS추정!W18*100</f>
        <v>2.9999779818129735</v>
      </c>
      <c r="O22" s="342">
        <f>IS추정!X18*100</f>
        <v>1.9998076080334437</v>
      </c>
    </row>
    <row r="23" spans="4:17" s="205" customFormat="1">
      <c r="H23" s="237"/>
      <c r="I23" s="238"/>
      <c r="J23" s="242"/>
      <c r="K23" s="239">
        <f>$J$23</f>
        <v>0</v>
      </c>
      <c r="L23" s="239">
        <f t="shared" ref="L23:O23" si="10">$J$23</f>
        <v>0</v>
      </c>
      <c r="M23" s="239">
        <f t="shared" si="10"/>
        <v>0</v>
      </c>
      <c r="N23" s="239">
        <f t="shared" si="10"/>
        <v>0</v>
      </c>
      <c r="O23" s="239">
        <f t="shared" si="10"/>
        <v>0</v>
      </c>
    </row>
    <row r="24" spans="4:17" s="205" customFormat="1">
      <c r="H24" s="96" t="s">
        <v>187</v>
      </c>
      <c r="I24" s="238"/>
      <c r="J24" s="242">
        <f>J28</f>
        <v>30.225818423151942</v>
      </c>
      <c r="K24" s="239">
        <f>K28</f>
        <v>-15.518093900913764</v>
      </c>
      <c r="L24" s="239">
        <f t="shared" ref="L24:N24" si="11">L28</f>
        <v>7.9670708976774565</v>
      </c>
      <c r="M24" s="239">
        <f t="shared" si="11"/>
        <v>-4.0903360357215952</v>
      </c>
      <c r="N24" s="239">
        <f t="shared" si="11"/>
        <v>2.1</v>
      </c>
      <c r="O24" s="239">
        <f>O28</f>
        <v>0</v>
      </c>
    </row>
    <row r="25" spans="4:17" s="205" customFormat="1">
      <c r="H25" s="96" t="s">
        <v>188</v>
      </c>
      <c r="I25" s="243"/>
      <c r="J25" s="244">
        <f t="shared" ref="J25:M25" si="12">J30</f>
        <v>0</v>
      </c>
      <c r="K25" s="245">
        <f t="shared" si="12"/>
        <v>0</v>
      </c>
      <c r="L25" s="245">
        <f t="shared" si="12"/>
        <v>0</v>
      </c>
      <c r="M25" s="245">
        <f t="shared" si="12"/>
        <v>0</v>
      </c>
      <c r="N25" s="245">
        <f>N30</f>
        <v>0</v>
      </c>
      <c r="O25" s="245">
        <f>O30</f>
        <v>0</v>
      </c>
    </row>
    <row r="26" spans="4:17" s="205" customFormat="1"/>
    <row r="27" spans="4:17" s="205" customFormat="1">
      <c r="I27" s="96" t="str">
        <f>LEFT(I16,4)&amp;"년"</f>
        <v>2023년</v>
      </c>
      <c r="J27" s="437" t="str">
        <f>LEFT(J16,4)&amp;"년"</f>
        <v>2024년</v>
      </c>
      <c r="P27" s="269" t="s">
        <v>185</v>
      </c>
      <c r="Q27" s="269" t="s">
        <v>186</v>
      </c>
    </row>
    <row r="28" spans="4:17" customFormat="1">
      <c r="H28" s="96" t="s">
        <v>189</v>
      </c>
      <c r="I28" s="330">
        <f>$I$18</f>
        <v>-58.873216335902903</v>
      </c>
      <c r="J28" s="331">
        <f>I28*$P$28</f>
        <v>30.225818423151942</v>
      </c>
      <c r="K28" s="332">
        <f>J28*$P$28</f>
        <v>-15.518093900913764</v>
      </c>
      <c r="L28" s="332">
        <f>K28*$P$28</f>
        <v>7.9670708976774565</v>
      </c>
      <c r="M28" s="332">
        <f>L28*$P$28</f>
        <v>-4.0903360357215952</v>
      </c>
      <c r="N28" s="333">
        <f>I8</f>
        <v>2.1</v>
      </c>
      <c r="P28" s="380">
        <f>IFERROR((N28/I28)^(1/Q28),"")</f>
        <v>-0.51340525122149994</v>
      </c>
      <c r="Q28" s="500">
        <v>5</v>
      </c>
    </row>
    <row r="29" spans="4:17" customFormat="1">
      <c r="H29" s="205"/>
      <c r="I29" s="205"/>
      <c r="J29" s="205"/>
      <c r="K29" s="205"/>
      <c r="L29" s="205"/>
      <c r="M29" s="205"/>
      <c r="N29" s="205"/>
      <c r="P29" s="205"/>
      <c r="Q29" s="205"/>
    </row>
    <row r="30" spans="4:17" customFormat="1">
      <c r="H30" s="96" t="s">
        <v>190</v>
      </c>
      <c r="I30" s="330">
        <f>$I$18</f>
        <v>-58.873216335902903</v>
      </c>
      <c r="J30" s="331">
        <f>I30*$P$30</f>
        <v>0</v>
      </c>
      <c r="K30" s="332">
        <f>J30*$P$30</f>
        <v>0</v>
      </c>
      <c r="L30" s="332">
        <f>K30*$P$30</f>
        <v>0</v>
      </c>
      <c r="M30" s="332">
        <f>L30*$P$30</f>
        <v>0</v>
      </c>
      <c r="N30" s="333">
        <v>0</v>
      </c>
      <c r="P30" s="380">
        <f>IFERROR((N30/I30)^(1/Q30),"")</f>
        <v>0</v>
      </c>
      <c r="Q30" s="500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  <sheetView workbookViewId="1"/>
  </sheetViews>
  <sheetFormatPr defaultRowHeight="16.5"/>
  <cols>
    <col min="1" max="1" width="50.625" style="204" customWidth="1"/>
    <col min="2" max="2" width="12.625" style="204" customWidth="1"/>
    <col min="3" max="12" width="12.625" customWidth="1"/>
    <col min="18" max="18" width="9.75" customWidth="1"/>
    <col min="20" max="20" width="9.75" customWidth="1"/>
  </cols>
  <sheetData>
    <row r="1" spans="1:15" ht="33">
      <c r="A1" s="628" t="s">
        <v>78</v>
      </c>
      <c r="B1" s="633" t="s">
        <v>692</v>
      </c>
      <c r="C1" s="633" t="s">
        <v>689</v>
      </c>
      <c r="D1" s="634" t="s">
        <v>691</v>
      </c>
      <c r="E1" s="205"/>
      <c r="F1" s="628" t="s">
        <v>688</v>
      </c>
      <c r="G1" s="629">
        <f ca="1">+B56</f>
        <v>14.88</v>
      </c>
      <c r="H1" s="629">
        <f ca="1">+B57</f>
        <v>15.88</v>
      </c>
      <c r="I1" s="630">
        <f ca="1">+B58</f>
        <v>16.88</v>
      </c>
    </row>
    <row r="2" spans="1:15">
      <c r="A2" s="635" t="s">
        <v>689</v>
      </c>
      <c r="B2" s="576" t="e">
        <f t="array" aca="1" ref="B2:D4" ca="1">TRANSPOSE(C56:E58)</f>
        <v>#N/A</v>
      </c>
      <c r="C2" s="576" t="e">
        <f ca="1"/>
        <v>#N/A</v>
      </c>
      <c r="D2" s="577" t="e">
        <f ca="1"/>
        <v>#N/A</v>
      </c>
      <c r="E2" s="205"/>
      <c r="F2" s="631" t="str">
        <f>+C46</f>
        <v>0.0%</v>
      </c>
      <c r="G2" s="576" t="e">
        <f t="shared" ref="G2:I4" ca="1" si="0">B2</f>
        <v>#N/A</v>
      </c>
      <c r="H2" s="576" t="e">
        <f t="shared" ca="1" si="0"/>
        <v>#N/A</v>
      </c>
      <c r="I2" s="577" t="e">
        <f t="shared" ca="1" si="0"/>
        <v>#N/A</v>
      </c>
    </row>
    <row r="3" spans="1:15">
      <c r="A3" s="635" t="s">
        <v>690</v>
      </c>
      <c r="B3" s="576" t="e">
        <f ca="1"/>
        <v>#N/A</v>
      </c>
      <c r="C3" s="576" t="e">
        <f ca="1"/>
        <v>#N/A</v>
      </c>
      <c r="D3" s="577" t="e">
        <f ca="1"/>
        <v>#N/A</v>
      </c>
      <c r="E3" s="205"/>
      <c r="F3" s="631" t="str">
        <f>+D46</f>
        <v>1.0%</v>
      </c>
      <c r="G3" s="576" t="e">
        <f t="shared" ca="1" si="0"/>
        <v>#N/A</v>
      </c>
      <c r="H3" s="576" t="e">
        <f t="shared" ca="1" si="0"/>
        <v>#N/A</v>
      </c>
      <c r="I3" s="577" t="e">
        <f t="shared" ca="1" si="0"/>
        <v>#N/A</v>
      </c>
    </row>
    <row r="4" spans="1:15" ht="17.25" thickBot="1">
      <c r="A4" s="636" t="s">
        <v>691</v>
      </c>
      <c r="B4" s="578" t="e">
        <f ca="1"/>
        <v>#N/A</v>
      </c>
      <c r="C4" s="622" t="e">
        <f ca="1"/>
        <v>#N/A</v>
      </c>
      <c r="D4" s="579" t="e">
        <f ca="1"/>
        <v>#N/A</v>
      </c>
      <c r="E4" s="575"/>
      <c r="F4" s="632" t="str">
        <f>+E46</f>
        <v>2.0%</v>
      </c>
      <c r="G4" s="578" t="e">
        <f t="shared" ca="1" si="0"/>
        <v>#N/A</v>
      </c>
      <c r="H4" s="622" t="e">
        <f t="shared" ca="1" si="0"/>
        <v>#N/A</v>
      </c>
      <c r="I4" s="579" t="e">
        <f t="shared" ca="1" si="0"/>
        <v>#N/A</v>
      </c>
    </row>
    <row r="5" spans="1:15">
      <c r="C5" s="205"/>
      <c r="D5" s="205"/>
      <c r="E5" s="205"/>
      <c r="F5" s="205"/>
      <c r="G5" s="205"/>
      <c r="H5" s="205"/>
      <c r="I5" s="205"/>
    </row>
    <row r="6" spans="1:15">
      <c r="A6" s="226" t="s">
        <v>659</v>
      </c>
      <c r="B6" s="571" t="str">
        <f>평가기준일</f>
        <v>2024-12-31</v>
      </c>
      <c r="G6" s="205"/>
      <c r="H6" s="205"/>
      <c r="I6" s="205"/>
    </row>
    <row r="7" spans="1:15">
      <c r="A7" s="572" t="s">
        <v>660</v>
      </c>
      <c r="B7" s="573">
        <f ca="1">FCF추정!E60</f>
        <v>-3237369.4615647378</v>
      </c>
      <c r="G7" s="205"/>
      <c r="H7" s="205"/>
      <c r="I7" s="205"/>
    </row>
    <row r="8" spans="1:15">
      <c r="A8" s="205"/>
      <c r="B8" s="205"/>
      <c r="G8" s="205"/>
      <c r="H8" s="205"/>
      <c r="I8" s="205"/>
    </row>
    <row r="9" spans="1:15">
      <c r="A9" s="574" t="s">
        <v>661</v>
      </c>
      <c r="B9" s="621">
        <v>1</v>
      </c>
      <c r="G9" s="205"/>
      <c r="H9" s="205"/>
      <c r="I9" s="205"/>
    </row>
    <row r="10" spans="1:15">
      <c r="C10" s="205"/>
      <c r="D10" s="205"/>
      <c r="E10" s="580"/>
      <c r="F10" s="205"/>
      <c r="G10" s="205"/>
      <c r="H10" s="205"/>
      <c r="I10" s="205"/>
    </row>
    <row r="11" spans="1:15">
      <c r="A11" s="625" t="s">
        <v>686</v>
      </c>
      <c r="B11" s="627" t="str">
        <f>IF(Settings!E24="","",IF(Settings!E24=0,"청산가정은 민감도 산출 불가",""))</f>
        <v/>
      </c>
      <c r="C11" s="582"/>
      <c r="D11" s="581"/>
      <c r="E11" s="581"/>
      <c r="F11" s="581"/>
      <c r="G11" s="581"/>
      <c r="I11" s="641" t="s">
        <v>191</v>
      </c>
      <c r="J11" s="642" t="s">
        <v>700</v>
      </c>
      <c r="K11" s="642" t="s">
        <v>192</v>
      </c>
      <c r="L11" s="643" t="s">
        <v>701</v>
      </c>
    </row>
    <row r="12" spans="1:15">
      <c r="A12" s="205"/>
      <c r="B12" s="205"/>
      <c r="C12" s="205"/>
      <c r="D12" s="205"/>
      <c r="E12" s="205"/>
      <c r="F12" s="205"/>
      <c r="G12" s="205"/>
      <c r="I12" s="639">
        <v>0</v>
      </c>
      <c r="J12" s="637">
        <v>9.9</v>
      </c>
      <c r="K12" s="204">
        <v>0</v>
      </c>
      <c r="L12" s="640" t="s">
        <v>702</v>
      </c>
    </row>
    <row r="13" spans="1:15">
      <c r="A13" s="583" t="s">
        <v>662</v>
      </c>
      <c r="B13" s="205"/>
      <c r="C13" s="205"/>
      <c r="D13" s="205"/>
      <c r="E13" s="205"/>
      <c r="F13" s="205"/>
      <c r="I13" s="639">
        <v>200</v>
      </c>
      <c r="J13" s="637">
        <v>20.900000000000002</v>
      </c>
      <c r="K13" s="638">
        <v>22</v>
      </c>
      <c r="L13" s="640" t="s">
        <v>698</v>
      </c>
      <c r="O13" s="204"/>
    </row>
    <row r="14" spans="1:15">
      <c r="A14" s="437" t="s">
        <v>663</v>
      </c>
      <c r="B14" s="205"/>
      <c r="C14" s="205"/>
      <c r="D14" s="205"/>
      <c r="E14" s="205"/>
      <c r="F14" s="205"/>
      <c r="I14" s="639">
        <v>20000</v>
      </c>
      <c r="J14" s="637">
        <v>23.1</v>
      </c>
      <c r="K14" s="638">
        <v>462</v>
      </c>
      <c r="L14" s="640" t="s">
        <v>699</v>
      </c>
      <c r="O14" s="204"/>
    </row>
    <row r="15" spans="1:15">
      <c r="A15" s="437" t="s">
        <v>696</v>
      </c>
      <c r="B15" s="653">
        <f ca="1">OFFSET(FCF추정!$C$1,민감도!B76-1,민감도!B73-1)</f>
        <v>4.5</v>
      </c>
      <c r="C15" s="205"/>
      <c r="D15" s="345"/>
      <c r="E15" s="205"/>
      <c r="F15" s="205"/>
      <c r="I15" s="639">
        <v>300000</v>
      </c>
      <c r="J15" s="644">
        <v>26.400000000000002</v>
      </c>
      <c r="K15" s="639">
        <v>10362</v>
      </c>
      <c r="L15" s="640" t="s">
        <v>703</v>
      </c>
      <c r="O15" s="204"/>
    </row>
    <row r="16" spans="1:15">
      <c r="A16" s="437" t="s">
        <v>705</v>
      </c>
      <c r="B16" s="584">
        <f ca="1">OFFSET(FCF추정!$C$1,민감도!B75-1,민감도!B73-1)</f>
        <v>-10116</v>
      </c>
      <c r="C16" s="580"/>
      <c r="D16" s="205"/>
      <c r="E16" s="205"/>
      <c r="F16" s="205"/>
      <c r="I16" s="2"/>
      <c r="J16" s="2"/>
      <c r="K16" s="2"/>
      <c r="L16" s="2"/>
    </row>
    <row r="17" spans="1:18" s="204" customFormat="1">
      <c r="C17" s="580"/>
      <c r="D17" s="205"/>
      <c r="E17" s="205"/>
      <c r="F17" s="205"/>
      <c r="I17" s="2"/>
      <c r="J17" s="205" t="s">
        <v>706</v>
      </c>
      <c r="K17" s="2"/>
      <c r="L17" s="2"/>
    </row>
    <row r="18" spans="1:18">
      <c r="A18" s="205"/>
      <c r="B18" s="345"/>
      <c r="C18" s="205"/>
      <c r="D18" s="205"/>
      <c r="E18" s="205"/>
      <c r="F18" s="205"/>
      <c r="J18" t="s">
        <v>710</v>
      </c>
    </row>
    <row r="19" spans="1:18" ht="17.25" thickBot="1">
      <c r="A19" s="585" t="s">
        <v>370</v>
      </c>
      <c r="B19" s="585" t="s">
        <v>664</v>
      </c>
      <c r="C19" s="585" t="str">
        <f>TEXT(C46,"0.00%")</f>
        <v>0.00%</v>
      </c>
      <c r="D19" s="585" t="str">
        <f>TEXT(D46,"0.00%")</f>
        <v>1.00%</v>
      </c>
      <c r="E19" s="585" t="str">
        <f>TEXT(E46,"0.00%")</f>
        <v>2.00%</v>
      </c>
      <c r="F19" s="205"/>
    </row>
    <row r="20" spans="1:18">
      <c r="A20" s="586" t="s">
        <v>416</v>
      </c>
      <c r="B20" s="587">
        <f ca="1">+B31</f>
        <v>14.880678476280444</v>
      </c>
      <c r="C20" s="588">
        <f ca="1">OFFSET(FCF추정!$C$1,B78-1,민감도!B73-1)*(1+C$19)</f>
        <v>49903</v>
      </c>
      <c r="D20" s="588">
        <f ca="1">OFFSET(FCF추정!$C$1,B78-1,민감도!B73-1)*(1+D$19)</f>
        <v>50402.03</v>
      </c>
      <c r="E20" s="588">
        <f ca="1">OFFSET(FCF추정!$C$1,B78-1,민감도!B73-1)*(1+E$19)</f>
        <v>50901.06</v>
      </c>
      <c r="F20" s="205"/>
    </row>
    <row r="21" spans="1:18">
      <c r="A21" s="586" t="s">
        <v>422</v>
      </c>
      <c r="B21" s="587">
        <f ca="1">+B32</f>
        <v>15.880678476280444</v>
      </c>
      <c r="C21" s="588">
        <f ca="1">OFFSET(FCF추정!$C$1,B79-1,민감도!B73-1)*(1+C$19)</f>
        <v>8411</v>
      </c>
      <c r="D21" s="588">
        <f ca="1">OFFSET(FCF추정!$C$1,B79-1,민감도!B73-1)*(1+D$19)</f>
        <v>8495.11</v>
      </c>
      <c r="E21" s="588">
        <f ca="1">OFFSET(FCF추정!$C$1,B79-1,민감도!B73-1)*(1+E$19)</f>
        <v>8579.2199999999993</v>
      </c>
      <c r="F21" s="205"/>
    </row>
    <row r="22" spans="1:18">
      <c r="A22" s="586" t="s">
        <v>428</v>
      </c>
      <c r="B22" s="587">
        <f ca="1">+B33</f>
        <v>16.880678476280444</v>
      </c>
      <c r="C22" s="588">
        <f ca="1">OFFSET(FCF추정!$C$1,B80-1,민감도!B73-1)*(1+C$19)</f>
        <v>41492</v>
      </c>
      <c r="D22" s="588">
        <f ca="1">OFFSET(FCF추정!$C$1,B80-1,민감도!B73-1)*(1+D$19)</f>
        <v>41906.92</v>
      </c>
      <c r="E22" s="588">
        <f ca="1">OFFSET(FCF추정!$C$1,B80-1,민감도!B73-1)*(1+E$19)</f>
        <v>42321.840000000004</v>
      </c>
      <c r="F22" s="205"/>
    </row>
    <row r="23" spans="1:18">
      <c r="A23" s="586" t="s">
        <v>665</v>
      </c>
      <c r="B23" s="589" t="s">
        <v>10</v>
      </c>
      <c r="C23" s="588">
        <f ca="1">C22-OFFSET(FCF추정!$C$1,B80-1,B73-1)</f>
        <v>0</v>
      </c>
      <c r="D23" s="588">
        <f ca="1">D22-OFFSET(FCF추정!$C$1,B80-1,B73-1)</f>
        <v>414.91999999999825</v>
      </c>
      <c r="E23" s="588">
        <f ca="1">E22-OFFSET(FCF추정!$C$1,B80-1,B73-1)</f>
        <v>829.84000000000378</v>
      </c>
      <c r="F23" s="205"/>
    </row>
    <row r="24" spans="1:18" s="204" customFormat="1">
      <c r="A24" s="586" t="s">
        <v>697</v>
      </c>
      <c r="B24" s="589" t="s">
        <v>10</v>
      </c>
      <c r="C24" s="588" t="e">
        <f ca="1">+$B$16*(1+C19)*(1-VLOOKUP($B$16,법인세[],2)/100)+VLOOKUP($B$16,법인세[],3)</f>
        <v>#N/A</v>
      </c>
      <c r="D24" s="588" t="e">
        <f ca="1">+$B$16*(1+D19)*(1-VLOOKUP($B$16,법인세[],2)/100)+VLOOKUP($B$16,법인세[],3)</f>
        <v>#N/A</v>
      </c>
      <c r="E24" s="588" t="e">
        <f ca="1">+$B$16*(1+E19)*(1-VLOOKUP($B$16,법인세[],2)/100)+VLOOKUP($B$16,법인세[],3)</f>
        <v>#N/A</v>
      </c>
      <c r="F24" s="205"/>
      <c r="L24"/>
      <c r="M24"/>
      <c r="N24"/>
      <c r="O24"/>
      <c r="P24"/>
      <c r="Q24"/>
      <c r="R24"/>
    </row>
    <row r="25" spans="1:18">
      <c r="A25" s="205"/>
      <c r="B25" s="205"/>
      <c r="C25" s="205"/>
      <c r="D25" s="205"/>
      <c r="E25" s="205"/>
      <c r="F25" s="205"/>
      <c r="G25" s="205"/>
    </row>
    <row r="26" spans="1:18" ht="17.25" thickBot="1">
      <c r="A26" s="585" t="s">
        <v>370</v>
      </c>
      <c r="B26" s="624"/>
      <c r="C26" s="585"/>
      <c r="D26" s="585"/>
      <c r="E26" s="585"/>
      <c r="F26" s="585"/>
      <c r="G26" s="585"/>
    </row>
    <row r="27" spans="1:18">
      <c r="A27" s="590" t="s">
        <v>666</v>
      </c>
      <c r="B27" s="590"/>
      <c r="C27" s="591" t="str">
        <f>+FCF추정!F22</f>
        <v>2025-12-31</v>
      </c>
      <c r="D27" s="591" t="str">
        <f>+FCF추정!G22</f>
        <v>2026-12-31</v>
      </c>
      <c r="E27" s="591" t="str">
        <f>+FCF추정!H22</f>
        <v>2027-12-31</v>
      </c>
      <c r="F27" s="591" t="str">
        <f>+FCF추정!I22</f>
        <v>2028-12-31</v>
      </c>
      <c r="G27" s="591" t="str">
        <f>+FCF추정!J22</f>
        <v>2029-12-31</v>
      </c>
    </row>
    <row r="28" spans="1:18">
      <c r="A28" s="592" t="s">
        <v>667</v>
      </c>
      <c r="B28" s="592"/>
      <c r="C28" s="593">
        <f>YEARFRAC(B6,C27,1)</f>
        <v>1</v>
      </c>
      <c r="D28" s="593">
        <f t="shared" ref="D28:G28" si="1">YEARFRAC(C27,D27,1)</f>
        <v>1</v>
      </c>
      <c r="E28" s="593">
        <f t="shared" si="1"/>
        <v>1</v>
      </c>
      <c r="F28" s="593">
        <f t="shared" si="1"/>
        <v>1</v>
      </c>
      <c r="G28" s="593">
        <f t="shared" si="1"/>
        <v>1</v>
      </c>
    </row>
    <row r="29" spans="1:18">
      <c r="A29" s="121" t="s">
        <v>5</v>
      </c>
      <c r="B29" s="121"/>
      <c r="C29" s="594">
        <f>FCF추정!F24</f>
        <v>0.5</v>
      </c>
      <c r="D29" s="594">
        <f>FCF추정!G24</f>
        <v>1.5</v>
      </c>
      <c r="E29" s="594">
        <f>FCF추정!H24</f>
        <v>2.5</v>
      </c>
      <c r="F29" s="594">
        <f>FCF추정!I24</f>
        <v>3.5</v>
      </c>
      <c r="G29" s="594">
        <f>FCF추정!J24</f>
        <v>4.5</v>
      </c>
    </row>
    <row r="30" spans="1:18">
      <c r="A30" s="205"/>
      <c r="B30" s="595" t="s">
        <v>6</v>
      </c>
      <c r="C30" s="205"/>
      <c r="D30" s="205"/>
      <c r="E30" s="205"/>
      <c r="F30" s="205"/>
      <c r="G30" s="205"/>
    </row>
    <row r="31" spans="1:18">
      <c r="A31" s="596"/>
      <c r="B31" s="597">
        <f ca="1">+B32-1</f>
        <v>14.880678476280444</v>
      </c>
      <c r="C31" s="598">
        <f t="shared" ref="C31:G33" ca="1" si="2">1/(1+$B31/100)^C$29</f>
        <v>0.93298895848557006</v>
      </c>
      <c r="D31" s="598">
        <f t="shared" ca="1" si="2"/>
        <v>0.81213740279067503</v>
      </c>
      <c r="E31" s="598">
        <f t="shared" ca="1" si="2"/>
        <v>0.70693994287155781</v>
      </c>
      <c r="F31" s="598">
        <f t="shared" ca="1" si="2"/>
        <v>0.61536887860348122</v>
      </c>
      <c r="G31" s="598">
        <f t="shared" ca="1" si="2"/>
        <v>0.53565916110996592</v>
      </c>
    </row>
    <row r="32" spans="1:18">
      <c r="A32" s="599" t="s">
        <v>7</v>
      </c>
      <c r="B32" s="597">
        <f ca="1">+B40</f>
        <v>15.880678476280444</v>
      </c>
      <c r="C32" s="598">
        <f t="shared" ca="1" si="2"/>
        <v>0.92895459087000887</v>
      </c>
      <c r="D32" s="598">
        <f t="shared" ca="1" si="2"/>
        <v>0.80164752492380009</v>
      </c>
      <c r="E32" s="598">
        <f t="shared" ca="1" si="2"/>
        <v>0.69178704807798386</v>
      </c>
      <c r="F32" s="598">
        <f t="shared" ca="1" si="2"/>
        <v>0.5969822210003588</v>
      </c>
      <c r="G32" s="598">
        <f t="shared" ca="1" si="2"/>
        <v>0.51516976673773507</v>
      </c>
    </row>
    <row r="33" spans="1:7">
      <c r="A33" s="596"/>
      <c r="B33" s="597">
        <f ca="1">+B32+1</f>
        <v>16.880678476280444</v>
      </c>
      <c r="C33" s="598">
        <f t="shared" ca="1" si="2"/>
        <v>0.92497211010056146</v>
      </c>
      <c r="D33" s="598">
        <f t="shared" ca="1" si="2"/>
        <v>0.79138153727288074</v>
      </c>
      <c r="E33" s="598">
        <f t="shared" ca="1" si="2"/>
        <v>0.67708499607442163</v>
      </c>
      <c r="F33" s="598">
        <f t="shared" ca="1" si="2"/>
        <v>0.5792959152028091</v>
      </c>
      <c r="G33" s="598">
        <f t="shared" ca="1" si="2"/>
        <v>0.49563017836208945</v>
      </c>
    </row>
    <row r="34" spans="1:7">
      <c r="A34" s="600" t="s">
        <v>8</v>
      </c>
      <c r="B34" s="88" t="s">
        <v>10</v>
      </c>
      <c r="C34" s="601">
        <f ca="1">FCF추정!F20</f>
        <v>-24591</v>
      </c>
      <c r="D34" s="601">
        <f ca="1">FCF추정!G20</f>
        <v>-15344</v>
      </c>
      <c r="E34" s="601">
        <f ca="1">FCF추정!H20</f>
        <v>-38919</v>
      </c>
      <c r="F34" s="601">
        <f ca="1">FCF추정!I20</f>
        <v>-12000</v>
      </c>
      <c r="G34" s="601">
        <f ca="1">FCF추정!J20</f>
        <v>-13378</v>
      </c>
    </row>
    <row r="35" spans="1:7">
      <c r="A35" s="602"/>
      <c r="B35" s="603">
        <f ca="1">B47</f>
        <v>14.880678476280444</v>
      </c>
      <c r="C35" s="604">
        <f t="shared" ref="C35:G37" ca="1" si="3">+C$34*C31*C$28</f>
        <v>-22943.131478118652</v>
      </c>
      <c r="D35" s="604">
        <f t="shared" ca="1" si="3"/>
        <v>-12461.436308420118</v>
      </c>
      <c r="E35" s="604">
        <f t="shared" ca="1" si="3"/>
        <v>-27513.395636618159</v>
      </c>
      <c r="F35" s="604">
        <f t="shared" ca="1" si="3"/>
        <v>-7384.4265432417742</v>
      </c>
      <c r="G35" s="604">
        <f t="shared" ca="1" si="3"/>
        <v>-7166.0482573291238</v>
      </c>
    </row>
    <row r="36" spans="1:7">
      <c r="A36" s="605" t="s">
        <v>9</v>
      </c>
      <c r="B36" s="597">
        <f ca="1">B48</f>
        <v>15.880678476280444</v>
      </c>
      <c r="C36" s="604">
        <f t="shared" ca="1" si="3"/>
        <v>-22843.922344084389</v>
      </c>
      <c r="D36" s="604">
        <f t="shared" ca="1" si="3"/>
        <v>-12300.479622430788</v>
      </c>
      <c r="E36" s="604">
        <f t="shared" ca="1" si="3"/>
        <v>-26923.660124147053</v>
      </c>
      <c r="F36" s="604">
        <f t="shared" ca="1" si="3"/>
        <v>-7163.7866520043053</v>
      </c>
      <c r="G36" s="604">
        <f t="shared" ca="1" si="3"/>
        <v>-6891.9411394174194</v>
      </c>
    </row>
    <row r="37" spans="1:7">
      <c r="A37" s="602"/>
      <c r="B37" s="603">
        <f ca="1">B49</f>
        <v>16.880678476280444</v>
      </c>
      <c r="C37" s="604">
        <f t="shared" ca="1" si="3"/>
        <v>-22745.989159482906</v>
      </c>
      <c r="D37" s="604">
        <f t="shared" ca="1" si="3"/>
        <v>-12142.958307915082</v>
      </c>
      <c r="E37" s="604">
        <f t="shared" ca="1" si="3"/>
        <v>-26351.470962220414</v>
      </c>
      <c r="F37" s="604">
        <f t="shared" ca="1" si="3"/>
        <v>-6951.5509824337096</v>
      </c>
      <c r="G37" s="604">
        <f t="shared" ca="1" si="3"/>
        <v>-6630.540526128033</v>
      </c>
    </row>
    <row r="38" spans="1:7">
      <c r="A38" s="205"/>
      <c r="B38"/>
    </row>
    <row r="39" spans="1:7" ht="17.25" thickBot="1">
      <c r="A39" s="585" t="s">
        <v>370</v>
      </c>
      <c r="B39" s="585" t="s">
        <v>668</v>
      </c>
      <c r="C39" s="205"/>
      <c r="D39" s="205"/>
      <c r="E39" s="205"/>
      <c r="F39" s="205"/>
      <c r="G39" s="205"/>
    </row>
    <row r="40" spans="1:7">
      <c r="A40" s="226" t="s">
        <v>669</v>
      </c>
      <c r="B40" s="44">
        <f ca="1">+WACC!E35</f>
        <v>15.880678476280444</v>
      </c>
      <c r="C40" s="205"/>
      <c r="D40" s="205"/>
      <c r="E40" s="205"/>
      <c r="F40" s="205"/>
      <c r="G40" s="205"/>
    </row>
    <row r="41" spans="1:7">
      <c r="A41" s="226" t="s">
        <v>670</v>
      </c>
      <c r="B41" s="102">
        <f>+FCF추정!E54</f>
        <v>8371</v>
      </c>
      <c r="C41" s="205"/>
      <c r="D41" s="205"/>
      <c r="E41" s="205"/>
      <c r="F41" s="205"/>
      <c r="G41" s="205"/>
    </row>
    <row r="42" spans="1:7">
      <c r="A42" s="226" t="s">
        <v>671</v>
      </c>
      <c r="B42" s="102">
        <f>+FCF추정!E56</f>
        <v>33838</v>
      </c>
      <c r="C42" s="205"/>
      <c r="D42" s="205"/>
      <c r="E42" s="205"/>
      <c r="F42" s="205"/>
      <c r="G42" s="205"/>
    </row>
    <row r="43" spans="1:7">
      <c r="A43" s="226" t="s">
        <v>672</v>
      </c>
      <c r="B43" s="102">
        <f>+FCF추정!E57</f>
        <v>326</v>
      </c>
      <c r="C43" s="205"/>
      <c r="D43" s="205"/>
      <c r="E43" s="205"/>
      <c r="F43" s="205"/>
      <c r="G43" s="205"/>
    </row>
    <row r="44" spans="1:7">
      <c r="A44" s="226" t="s">
        <v>684</v>
      </c>
      <c r="B44" s="29">
        <f>+FCF추정!E59</f>
        <v>42743</v>
      </c>
      <c r="C44" s="205"/>
      <c r="D44" s="205"/>
      <c r="E44" s="205"/>
      <c r="F44" s="580"/>
      <c r="G44" s="205"/>
    </row>
    <row r="45" spans="1:7">
      <c r="A45" s="205"/>
      <c r="B45" s="205"/>
      <c r="C45" s="205"/>
      <c r="D45" s="205"/>
      <c r="E45" s="205"/>
      <c r="F45" s="205"/>
      <c r="G45" s="205"/>
    </row>
    <row r="46" spans="1:7" ht="17.25" thickBot="1">
      <c r="A46" s="606" t="s">
        <v>370</v>
      </c>
      <c r="B46" s="606" t="s">
        <v>708</v>
      </c>
      <c r="C46" s="607" t="str">
        <f>TEXT(IF(B9=0,0%,0%),"0.0%")</f>
        <v>0.0%</v>
      </c>
      <c r="D46" s="607" t="str">
        <f>TEXT(IF(B9=0,0.5%,B9/100),"0.0%")</f>
        <v>1.0%</v>
      </c>
      <c r="E46" s="607" t="str">
        <f>TEXT(IF(B9=0,1%,2%),"0.0%")</f>
        <v>2.0%</v>
      </c>
      <c r="F46" s="205"/>
      <c r="G46" s="583" t="s">
        <v>709</v>
      </c>
    </row>
    <row r="47" spans="1:7">
      <c r="A47" s="608"/>
      <c r="B47" s="609">
        <f ca="1">+B32-1</f>
        <v>14.880678476280444</v>
      </c>
      <c r="C47" s="610" t="e">
        <f t="shared" ref="C47:E49" ca="1" si="4">((C$24-C$23)/($B31/100-C$46))*$G47</f>
        <v>#N/A</v>
      </c>
      <c r="D47" s="610" t="e">
        <f t="shared" ca="1" si="4"/>
        <v>#N/A</v>
      </c>
      <c r="E47" s="610" t="e">
        <f t="shared" ca="1" si="4"/>
        <v>#N/A</v>
      </c>
      <c r="F47" s="205"/>
      <c r="G47" s="652">
        <f ca="1">1/(1+(B47/100))^$B$15</f>
        <v>0.53565916110996592</v>
      </c>
    </row>
    <row r="48" spans="1:7">
      <c r="A48" s="608" t="s">
        <v>673</v>
      </c>
      <c r="B48" s="609">
        <f ca="1">+B32</f>
        <v>15.880678476280444</v>
      </c>
      <c r="C48" s="610" t="e">
        <f t="shared" ca="1" si="4"/>
        <v>#N/A</v>
      </c>
      <c r="D48" s="610" t="e">
        <f t="shared" ca="1" si="4"/>
        <v>#N/A</v>
      </c>
      <c r="E48" s="610" t="e">
        <f t="shared" ca="1" si="4"/>
        <v>#N/A</v>
      </c>
      <c r="F48" s="205"/>
      <c r="G48" s="652">
        <f ca="1">1/(1+(B48/100))^$B$15</f>
        <v>0.51516976673773507</v>
      </c>
    </row>
    <row r="49" spans="1:7">
      <c r="A49" s="611"/>
      <c r="B49" s="609">
        <f ca="1">+B32+1</f>
        <v>16.880678476280444</v>
      </c>
      <c r="C49" s="610" t="e">
        <f t="shared" ca="1" si="4"/>
        <v>#N/A</v>
      </c>
      <c r="D49" s="610" t="e">
        <f t="shared" ca="1" si="4"/>
        <v>#N/A</v>
      </c>
      <c r="E49" s="610" t="e">
        <f t="shared" ca="1" si="4"/>
        <v>#N/A</v>
      </c>
      <c r="F49" s="205"/>
      <c r="G49" s="652">
        <f ca="1">1/(1+(B49/100))^$B$15</f>
        <v>0.49563017836208945</v>
      </c>
    </row>
    <row r="50" spans="1:7">
      <c r="A50" s="144"/>
      <c r="B50" s="612">
        <f t="shared" ref="B50:B55" ca="1" si="5">+B47</f>
        <v>14.880678476280444</v>
      </c>
      <c r="C50" s="613" t="e">
        <f ca="1">+SUM($C35:$AV35,C47)</f>
        <v>#N/A</v>
      </c>
      <c r="D50" s="613" t="e">
        <f ca="1">+SUM($C35:$AV35,D47)</f>
        <v>#N/A</v>
      </c>
      <c r="E50" s="613" t="e">
        <f ca="1">+SUM($C35:$AV35,E47)</f>
        <v>#N/A</v>
      </c>
      <c r="F50" s="205"/>
      <c r="G50" s="205"/>
    </row>
    <row r="51" spans="1:7">
      <c r="A51" s="144" t="s">
        <v>674</v>
      </c>
      <c r="B51" s="612">
        <f t="shared" ca="1" si="5"/>
        <v>15.880678476280444</v>
      </c>
      <c r="C51" s="613" t="e">
        <f t="shared" ref="C51:E51" ca="1" si="6">+SUM($C36:$AV36,C48)</f>
        <v>#N/A</v>
      </c>
      <c r="D51" s="613" t="e">
        <f t="shared" ca="1" si="6"/>
        <v>#N/A</v>
      </c>
      <c r="E51" s="613" t="e">
        <f t="shared" ca="1" si="6"/>
        <v>#N/A</v>
      </c>
      <c r="F51" s="205"/>
      <c r="G51" s="205"/>
    </row>
    <row r="52" spans="1:7">
      <c r="A52" s="614"/>
      <c r="B52" s="612">
        <f t="shared" ca="1" si="5"/>
        <v>16.880678476280444</v>
      </c>
      <c r="C52" s="613" t="e">
        <f ca="1">+SUM($C37:$AV37,C49)</f>
        <v>#N/A</v>
      </c>
      <c r="D52" s="613" t="e">
        <f ca="1">+SUM($C37:$AV37,D49)</f>
        <v>#N/A</v>
      </c>
      <c r="E52" s="613" t="e">
        <f ca="1">+SUM($C37:$AV37,E49)</f>
        <v>#N/A</v>
      </c>
      <c r="F52" s="205"/>
      <c r="G52" s="205"/>
    </row>
    <row r="53" spans="1:7">
      <c r="A53" s="615"/>
      <c r="B53" s="616">
        <f t="shared" ca="1" si="5"/>
        <v>14.880678476280444</v>
      </c>
      <c r="C53" s="617" t="e">
        <f t="shared" ref="C53:E55" ca="1" si="7">+C50+$B$41-$B$42-$B$43</f>
        <v>#N/A</v>
      </c>
      <c r="D53" s="617" t="e">
        <f t="shared" ca="1" si="7"/>
        <v>#N/A</v>
      </c>
      <c r="E53" s="617" t="e">
        <f t="shared" ca="1" si="7"/>
        <v>#N/A</v>
      </c>
      <c r="F53" s="205"/>
      <c r="G53" s="205"/>
    </row>
    <row r="54" spans="1:7">
      <c r="A54" s="605" t="s">
        <v>675</v>
      </c>
      <c r="B54" s="616">
        <f t="shared" ca="1" si="5"/>
        <v>15.880678476280444</v>
      </c>
      <c r="C54" s="617" t="e">
        <f t="shared" ca="1" si="7"/>
        <v>#N/A</v>
      </c>
      <c r="D54" s="617" t="e">
        <f t="shared" ca="1" si="7"/>
        <v>#N/A</v>
      </c>
      <c r="E54" s="617" t="e">
        <f t="shared" ca="1" si="7"/>
        <v>#N/A</v>
      </c>
      <c r="F54" s="205"/>
      <c r="G54" s="205"/>
    </row>
    <row r="55" spans="1:7">
      <c r="A55" s="615"/>
      <c r="B55" s="616">
        <f t="shared" ca="1" si="5"/>
        <v>16.880678476280444</v>
      </c>
      <c r="C55" s="617" t="e">
        <f ca="1">+C52+$B$41-$B$42-$B$43</f>
        <v>#N/A</v>
      </c>
      <c r="D55" s="617" t="e">
        <f t="shared" ca="1" si="7"/>
        <v>#N/A</v>
      </c>
      <c r="E55" s="617" t="e">
        <f t="shared" ca="1" si="7"/>
        <v>#N/A</v>
      </c>
      <c r="F55" s="205"/>
      <c r="G55" s="205"/>
    </row>
    <row r="56" spans="1:7">
      <c r="A56" s="618"/>
      <c r="B56" s="619">
        <f ca="1">ROUND(+B53,2)</f>
        <v>14.88</v>
      </c>
      <c r="C56" s="620" t="e">
        <f t="shared" ref="C56:E58" ca="1" si="8">+C53/$B$44*1000000</f>
        <v>#N/A</v>
      </c>
      <c r="D56" s="620" t="e">
        <f t="shared" ca="1" si="8"/>
        <v>#N/A</v>
      </c>
      <c r="E56" s="620" t="e">
        <f t="shared" ca="1" si="8"/>
        <v>#N/A</v>
      </c>
      <c r="F56" s="205"/>
      <c r="G56" s="205"/>
    </row>
    <row r="57" spans="1:7">
      <c r="A57" s="599" t="s">
        <v>676</v>
      </c>
      <c r="B57" s="619">
        <f t="shared" ref="B57:B58" ca="1" si="9">ROUND(+B54,2)</f>
        <v>15.88</v>
      </c>
      <c r="C57" s="620" t="e">
        <f t="shared" ca="1" si="8"/>
        <v>#N/A</v>
      </c>
      <c r="D57" s="620" t="e">
        <f t="shared" ca="1" si="8"/>
        <v>#N/A</v>
      </c>
      <c r="E57" s="620" t="e">
        <f t="shared" ca="1" si="8"/>
        <v>#N/A</v>
      </c>
      <c r="F57" s="205"/>
      <c r="G57" s="205"/>
    </row>
    <row r="58" spans="1:7">
      <c r="A58" s="618"/>
      <c r="B58" s="619">
        <f t="shared" ca="1" si="9"/>
        <v>16.88</v>
      </c>
      <c r="C58" s="620" t="e">
        <f t="shared" ca="1" si="8"/>
        <v>#N/A</v>
      </c>
      <c r="D58" s="620" t="e">
        <f t="shared" ca="1" si="8"/>
        <v>#N/A</v>
      </c>
      <c r="E58" s="620" t="e">
        <f t="shared" ca="1" si="8"/>
        <v>#N/A</v>
      </c>
      <c r="F58" s="205"/>
      <c r="G58" s="205"/>
    </row>
    <row r="70" spans="1:7">
      <c r="A70" s="626" t="s">
        <v>685</v>
      </c>
      <c r="B70" s="623"/>
      <c r="C70" s="623"/>
      <c r="D70" s="623"/>
      <c r="E70" s="623"/>
      <c r="F70" s="623"/>
      <c r="G70" s="623"/>
    </row>
    <row r="72" spans="1:7">
      <c r="A72" s="583" t="s">
        <v>677</v>
      </c>
      <c r="B72" s="583" t="s">
        <v>624</v>
      </c>
    </row>
    <row r="73" spans="1:7">
      <c r="A73" s="437" t="s">
        <v>678</v>
      </c>
      <c r="B73" s="205">
        <f>MATCH(A73,FCF추정!$1:$1,0)-3</f>
        <v>8</v>
      </c>
    </row>
    <row r="74" spans="1:7">
      <c r="A74" s="437" t="s">
        <v>679</v>
      </c>
      <c r="B74" s="205">
        <f>MATCH(A74,FCF추정!$C:$C,0)</f>
        <v>5</v>
      </c>
    </row>
    <row r="75" spans="1:7">
      <c r="A75" s="437" t="s">
        <v>704</v>
      </c>
      <c r="B75" s="205">
        <f>MATCH(A75,FCF추정!$C:$C,0)</f>
        <v>7</v>
      </c>
    </row>
    <row r="76" spans="1:7">
      <c r="A76" s="437" t="s">
        <v>695</v>
      </c>
      <c r="B76" s="205">
        <f>MATCH(A76,FCF추정!$C:$C,0)</f>
        <v>24</v>
      </c>
    </row>
    <row r="77" spans="1:7">
      <c r="A77" s="437"/>
      <c r="B77" s="205"/>
    </row>
    <row r="78" spans="1:7">
      <c r="A78" s="437" t="s">
        <v>680</v>
      </c>
      <c r="B78" s="205">
        <f>MATCH(A78,FCF추정!$C:$C,0)</f>
        <v>16</v>
      </c>
    </row>
    <row r="79" spans="1:7">
      <c r="A79" s="437" t="s">
        <v>681</v>
      </c>
      <c r="B79" s="205">
        <f>MATCH(A79,FCF추정!$C:$C,0)</f>
        <v>17</v>
      </c>
    </row>
    <row r="80" spans="1:7">
      <c r="A80" s="437" t="s">
        <v>682</v>
      </c>
      <c r="B80" s="205">
        <f>MATCH(A80,FCF추정!$C:$C,0)</f>
        <v>18</v>
      </c>
    </row>
    <row r="81" spans="1:2">
      <c r="A81" s="437" t="s">
        <v>683</v>
      </c>
      <c r="B81" s="205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  <sheetView workbookViewId="1"/>
  </sheetViews>
  <sheetFormatPr defaultRowHeight="16.5"/>
  <cols>
    <col min="1" max="1" width="3.625" style="204" customWidth="1"/>
    <col min="2" max="6" width="15.625" style="204" customWidth="1"/>
    <col min="7" max="7" width="3.625" style="204" customWidth="1"/>
    <col min="8" max="8" width="12.625" style="204" customWidth="1"/>
    <col min="9" max="9" width="1.625" customWidth="1"/>
    <col min="10" max="14" width="12.625" style="204" customWidth="1"/>
    <col min="15" max="15" width="3.625" style="204" customWidth="1"/>
    <col min="16" max="16" width="15.625" style="384" customWidth="1"/>
    <col min="17" max="17" width="1.625" customWidth="1"/>
    <col min="18" max="19" width="10.625" style="204" customWidth="1"/>
    <col min="20" max="20" width="3.625" style="204" customWidth="1"/>
    <col min="21" max="21" width="20" style="204" bestFit="1" customWidth="1"/>
    <col min="22" max="25" width="12.625" style="204" customWidth="1"/>
    <col min="26" max="26" width="3.625" style="204" customWidth="1"/>
    <col min="27" max="27" width="20.625" style="204" customWidth="1"/>
    <col min="28" max="28" width="1.625" customWidth="1"/>
    <col min="29" max="33" width="12.625" style="204" customWidth="1"/>
    <col min="34" max="34" width="9" style="204"/>
    <col min="35" max="35" width="9" style="204" hidden="1" customWidth="1"/>
    <col min="36" max="36" width="14.5" style="503" customWidth="1"/>
    <col min="37" max="37" width="10.625" style="503" customWidth="1"/>
    <col min="38" max="38" width="20.625" style="503" customWidth="1"/>
    <col min="39" max="39" width="9" style="503" customWidth="1"/>
    <col min="40" max="40" width="10.625" style="503" customWidth="1"/>
    <col min="41" max="41" width="10.625" style="204" customWidth="1"/>
    <col min="42" max="43" width="9" style="204" customWidth="1"/>
    <col min="44" max="44" width="10.625" style="204" customWidth="1"/>
    <col min="45" max="16384" width="9" style="204"/>
  </cols>
  <sheetData>
    <row r="1" spans="2:44">
      <c r="AA1" s="383" t="str">
        <f>LEFT(AA2,4)</f>
        <v>FCF추</v>
      </c>
      <c r="AC1" s="383" t="str">
        <f t="shared" ref="AC1:AF1" si="0">LEFT(AC4,4)</f>
        <v>FCF추</v>
      </c>
      <c r="AD1" s="383" t="str">
        <f t="shared" si="0"/>
        <v>FCF추</v>
      </c>
      <c r="AE1" s="383" t="str">
        <f t="shared" si="0"/>
        <v>FCF추</v>
      </c>
      <c r="AF1" s="383" t="str">
        <f t="shared" si="0"/>
        <v>FCF추</v>
      </c>
      <c r="AG1" s="383" t="str">
        <f>LEFT(AG4,4)</f>
        <v>FCF추</v>
      </c>
      <c r="AJ1" s="683" t="s">
        <v>717</v>
      </c>
      <c r="AK1" s="683" t="s">
        <v>715</v>
      </c>
      <c r="AL1" s="683" t="s">
        <v>716</v>
      </c>
      <c r="AM1" s="684"/>
      <c r="AN1" s="683" t="s">
        <v>718</v>
      </c>
      <c r="AO1" s="683" t="s">
        <v>719</v>
      </c>
      <c r="AP1" s="685"/>
      <c r="AQ1" s="683" t="s">
        <v>566</v>
      </c>
      <c r="AR1" s="683" t="s">
        <v>721</v>
      </c>
    </row>
    <row r="2" spans="2:44">
      <c r="B2" s="685" t="s">
        <v>739</v>
      </c>
      <c r="C2" s="688" t="b">
        <f ca="1">+D23=AC39=평가값</f>
        <v>0</v>
      </c>
      <c r="D2" s="689" t="b">
        <f ca="1">IFERROR(C2,"보고서 작성 확인 검토 필요!!")</f>
        <v>0</v>
      </c>
      <c r="J2" s="511" t="s">
        <v>243</v>
      </c>
      <c r="AA2" s="385" t="s">
        <v>244</v>
      </c>
      <c r="AC2" s="383" t="e">
        <f>MATCH(AC1,IS추정!$I$13:$O$13,0)-1</f>
        <v>#N/A</v>
      </c>
      <c r="AD2" s="383" t="e">
        <f>MATCH(AD1,IS추정!$I$13:$O$13,0)-1</f>
        <v>#N/A</v>
      </c>
      <c r="AE2" s="383" t="e">
        <f>MATCH(AE1,IS추정!$I$13:$O$13,0)-1</f>
        <v>#N/A</v>
      </c>
      <c r="AF2" s="383" t="e">
        <f>MATCH(AF1,IS추정!$I$13:$O$13,0)-1</f>
        <v>#N/A</v>
      </c>
      <c r="AG2" s="383" t="e">
        <f>MATCH(AG1,IS추정!$I$13:$O$13,0)-1</f>
        <v>#N/A</v>
      </c>
    </row>
    <row r="3" spans="2:44">
      <c r="AI3" s="386"/>
    </row>
    <row r="4" spans="2:44">
      <c r="B4" s="432" t="s">
        <v>406</v>
      </c>
      <c r="C4" s="527" t="str">
        <f>TRIM(COMPANY!E2)</f>
        <v>(주)미래세라텍</v>
      </c>
      <c r="D4" s="432" t="s">
        <v>407</v>
      </c>
      <c r="E4" s="527" t="s">
        <v>408</v>
      </c>
      <c r="F4" s="528"/>
      <c r="H4" s="389" t="s">
        <v>249</v>
      </c>
      <c r="J4" s="390" t="str">
        <f>LEFT(AC$4,4)&amp;"년"</f>
        <v>FCF추년</v>
      </c>
      <c r="K4" s="390" t="str">
        <f>LEFT(AD$4,4)&amp;"년"</f>
        <v>FCF추년</v>
      </c>
      <c r="L4" s="390" t="str">
        <f>LEFT(AE$4,4)&amp;"년"</f>
        <v>FCF추년</v>
      </c>
      <c r="M4" s="390" t="str">
        <f>LEFT(AF$4,4)&amp;"년"</f>
        <v>FCF추년</v>
      </c>
      <c r="N4" s="390" t="str">
        <f>LEFT(AG$4,4)&amp;"년"</f>
        <v>FCF추년</v>
      </c>
      <c r="P4" s="390" t="s">
        <v>249</v>
      </c>
      <c r="R4" s="390" t="s">
        <v>250</v>
      </c>
      <c r="S4" s="390" t="s">
        <v>251</v>
      </c>
      <c r="U4" s="388" t="s">
        <v>252</v>
      </c>
      <c r="V4" s="388" t="s">
        <v>253</v>
      </c>
      <c r="W4" s="388" t="s">
        <v>254</v>
      </c>
      <c r="X4" s="388" t="s">
        <v>255</v>
      </c>
      <c r="Y4" s="388" t="s">
        <v>562</v>
      </c>
      <c r="AA4" s="387" t="s">
        <v>249</v>
      </c>
      <c r="AC4" s="682" t="s">
        <v>257</v>
      </c>
      <c r="AD4" s="682" t="s">
        <v>258</v>
      </c>
      <c r="AE4" s="682" t="s">
        <v>259</v>
      </c>
      <c r="AF4" s="682" t="s">
        <v>260</v>
      </c>
      <c r="AG4" s="682" t="s">
        <v>261</v>
      </c>
      <c r="AI4" s="376"/>
      <c r="AJ4" s="501" t="s">
        <v>116</v>
      </c>
      <c r="AK4" s="501" t="s">
        <v>520</v>
      </c>
      <c r="AL4" s="502" t="str">
        <f>평가기준일</f>
        <v>2024-12-31</v>
      </c>
      <c r="AN4" s="509">
        <v>1</v>
      </c>
      <c r="AO4" s="509">
        <f t="array" ref="AO4:AO18">IFERROR(SMALL(IF(Bloomberg!$O$7:$O$30=1,ROW(Bloomberg!$N$7:$N$30)),$AN$4:$AN$18),"")</f>
        <v>8</v>
      </c>
      <c r="AQ4" s="204" t="s">
        <v>567</v>
      </c>
      <c r="AR4" s="204" t="str">
        <f t="shared" ref="AR4:AR24" ca="1" si="1">CELL("address",INDIRECT($AQ4))</f>
        <v>$B$4</v>
      </c>
    </row>
    <row r="5" spans="2:44">
      <c r="B5" s="432" t="s">
        <v>116</v>
      </c>
      <c r="C5" s="529" t="str">
        <f>TRIM(평가기준일)</f>
        <v>2024-12-31</v>
      </c>
      <c r="D5" s="432" t="s">
        <v>409</v>
      </c>
      <c r="E5" s="530">
        <f>COMPANY!E7</f>
        <v>10000</v>
      </c>
      <c r="F5" s="528"/>
      <c r="H5" s="394" t="s">
        <v>214</v>
      </c>
      <c r="J5" s="395" t="e">
        <f ca="1">OFFSET(IS추정!$I$13,1,AC2)</f>
        <v>#N/A</v>
      </c>
      <c r="K5" s="395" t="e">
        <f ca="1">OFFSET(IS추정!$I$13,1,AD2)</f>
        <v>#N/A</v>
      </c>
      <c r="L5" s="395" t="e">
        <f ca="1">OFFSET(IS추정!$I$13,1,AE2)</f>
        <v>#N/A</v>
      </c>
      <c r="M5" s="395" t="e">
        <f ca="1">OFFSET(IS추정!$I$13,1,AF2)</f>
        <v>#N/A</v>
      </c>
      <c r="N5" s="395" t="e">
        <f ca="1">OFFSET(IS추정!$I$13,1,AG2)</f>
        <v>#N/A</v>
      </c>
      <c r="P5" s="391" t="s">
        <v>266</v>
      </c>
      <c r="R5" s="396" t="s">
        <v>538</v>
      </c>
      <c r="S5" s="391"/>
      <c r="U5" s="392" t="str">
        <f ca="1">IFERROR(OFFSET(Bloomberg!$A$1,'보고서(일반)'!AO4-1,1),"")</f>
        <v>삼성전기</v>
      </c>
      <c r="V5" s="397">
        <f ca="1">IF('보고서(일반)'!$U5&lt;&gt;"",INDEX(Bloomberg!K:K,MATCH('보고서(일반)'!$U5,Bloomberg!$B:$B,0)))</f>
        <v>1.044</v>
      </c>
      <c r="W5" s="398">
        <f ca="1">IF('보고서(일반)'!$U5&lt;&gt;"",INDEX(Bloomberg!L:L,MATCH('보고서(일반)'!$U5,Bloomberg!$B:$B,0)))</f>
        <v>23.635200741961658</v>
      </c>
      <c r="X5" s="397">
        <f ca="1">IF('보고서(일반)'!$U5&lt;&gt;"",INDEX(Bloomberg!P:P,MATCH('보고서(일반)'!$U5,Bloomberg!$B:$B,0)))</f>
        <v>0.84441970711798064</v>
      </c>
      <c r="Y5" s="397">
        <f ca="1">IF('보고서(일반)'!$U5&lt;&gt;"",INDEX(Bloomberg!R:R,MATCH('보고서(일반)'!$U5,Bloomberg!$B:$B,0)))</f>
        <v>1.203038261584997</v>
      </c>
      <c r="AA5" s="399" t="s">
        <v>267</v>
      </c>
      <c r="AC5" s="400" t="e">
        <f ca="1">J5</f>
        <v>#N/A</v>
      </c>
      <c r="AD5" s="400" t="e">
        <f ca="1">K5</f>
        <v>#N/A</v>
      </c>
      <c r="AE5" s="400" t="e">
        <f ca="1">L5</f>
        <v>#N/A</v>
      </c>
      <c r="AF5" s="400" t="e">
        <f ca="1">M5</f>
        <v>#N/A</v>
      </c>
      <c r="AG5" s="400" t="e">
        <f ca="1">N5</f>
        <v>#N/A</v>
      </c>
      <c r="AI5" s="376"/>
      <c r="AJ5" s="501" t="s">
        <v>352</v>
      </c>
      <c r="AK5" s="501" t="s">
        <v>564</v>
      </c>
      <c r="AL5" s="504" t="str">
        <f>TRIM(COMPANY!E2)</f>
        <v>(주)미래세라텍</v>
      </c>
      <c r="AN5" s="509">
        <v>2</v>
      </c>
      <c r="AO5" s="509">
        <v>9</v>
      </c>
      <c r="AQ5" s="204" t="s">
        <v>568</v>
      </c>
      <c r="AR5" s="204" t="str">
        <f t="shared" ca="1" si="1"/>
        <v>$B$8</v>
      </c>
    </row>
    <row r="6" spans="2:44">
      <c r="B6" s="432" t="s">
        <v>411</v>
      </c>
      <c r="C6" s="527" t="s">
        <v>412</v>
      </c>
      <c r="D6" s="432" t="s">
        <v>413</v>
      </c>
      <c r="E6" s="527" t="s">
        <v>414</v>
      </c>
      <c r="F6" s="528"/>
      <c r="H6" s="401" t="s">
        <v>272</v>
      </c>
      <c r="J6" s="402" t="e">
        <f ca="1">J5</f>
        <v>#N/A</v>
      </c>
      <c r="K6" s="402" t="e">
        <f ca="1">K5</f>
        <v>#N/A</v>
      </c>
      <c r="L6" s="402" t="e">
        <f ca="1">L5</f>
        <v>#N/A</v>
      </c>
      <c r="M6" s="402" t="e">
        <f ca="1">M5</f>
        <v>#N/A</v>
      </c>
      <c r="N6" s="402" t="e">
        <f ca="1">N5</f>
        <v>#N/A</v>
      </c>
      <c r="P6" s="391" t="s">
        <v>273</v>
      </c>
      <c r="R6" s="396" t="s">
        <v>539</v>
      </c>
      <c r="S6" s="391"/>
      <c r="U6" s="392" t="str">
        <f ca="1">IFERROR(OFFSET(Bloomberg!$A$1,'보고서(일반)'!AO5-1,1),"")</f>
        <v>원익QnC</v>
      </c>
      <c r="V6" s="397">
        <f ca="1">IF('보고서(일반)'!$U6&lt;&gt;"",INDEX(Bloomberg!K:K,MATCH('보고서(일반)'!$U6,Bloomberg!$B:$B,0)))</f>
        <v>1.133</v>
      </c>
      <c r="W6" s="398">
        <f ca="1">IF('보고서(일반)'!$U6&lt;&gt;"",INDEX(Bloomberg!L:L,MATCH('보고서(일반)'!$U6,Bloomberg!$B:$B,0)))</f>
        <v>108.55133581452054</v>
      </c>
      <c r="X6" s="397">
        <f ca="1">IF('보고서(일반)'!$U6&lt;&gt;"",INDEX(Bloomberg!P:P,MATCH('보고서(일반)'!$U6,Bloomberg!$B:$B,0)))</f>
        <v>0.54327151421732289</v>
      </c>
      <c r="Y6" s="397">
        <f ca="1">IF('보고서(일반)'!$U6&lt;&gt;"",INDEX(Bloomberg!R:R,MATCH('보고서(일반)'!$U6,Bloomberg!$B:$B,0)))</f>
        <v>0.77399474754482578</v>
      </c>
      <c r="AA6" s="399" t="s">
        <v>274</v>
      </c>
      <c r="AC6" s="400" t="e">
        <f ca="1">J10</f>
        <v>#N/A</v>
      </c>
      <c r="AD6" s="400" t="e">
        <f ca="1">K10</f>
        <v>#N/A</v>
      </c>
      <c r="AE6" s="400" t="e">
        <f ca="1">L10</f>
        <v>#N/A</v>
      </c>
      <c r="AF6" s="400" t="e">
        <f ca="1">M10</f>
        <v>#N/A</v>
      </c>
      <c r="AG6" s="400" t="e">
        <f ca="1">N10</f>
        <v>#N/A</v>
      </c>
      <c r="AI6" s="376"/>
      <c r="AJ6" s="501" t="s">
        <v>521</v>
      </c>
      <c r="AK6" s="501" t="s">
        <v>522</v>
      </c>
      <c r="AL6" s="505">
        <f>DATEVALUE(AL4)</f>
        <v>45657</v>
      </c>
      <c r="AN6" s="509">
        <v>3</v>
      </c>
      <c r="AO6" s="509">
        <v>10</v>
      </c>
      <c r="AQ6" s="204" t="s">
        <v>569</v>
      </c>
      <c r="AR6" s="204" t="str">
        <f t="shared" ca="1" si="1"/>
        <v>$D$16</v>
      </c>
    </row>
    <row r="7" spans="2:44">
      <c r="B7" s="528"/>
      <c r="C7" s="528"/>
      <c r="D7" s="528"/>
      <c r="E7" s="528"/>
      <c r="F7" s="528"/>
      <c r="H7" s="403" t="s">
        <v>279</v>
      </c>
      <c r="J7" s="510" t="e">
        <f>R29/S29-1</f>
        <v>#DIV/0!</v>
      </c>
      <c r="K7" s="404" t="e">
        <f ca="1">K6/J6-1</f>
        <v>#N/A</v>
      </c>
      <c r="L7" s="404" t="e">
        <f ca="1">L6/K6-1</f>
        <v>#N/A</v>
      </c>
      <c r="M7" s="404" t="e">
        <f ca="1">M6/L6-1</f>
        <v>#N/A</v>
      </c>
      <c r="N7" s="404" t="e">
        <f ca="1">N6/M6-1</f>
        <v>#N/A</v>
      </c>
      <c r="P7" s="391" t="s">
        <v>280</v>
      </c>
      <c r="R7" s="396" t="s">
        <v>540</v>
      </c>
      <c r="S7" s="391"/>
      <c r="U7" s="392" t="str">
        <f ca="1">IFERROR(OFFSET(Bloomberg!$A$1,'보고서(일반)'!AO6-1,1),"")</f>
        <v>아이씨디</v>
      </c>
      <c r="V7" s="397">
        <f ca="1">IF('보고서(일반)'!$U7&lt;&gt;"",INDEX(Bloomberg!K:K,MATCH('보고서(일반)'!$U7,Bloomberg!$B:$B,0)))</f>
        <v>0.82</v>
      </c>
      <c r="W7" s="398">
        <f ca="1">IF('보고서(일반)'!$U7&lt;&gt;"",INDEX(Bloomberg!L:L,MATCH('보고서(일반)'!$U7,Bloomberg!$B:$B,0)))</f>
        <v>43.804376743062193</v>
      </c>
      <c r="X7" s="397">
        <f ca="1">IF('보고서(일반)'!$U7&lt;&gt;"",INDEX(Bloomberg!P:P,MATCH('보고서(일반)'!$U7,Bloomberg!$B:$B,0)))</f>
        <v>0.57021908412781375</v>
      </c>
      <c r="Y7" s="397">
        <f ca="1">IF('보고서(일반)'!$U7&lt;&gt;"",INDEX(Bloomberg!R:R,MATCH('보고서(일반)'!$U7,Bloomberg!$B:$B,0)))</f>
        <v>0.81238674311975567</v>
      </c>
      <c r="AA7" s="399" t="s">
        <v>281</v>
      </c>
      <c r="AC7" s="400" t="e">
        <f ca="1">AC5-AC6</f>
        <v>#N/A</v>
      </c>
      <c r="AD7" s="400" t="e">
        <f ca="1">AD5-AD6</f>
        <v>#N/A</v>
      </c>
      <c r="AE7" s="400" t="e">
        <f ca="1">AE5-AE6</f>
        <v>#N/A</v>
      </c>
      <c r="AF7" s="400" t="e">
        <f ca="1">AF5-AF6</f>
        <v>#N/A</v>
      </c>
      <c r="AG7" s="400" t="e">
        <f ca="1">AG5-AG6</f>
        <v>#N/A</v>
      </c>
      <c r="AI7" s="376"/>
      <c r="AJ7" s="501" t="s">
        <v>523</v>
      </c>
      <c r="AK7" s="501" t="s">
        <v>524</v>
      </c>
      <c r="AL7" s="725">
        <f ca="1">Settings!E72</f>
        <v>2029</v>
      </c>
      <c r="AN7" s="509">
        <v>4</v>
      </c>
      <c r="AO7" s="509">
        <v>11</v>
      </c>
      <c r="AQ7" s="204" t="s">
        <v>570</v>
      </c>
      <c r="AR7" s="204" t="str">
        <f t="shared" ca="1" si="1"/>
        <v>$B$25</v>
      </c>
    </row>
    <row r="8" spans="2:44">
      <c r="B8" s="531" t="s">
        <v>245</v>
      </c>
      <c r="C8" s="532" t="s">
        <v>246</v>
      </c>
      <c r="D8" s="532" t="s">
        <v>247</v>
      </c>
      <c r="E8" s="532" t="s">
        <v>588</v>
      </c>
      <c r="F8" s="532" t="s">
        <v>248</v>
      </c>
      <c r="P8" s="391" t="s">
        <v>286</v>
      </c>
      <c r="R8" s="395" t="s">
        <v>541</v>
      </c>
      <c r="S8" s="391"/>
      <c r="U8" s="392" t="str">
        <f ca="1">IFERROR(OFFSET(Bloomberg!$A$1,'보고서(일반)'!AO7-1,1),"")</f>
        <v>삼화콘덴서</v>
      </c>
      <c r="V8" s="397">
        <f ca="1">IF('보고서(일반)'!$U8&lt;&gt;"",INDEX(Bloomberg!K:K,MATCH('보고서(일반)'!$U8,Bloomberg!$B:$B,0)))</f>
        <v>0.96499999999999997</v>
      </c>
      <c r="W8" s="398">
        <f ca="1">IF('보고서(일반)'!$U8&lt;&gt;"",INDEX(Bloomberg!L:L,MATCH('보고서(일반)'!$U8,Bloomberg!$B:$B,0)))</f>
        <v>1.1851155875521802</v>
      </c>
      <c r="X8" s="397">
        <f ca="1">IF('보고서(일반)'!$U8&lt;&gt;"",INDEX(Bloomberg!P:P,MATCH('보고서(일반)'!$U8,Bloomberg!$B:$B,0)))</f>
        <v>0.95369758130583626</v>
      </c>
      <c r="Y8" s="397">
        <f ca="1">IF('보고서(일반)'!$U8&lt;&gt;"",INDEX(Bloomberg!R:R,MATCH('보고서(일반)'!$U8,Bloomberg!$B:$B,0)))</f>
        <v>1.3587256083919017</v>
      </c>
      <c r="AA8" s="399" t="s">
        <v>287</v>
      </c>
      <c r="AC8" s="400" t="e">
        <f t="shared" ref="AC8:AG14" ca="1" si="2">J31</f>
        <v>#N/A</v>
      </c>
      <c r="AD8" s="400" t="e">
        <f t="shared" ca="1" si="2"/>
        <v>#N/A</v>
      </c>
      <c r="AE8" s="400" t="e">
        <f t="shared" ca="1" si="2"/>
        <v>#N/A</v>
      </c>
      <c r="AF8" s="400" t="e">
        <f t="shared" ca="1" si="2"/>
        <v>#N/A</v>
      </c>
      <c r="AG8" s="400" t="e">
        <f t="shared" ca="1" si="2"/>
        <v>#N/A</v>
      </c>
      <c r="AI8" s="376"/>
      <c r="AJ8" s="501" t="s">
        <v>525</v>
      </c>
      <c r="AK8" s="501" t="s">
        <v>526</v>
      </c>
      <c r="AL8" s="507">
        <f>MONTH(AL6)</f>
        <v>12</v>
      </c>
      <c r="AN8" s="509">
        <v>5</v>
      </c>
      <c r="AO8" s="509">
        <v>12</v>
      </c>
      <c r="AQ8" s="204" t="s">
        <v>571</v>
      </c>
      <c r="AR8" s="204" t="str">
        <f t="shared" ca="1" si="1"/>
        <v>$B$29</v>
      </c>
    </row>
    <row r="9" spans="2:44">
      <c r="B9" s="394" t="str">
        <f>LEFT(AC$4,4)&amp;"년"</f>
        <v>FCF추년</v>
      </c>
      <c r="C9" s="533" t="s">
        <v>262</v>
      </c>
      <c r="D9" s="534" t="s">
        <v>263</v>
      </c>
      <c r="E9" s="534" t="s">
        <v>264</v>
      </c>
      <c r="F9" s="533" t="s">
        <v>265</v>
      </c>
      <c r="H9" s="389" t="s">
        <v>249</v>
      </c>
      <c r="J9" s="390" t="str">
        <f>LEFT(AC$4,4)&amp;"년"</f>
        <v>FCF추년</v>
      </c>
      <c r="K9" s="390" t="str">
        <f>LEFT(AD$4,4)&amp;"년"</f>
        <v>FCF추년</v>
      </c>
      <c r="L9" s="390" t="str">
        <f>LEFT(AE$4,4)&amp;"년"</f>
        <v>FCF추년</v>
      </c>
      <c r="M9" s="390" t="str">
        <f>LEFT(AF$4,4)&amp;"년"</f>
        <v>FCF추년</v>
      </c>
      <c r="N9" s="390" t="str">
        <f>LEFT(AG$4,4)&amp;"년"</f>
        <v>FCF추년</v>
      </c>
      <c r="P9" s="391" t="s">
        <v>292</v>
      </c>
      <c r="R9" s="396" t="s">
        <v>542</v>
      </c>
      <c r="S9" s="391"/>
      <c r="U9" s="392" t="str">
        <f ca="1">IFERROR(OFFSET(Bloomberg!$A$1,'보고서(일반)'!AO8-1,1),"")</f>
        <v>하나머티리얼즈</v>
      </c>
      <c r="V9" s="397">
        <f ca="1">IF('보고서(일반)'!$U9&lt;&gt;"",INDEX(Bloomberg!K:K,MATCH('보고서(일반)'!$U9,Bloomberg!$B:$B,0)))</f>
        <v>1.135</v>
      </c>
      <c r="W9" s="398">
        <f ca="1">IF('보고서(일반)'!$U9&lt;&gt;"",INDEX(Bloomberg!L:L,MATCH('보고서(일반)'!$U9,Bloomberg!$B:$B,0)))</f>
        <v>35.170125190114604</v>
      </c>
      <c r="X9" s="397">
        <f ca="1">IF('보고서(일반)'!$U9&lt;&gt;"",INDEX(Bloomberg!P:P,MATCH('보고서(일반)'!$U9,Bloomberg!$B:$B,0)))</f>
        <v>0.83968258400563056</v>
      </c>
      <c r="Y9" s="397">
        <f ca="1">IF('보고서(일반)'!$U9&lt;&gt;"",INDEX(Bloomberg!R:R,MATCH('보고서(일반)'!$U9,Bloomberg!$B:$B,0)))</f>
        <v>1.1962893187240513</v>
      </c>
      <c r="AA9" s="405" t="s">
        <v>293</v>
      </c>
      <c r="AC9" s="406" t="e">
        <f t="shared" ca="1" si="2"/>
        <v>#N/A</v>
      </c>
      <c r="AD9" s="406" t="e">
        <f t="shared" ca="1" si="2"/>
        <v>#N/A</v>
      </c>
      <c r="AE9" s="406" t="e">
        <f t="shared" ca="1" si="2"/>
        <v>#N/A</v>
      </c>
      <c r="AF9" s="406" t="e">
        <f t="shared" ca="1" si="2"/>
        <v>#N/A</v>
      </c>
      <c r="AG9" s="406" t="e">
        <f t="shared" ca="1" si="2"/>
        <v>#N/A</v>
      </c>
      <c r="AI9" s="376"/>
      <c r="AJ9" s="501" t="s">
        <v>527</v>
      </c>
      <c r="AK9" s="501" t="s">
        <v>528</v>
      </c>
      <c r="AL9" s="504" t="str">
        <f>RATE!F5&amp;"%, "&amp;RATE!F9&amp;"%, "&amp;RATE!F4&amp;"% "</f>
        <v xml:space="preserve">1.94%, 1.66%, 0.77% </v>
      </c>
      <c r="AN9" s="509">
        <v>6</v>
      </c>
      <c r="AO9" s="509" t="str">
        <v/>
      </c>
      <c r="AQ9" s="204" t="s">
        <v>572</v>
      </c>
      <c r="AR9" s="204" t="str">
        <f t="shared" ca="1" si="1"/>
        <v>$B$32</v>
      </c>
    </row>
    <row r="10" spans="2:44">
      <c r="B10" s="394" t="str">
        <f>LEFT(AD$4,4)&amp;"년"</f>
        <v>FCF추년</v>
      </c>
      <c r="C10" s="533" t="s">
        <v>268</v>
      </c>
      <c r="D10" s="534" t="s">
        <v>269</v>
      </c>
      <c r="E10" s="534" t="s">
        <v>270</v>
      </c>
      <c r="F10" s="533" t="s">
        <v>271</v>
      </c>
      <c r="H10" s="394" t="s">
        <v>298</v>
      </c>
      <c r="J10" s="395" t="e">
        <f ca="1">OFFSET(IS추정!$I$13,2,AC2)</f>
        <v>#N/A</v>
      </c>
      <c r="K10" s="395" t="e">
        <f ca="1">OFFSET(IS추정!$I$13,2,AD2)</f>
        <v>#N/A</v>
      </c>
      <c r="L10" s="395" t="e">
        <f ca="1">OFFSET(IS추정!$I$13,2,AE2)</f>
        <v>#N/A</v>
      </c>
      <c r="M10" s="395" t="e">
        <f ca="1">OFFSET(IS추정!$I$13,2,AF2)</f>
        <v>#N/A</v>
      </c>
      <c r="N10" s="395" t="e">
        <f ca="1">OFFSET(IS추정!$I$13,2,AG2)</f>
        <v>#N/A</v>
      </c>
      <c r="P10" s="391" t="s">
        <v>299</v>
      </c>
      <c r="R10" s="396" t="s">
        <v>543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300</v>
      </c>
      <c r="AC10" s="406" t="e">
        <f t="shared" ca="1" si="2"/>
        <v>#N/A</v>
      </c>
      <c r="AD10" s="406" t="e">
        <f t="shared" ca="1" si="2"/>
        <v>#N/A</v>
      </c>
      <c r="AE10" s="406" t="e">
        <f t="shared" ca="1" si="2"/>
        <v>#N/A</v>
      </c>
      <c r="AF10" s="406" t="e">
        <f t="shared" ca="1" si="2"/>
        <v>#N/A</v>
      </c>
      <c r="AG10" s="406" t="e">
        <f t="shared" ca="1" si="2"/>
        <v>#N/A</v>
      </c>
      <c r="AI10" s="376"/>
      <c r="AJ10" s="501" t="s">
        <v>529</v>
      </c>
      <c r="AK10" s="501" t="s">
        <v>530</v>
      </c>
      <c r="AL10" s="508" t="str">
        <f>AC39</f>
        <v>FCF추정!E60</v>
      </c>
      <c r="AN10" s="509">
        <v>7</v>
      </c>
      <c r="AO10" s="509" t="str">
        <v/>
      </c>
      <c r="AQ10" s="204" t="s">
        <v>573</v>
      </c>
      <c r="AR10" s="204" t="str">
        <f t="shared" ca="1" si="1"/>
        <v>$B$41</v>
      </c>
    </row>
    <row r="11" spans="2:44">
      <c r="B11" s="394" t="str">
        <f>LEFT(AE$4,4)&amp;"년"</f>
        <v>FCF추년</v>
      </c>
      <c r="C11" s="533" t="s">
        <v>275</v>
      </c>
      <c r="D11" s="534" t="s">
        <v>276</v>
      </c>
      <c r="E11" s="534" t="s">
        <v>277</v>
      </c>
      <c r="F11" s="533" t="s">
        <v>278</v>
      </c>
      <c r="H11" s="401" t="s">
        <v>272</v>
      </c>
      <c r="J11" s="402" t="e">
        <f ca="1">J10</f>
        <v>#N/A</v>
      </c>
      <c r="K11" s="402" t="e">
        <f ca="1">K10</f>
        <v>#N/A</v>
      </c>
      <c r="L11" s="402" t="e">
        <f ca="1">L10</f>
        <v>#N/A</v>
      </c>
      <c r="M11" s="402" t="e">
        <f ca="1">M10</f>
        <v>#N/A</v>
      </c>
      <c r="N11" s="402" t="e">
        <f ca="1">N10</f>
        <v>#N/A</v>
      </c>
      <c r="P11" s="391" t="s">
        <v>301</v>
      </c>
      <c r="R11" s="396" t="s">
        <v>544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302</v>
      </c>
      <c r="AC11" s="406" t="e">
        <f t="shared" ca="1" si="2"/>
        <v>#N/A</v>
      </c>
      <c r="AD11" s="406" t="e">
        <f t="shared" ca="1" si="2"/>
        <v>#N/A</v>
      </c>
      <c r="AE11" s="406" t="e">
        <f t="shared" ca="1" si="2"/>
        <v>#N/A</v>
      </c>
      <c r="AF11" s="406" t="e">
        <f t="shared" ca="1" si="2"/>
        <v>#N/A</v>
      </c>
      <c r="AG11" s="406" t="e">
        <f t="shared" ca="1" si="2"/>
        <v>#N/A</v>
      </c>
      <c r="AI11" s="376"/>
      <c r="AJ11" s="501" t="s">
        <v>531</v>
      </c>
      <c r="AK11" s="501" t="s">
        <v>565</v>
      </c>
      <c r="AL11" s="504" t="str">
        <f>LEFT(BS추정!I1,4)&amp;"년 "&amp;MID(BS추정!I1,5,2)&amp;"월"</f>
        <v>2023년 12월</v>
      </c>
      <c r="AN11" s="509">
        <v>8</v>
      </c>
      <c r="AO11" s="509" t="str">
        <v/>
      </c>
      <c r="AQ11" s="204" t="s">
        <v>574</v>
      </c>
      <c r="AR11" s="204" t="str">
        <f t="shared" ca="1" si="1"/>
        <v>$J$4</v>
      </c>
    </row>
    <row r="12" spans="2:44" ht="16.5" customHeight="1">
      <c r="B12" s="394" t="str">
        <f>LEFT(AF$4,4)&amp;"년"</f>
        <v>FCF추년</v>
      </c>
      <c r="C12" s="533" t="s">
        <v>282</v>
      </c>
      <c r="D12" s="534" t="s">
        <v>283</v>
      </c>
      <c r="E12" s="534" t="s">
        <v>284</v>
      </c>
      <c r="F12" s="533" t="s">
        <v>285</v>
      </c>
      <c r="H12" s="403" t="s">
        <v>303</v>
      </c>
      <c r="J12" s="404" t="e">
        <f ca="1">J11/J6</f>
        <v>#N/A</v>
      </c>
      <c r="K12" s="404" t="e">
        <f ca="1">K11/K6</f>
        <v>#N/A</v>
      </c>
      <c r="L12" s="404" t="e">
        <f ca="1">L11/L6</f>
        <v>#N/A</v>
      </c>
      <c r="M12" s="404" t="e">
        <f ca="1">M11/M6</f>
        <v>#N/A</v>
      </c>
      <c r="N12" s="404" t="e">
        <f ca="1">N11/N6</f>
        <v>#N/A</v>
      </c>
      <c r="P12" s="391" t="s">
        <v>304</v>
      </c>
      <c r="R12" s="396" t="s">
        <v>545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305</v>
      </c>
      <c r="AC12" s="406" t="e">
        <f t="shared" ca="1" si="2"/>
        <v>#N/A</v>
      </c>
      <c r="AD12" s="406" t="e">
        <f t="shared" ca="1" si="2"/>
        <v>#N/A</v>
      </c>
      <c r="AE12" s="406" t="e">
        <f t="shared" ca="1" si="2"/>
        <v>#N/A</v>
      </c>
      <c r="AF12" s="406" t="e">
        <f t="shared" ca="1" si="2"/>
        <v>#N/A</v>
      </c>
      <c r="AG12" s="406" t="e">
        <f t="shared" ca="1" si="2"/>
        <v>#N/A</v>
      </c>
      <c r="AI12" s="376"/>
      <c r="AJ12" s="501" t="s">
        <v>656</v>
      </c>
      <c r="AK12" s="501" t="s">
        <v>722</v>
      </c>
      <c r="AL12" s="504">
        <f>영구g</f>
        <v>1</v>
      </c>
      <c r="AN12" s="509">
        <v>9</v>
      </c>
      <c r="AO12" s="509" t="str">
        <v/>
      </c>
      <c r="AQ12" s="204" t="s">
        <v>575</v>
      </c>
      <c r="AR12" s="204" t="str">
        <f t="shared" ca="1" si="1"/>
        <v>$J$9</v>
      </c>
    </row>
    <row r="13" spans="2:44" ht="16.5" customHeight="1">
      <c r="B13" s="394" t="str">
        <f>LEFT(AG$4,4)&amp;"년"</f>
        <v>FCF추년</v>
      </c>
      <c r="C13" s="533" t="s">
        <v>288</v>
      </c>
      <c r="D13" s="534" t="s">
        <v>289</v>
      </c>
      <c r="E13" s="534" t="s">
        <v>290</v>
      </c>
      <c r="F13" s="533" t="s">
        <v>291</v>
      </c>
      <c r="P13" s="408" t="s">
        <v>307</v>
      </c>
      <c r="R13" s="402" t="s">
        <v>546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308</v>
      </c>
      <c r="AC13" s="406" t="e">
        <f t="shared" ca="1" si="2"/>
        <v>#N/A</v>
      </c>
      <c r="AD13" s="406" t="e">
        <f t="shared" ca="1" si="2"/>
        <v>#N/A</v>
      </c>
      <c r="AE13" s="406" t="e">
        <f t="shared" ca="1" si="2"/>
        <v>#N/A</v>
      </c>
      <c r="AF13" s="406" t="e">
        <f t="shared" ca="1" si="2"/>
        <v>#N/A</v>
      </c>
      <c r="AG13" s="406" t="e">
        <f t="shared" ca="1" si="2"/>
        <v>#N/A</v>
      </c>
      <c r="AI13" s="376"/>
      <c r="AJ13" s="506"/>
      <c r="AN13" s="509">
        <v>10</v>
      </c>
      <c r="AO13" s="509" t="str">
        <v/>
      </c>
      <c r="AQ13" s="204" t="s">
        <v>576</v>
      </c>
      <c r="AR13" s="204" t="str">
        <f t="shared" ca="1" si="1"/>
        <v>$J$14</v>
      </c>
    </row>
    <row r="14" spans="2:44" ht="16.5" customHeight="1">
      <c r="B14" s="394" t="s">
        <v>294</v>
      </c>
      <c r="C14" s="535" t="s">
        <v>295</v>
      </c>
      <c r="D14" s="534" t="s">
        <v>296</v>
      </c>
      <c r="E14" s="534" t="s">
        <v>589</v>
      </c>
      <c r="F14" s="535" t="s">
        <v>297</v>
      </c>
      <c r="H14" s="389" t="s">
        <v>249</v>
      </c>
      <c r="J14" s="390" t="str">
        <f>LEFT(AC$4,4)&amp;"년"</f>
        <v>FCF추년</v>
      </c>
      <c r="K14" s="390" t="str">
        <f>LEFT(AD$4,4)&amp;"년"</f>
        <v>FCF추년</v>
      </c>
      <c r="L14" s="390" t="str">
        <f>LEFT(AE$4,4)&amp;"년"</f>
        <v>FCF추년</v>
      </c>
      <c r="M14" s="390" t="str">
        <f>LEFT(AF$4,4)&amp;"년"</f>
        <v>FCF추년</v>
      </c>
      <c r="N14" s="389" t="str">
        <f>LEFT(AG$4,4)&amp;"년"</f>
        <v>FCF추년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309</v>
      </c>
      <c r="AC14" s="406" t="e">
        <f t="shared" ca="1" si="2"/>
        <v>#N/A</v>
      </c>
      <c r="AD14" s="406" t="e">
        <f t="shared" ca="1" si="2"/>
        <v>#N/A</v>
      </c>
      <c r="AE14" s="406" t="e">
        <f t="shared" ca="1" si="2"/>
        <v>#N/A</v>
      </c>
      <c r="AF14" s="406" t="e">
        <f t="shared" ca="1" si="2"/>
        <v>#N/A</v>
      </c>
      <c r="AG14" s="406" t="e">
        <f t="shared" ca="1" si="2"/>
        <v>#N/A</v>
      </c>
      <c r="AN14" s="509">
        <v>11</v>
      </c>
      <c r="AO14" s="503" t="str">
        <v/>
      </c>
      <c r="AQ14" s="204" t="s">
        <v>577</v>
      </c>
      <c r="AR14" s="204" t="str">
        <f t="shared" ca="1" si="1"/>
        <v>$J$25</v>
      </c>
    </row>
    <row r="15" spans="2:44" ht="16.5" customHeight="1">
      <c r="B15" s="528"/>
      <c r="C15" s="528"/>
      <c r="D15" s="528"/>
      <c r="E15" s="528"/>
      <c r="F15" s="528"/>
      <c r="H15" s="394" t="s">
        <v>310</v>
      </c>
      <c r="J15" s="395" t="e">
        <f ca="1">OFFSET(IS추정!$I$13,5,AC2)</f>
        <v>#N/A</v>
      </c>
      <c r="K15" s="395" t="e">
        <f ca="1">OFFSET(IS추정!$I$13,5,AD2)</f>
        <v>#N/A</v>
      </c>
      <c r="L15" s="395" t="e">
        <f ca="1">OFFSET(IS추정!$I$13,5,AE2)</f>
        <v>#N/A</v>
      </c>
      <c r="M15" s="395" t="e">
        <f ca="1">OFFSET(IS추정!$I$13,5,AF2)</f>
        <v>#N/A</v>
      </c>
      <c r="N15" s="395" t="e">
        <f ca="1">OFFSET(IS추정!$I$13,5,AG2)</f>
        <v>#N/A</v>
      </c>
      <c r="P15" s="390" t="s">
        <v>249</v>
      </c>
      <c r="R15" s="390" t="s">
        <v>250</v>
      </c>
      <c r="S15" s="390" t="s">
        <v>251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311</v>
      </c>
      <c r="AC15" s="406" t="e">
        <f ca="1">J39</f>
        <v>#N/A</v>
      </c>
      <c r="AD15" s="406" t="e">
        <f ca="1">K39</f>
        <v>#N/A</v>
      </c>
      <c r="AE15" s="406" t="e">
        <f ca="1">L39</f>
        <v>#N/A</v>
      </c>
      <c r="AF15" s="406" t="e">
        <f ca="1">M39</f>
        <v>#N/A</v>
      </c>
      <c r="AG15" s="406" t="e">
        <f ca="1">N39</f>
        <v>#N/A</v>
      </c>
      <c r="AN15" s="509">
        <v>12</v>
      </c>
      <c r="AO15" s="503" t="str">
        <v/>
      </c>
      <c r="AQ15" s="204" t="s">
        <v>578</v>
      </c>
      <c r="AR15" s="204" t="str">
        <f t="shared" ca="1" si="1"/>
        <v>$J$42</v>
      </c>
    </row>
    <row r="16" spans="2:44" ht="16.5" customHeight="1">
      <c r="B16" s="543" t="s">
        <v>590</v>
      </c>
      <c r="C16" s="536"/>
      <c r="D16" s="535" t="s">
        <v>591</v>
      </c>
      <c r="E16" s="528"/>
      <c r="F16" s="528"/>
      <c r="H16" s="394" t="s">
        <v>312</v>
      </c>
      <c r="J16" s="395" t="e">
        <f ca="1">OFFSET(IS추정!$I$13,6,AC2)</f>
        <v>#N/A</v>
      </c>
      <c r="K16" s="395" t="e">
        <f ca="1">OFFSET(IS추정!$I$13,6,AD2)</f>
        <v>#N/A</v>
      </c>
      <c r="L16" s="395" t="e">
        <f ca="1">OFFSET(IS추정!$I$13,6,AE2)</f>
        <v>#N/A</v>
      </c>
      <c r="M16" s="395" t="e">
        <f ca="1">OFFSET(IS추정!$I$13,6,AF2)</f>
        <v>#N/A</v>
      </c>
      <c r="N16" s="395" t="e">
        <f ca="1">OFFSET(IS추정!$I$13,6,AG2)</f>
        <v>#N/A</v>
      </c>
      <c r="P16" s="391" t="s">
        <v>313</v>
      </c>
      <c r="R16" s="395" t="s">
        <v>547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314</v>
      </c>
      <c r="AC16" s="406" t="e">
        <f ca="1">J44</f>
        <v>#N/A</v>
      </c>
      <c r="AD16" s="406" t="e">
        <f ca="1">K44</f>
        <v>#N/A</v>
      </c>
      <c r="AE16" s="406" t="e">
        <f ca="1">L44</f>
        <v>#N/A</v>
      </c>
      <c r="AF16" s="406" t="e">
        <f ca="1">M44</f>
        <v>#N/A</v>
      </c>
      <c r="AG16" s="406" t="e">
        <f ca="1">N44</f>
        <v>#N/A</v>
      </c>
      <c r="AN16" s="509">
        <v>13</v>
      </c>
      <c r="AO16" s="503" t="str">
        <v/>
      </c>
      <c r="AQ16" s="204" t="s">
        <v>579</v>
      </c>
      <c r="AR16" s="204" t="str">
        <f t="shared" ca="1" si="1"/>
        <v>$J$47</v>
      </c>
    </row>
    <row r="17" spans="2:44" ht="16.5" customHeight="1">
      <c r="B17" s="543" t="s">
        <v>306</v>
      </c>
      <c r="C17" s="528"/>
      <c r="D17" s="533" t="s">
        <v>592</v>
      </c>
      <c r="E17" s="528"/>
      <c r="F17" s="528"/>
      <c r="H17" s="394" t="s">
        <v>315</v>
      </c>
      <c r="J17" s="395" t="e">
        <f ca="1">OFFSET(IS추정!$I$13,7,AC2)</f>
        <v>#N/A</v>
      </c>
      <c r="K17" s="395" t="e">
        <f ca="1">OFFSET(IS추정!$I$13,7,AD2)</f>
        <v>#N/A</v>
      </c>
      <c r="L17" s="395" t="e">
        <f ca="1">OFFSET(IS추정!$I$13,7,AE2)</f>
        <v>#N/A</v>
      </c>
      <c r="M17" s="395" t="e">
        <f ca="1">OFFSET(IS추정!$I$13,7,AF2)</f>
        <v>#N/A</v>
      </c>
      <c r="N17" s="395" t="e">
        <f ca="1">OFFSET(IS추정!$I$13,7,AG2)</f>
        <v>#N/A</v>
      </c>
      <c r="P17" s="391" t="s">
        <v>316</v>
      </c>
      <c r="R17" s="395" t="s">
        <v>548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317</v>
      </c>
      <c r="AC17" s="406" t="e">
        <f ca="1">AC15-AC16</f>
        <v>#N/A</v>
      </c>
      <c r="AD17" s="406" t="e">
        <f ca="1">AD15-AD16</f>
        <v>#N/A</v>
      </c>
      <c r="AE17" s="406" t="e">
        <f ca="1">AE15-AE16</f>
        <v>#N/A</v>
      </c>
      <c r="AF17" s="406" t="e">
        <f ca="1">AF15-AF16</f>
        <v>#N/A</v>
      </c>
      <c r="AG17" s="406" t="e">
        <f ca="1">AG15-AG16</f>
        <v>#N/A</v>
      </c>
      <c r="AN17" s="509">
        <v>14</v>
      </c>
      <c r="AO17" s="503" t="str">
        <v/>
      </c>
      <c r="AQ17" s="204" t="s">
        <v>580</v>
      </c>
      <c r="AR17" s="204" t="str">
        <f t="shared" ca="1" si="1"/>
        <v>$J$54</v>
      </c>
    </row>
    <row r="18" spans="2:44">
      <c r="B18" s="543" t="s">
        <v>593</v>
      </c>
      <c r="C18" s="528"/>
      <c r="D18" s="535" t="s">
        <v>594</v>
      </c>
      <c r="E18" s="528"/>
      <c r="F18" s="528"/>
      <c r="H18" s="394" t="s">
        <v>318</v>
      </c>
      <c r="J18" s="395" t="e">
        <f ca="1">OFFSET(IS추정!$I$13,8,AC2)</f>
        <v>#N/A</v>
      </c>
      <c r="K18" s="395" t="e">
        <f ca="1">OFFSET(IS추정!$I$13,8,AD2)</f>
        <v>#N/A</v>
      </c>
      <c r="L18" s="395" t="e">
        <f ca="1">OFFSET(IS추정!$I$13,8,AE2)</f>
        <v>#N/A</v>
      </c>
      <c r="M18" s="395" t="e">
        <f ca="1">OFFSET(IS추정!$I$13,8,AF2)</f>
        <v>#N/A</v>
      </c>
      <c r="N18" s="395" t="e">
        <f ca="1">OFFSET(IS추정!$I$13,8,AG2)</f>
        <v>#N/A</v>
      </c>
      <c r="P18" s="391" t="s">
        <v>319</v>
      </c>
      <c r="R18" s="395" t="s">
        <v>549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320</v>
      </c>
      <c r="AC18" s="406" t="e">
        <f ca="1">-AC19+AC20+AC21</f>
        <v>#N/A</v>
      </c>
      <c r="AD18" s="406" t="e">
        <f ca="1">-AD19+AD20+AD21</f>
        <v>#N/A</v>
      </c>
      <c r="AE18" s="406" t="e">
        <f ca="1">-AE19+AE20+AE21</f>
        <v>#N/A</v>
      </c>
      <c r="AF18" s="406" t="e">
        <f ca="1">-AF19+AF20+AF21</f>
        <v>#N/A</v>
      </c>
      <c r="AG18" s="406" t="e">
        <f ca="1">-AG19+AG20+AG21</f>
        <v>#N/A</v>
      </c>
      <c r="AN18" s="509">
        <v>15</v>
      </c>
      <c r="AO18" s="503" t="str">
        <v/>
      </c>
      <c r="AQ18" s="204" t="s">
        <v>581</v>
      </c>
      <c r="AR18" s="204" t="str">
        <f t="shared" ca="1" si="1"/>
        <v>$R$4</v>
      </c>
    </row>
    <row r="19" spans="2:44">
      <c r="B19" s="543" t="s">
        <v>595</v>
      </c>
      <c r="C19" s="528"/>
      <c r="D19" s="533" t="s">
        <v>596</v>
      </c>
      <c r="E19" s="528"/>
      <c r="F19" s="528"/>
      <c r="H19" s="394" t="s">
        <v>321</v>
      </c>
      <c r="J19" s="395" t="e">
        <f ca="1">OFFSET(IS추정!$I$13,9,AC2)</f>
        <v>#N/A</v>
      </c>
      <c r="K19" s="395" t="e">
        <f ca="1">OFFSET(IS추정!$I$13,9,AD2)</f>
        <v>#N/A</v>
      </c>
      <c r="L19" s="395" t="e">
        <f ca="1">OFFSET(IS추정!$I$13,9,AE2)</f>
        <v>#N/A</v>
      </c>
      <c r="M19" s="395" t="e">
        <f ca="1">OFFSET(IS추정!$I$13,9,AF2)</f>
        <v>#N/A</v>
      </c>
      <c r="N19" s="395" t="e">
        <f ca="1">OFFSET(IS추정!$I$13,9,AG2)</f>
        <v>#N/A</v>
      </c>
      <c r="P19" s="391" t="s">
        <v>322</v>
      </c>
      <c r="R19" s="395" t="s">
        <v>550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323</v>
      </c>
      <c r="AC19" s="525" t="e">
        <f ca="1">OFFSET(감가상각추정!$I$36,-28,AC2)+OFFSET(감가상각추정!$I$36,-22,AC2)</f>
        <v>#N/A</v>
      </c>
      <c r="AD19" s="525" t="e">
        <f ca="1">OFFSET(감가상각추정!$I$36,-28,AD2)+OFFSET(감가상각추정!$I$36,-22,AD2)</f>
        <v>#N/A</v>
      </c>
      <c r="AE19" s="525" t="e">
        <f ca="1">OFFSET(감가상각추정!$I$36,-28,AE2)+OFFSET(감가상각추정!$I$36,-22,AE2)</f>
        <v>#N/A</v>
      </c>
      <c r="AF19" s="525" t="e">
        <f ca="1">OFFSET(감가상각추정!$I$36,-28,AF2)+OFFSET(감가상각추정!$I$36,-22,AF2)</f>
        <v>#N/A</v>
      </c>
      <c r="AG19" s="525" t="e">
        <f ca="1">OFFSET(감가상각추정!$I$36,-28,AG2)+OFFSET(감가상각추정!$I$36,-22,AG2)</f>
        <v>#N/A</v>
      </c>
      <c r="AQ19" s="204" t="s">
        <v>582</v>
      </c>
      <c r="AR19" s="204" t="str">
        <f t="shared" ca="1" si="1"/>
        <v>$R$15</v>
      </c>
    </row>
    <row r="20" spans="2:44">
      <c r="B20" s="543" t="s">
        <v>597</v>
      </c>
      <c r="C20" s="528"/>
      <c r="D20" s="533" t="s">
        <v>398</v>
      </c>
      <c r="E20" s="528"/>
      <c r="F20" s="528"/>
      <c r="H20" s="394" t="s">
        <v>324</v>
      </c>
      <c r="J20" s="395" t="e">
        <f ca="1">OFFSET(IS추정!$I$13,10,AC2)</f>
        <v>#N/A</v>
      </c>
      <c r="K20" s="395" t="e">
        <f ca="1">OFFSET(IS추정!$I$13,10,AD2)</f>
        <v>#N/A</v>
      </c>
      <c r="L20" s="395" t="e">
        <f ca="1">OFFSET(IS추정!$I$13,10,AE2)</f>
        <v>#N/A</v>
      </c>
      <c r="M20" s="395" t="e">
        <f ca="1">OFFSET(IS추정!$I$13,10,AF2)</f>
        <v>#N/A</v>
      </c>
      <c r="N20" s="395" t="e">
        <f ca="1">OFFSET(IS추정!$I$13,10,AG2)</f>
        <v>#N/A</v>
      </c>
      <c r="P20" s="391" t="s">
        <v>325</v>
      </c>
      <c r="R20" s="395" t="s">
        <v>551</v>
      </c>
      <c r="S20" s="391"/>
      <c r="U20" s="408" t="s">
        <v>326</v>
      </c>
      <c r="V20" s="411">
        <f ca="1">AVERAGE('보고서(일반)'!V5:V19)</f>
        <v>1.0193999999999999</v>
      </c>
      <c r="W20" s="411">
        <f ca="1">AVERAGE('보고서(일반)'!W5:W19)</f>
        <v>42.469230815442231</v>
      </c>
      <c r="X20" s="411">
        <f ca="1">AVERAGE('보고서(일반)'!X5:X19)</f>
        <v>0.75025809415491695</v>
      </c>
      <c r="Y20" s="411">
        <f ca="1">AVERAGE('보고서(일반)'!Y5:Y19)</f>
        <v>1.0688869358731061</v>
      </c>
      <c r="AA20" s="409" t="s">
        <v>327</v>
      </c>
      <c r="AC20" s="406" t="s">
        <v>328</v>
      </c>
      <c r="AD20" s="406" t="s">
        <v>329</v>
      </c>
      <c r="AE20" s="406" t="s">
        <v>330</v>
      </c>
      <c r="AF20" s="406" t="s">
        <v>331</v>
      </c>
      <c r="AG20" s="406" t="s">
        <v>332</v>
      </c>
      <c r="AQ20" s="204" t="s">
        <v>583</v>
      </c>
      <c r="AR20" s="204" t="str">
        <f t="shared" ca="1" si="1"/>
        <v>$U$4</v>
      </c>
    </row>
    <row r="21" spans="2:44">
      <c r="B21" s="543" t="s">
        <v>598</v>
      </c>
      <c r="C21" s="528"/>
      <c r="D21" s="535" t="s">
        <v>599</v>
      </c>
      <c r="E21" s="528"/>
      <c r="F21" s="528"/>
      <c r="H21" s="394" t="s">
        <v>333</v>
      </c>
      <c r="J21" s="395" t="e">
        <f ca="1">OFFSET(IS추정!$I$13,11,AC2)</f>
        <v>#N/A</v>
      </c>
      <c r="K21" s="395" t="e">
        <f ca="1">OFFSET(IS추정!$I$13,11,AD2)</f>
        <v>#N/A</v>
      </c>
      <c r="L21" s="395" t="e">
        <f ca="1">OFFSET(IS추정!$I$13,11,AE2)</f>
        <v>#N/A</v>
      </c>
      <c r="M21" s="395" t="e">
        <f ca="1">OFFSET(IS추정!$I$13,11,AF2)</f>
        <v>#N/A</v>
      </c>
      <c r="N21" s="395" t="e">
        <f ca="1">OFFSET(IS추정!$I$13,11,AG2)</f>
        <v>#N/A</v>
      </c>
      <c r="P21" s="391" t="s">
        <v>334</v>
      </c>
      <c r="R21" s="395" t="s">
        <v>552</v>
      </c>
      <c r="S21" s="391"/>
      <c r="AA21" s="409" t="s">
        <v>335</v>
      </c>
      <c r="AC21" s="400" t="e">
        <f ca="1">J52</f>
        <v>#N/A</v>
      </c>
      <c r="AD21" s="400" t="e">
        <f ca="1">K52</f>
        <v>#N/A</v>
      </c>
      <c r="AE21" s="400" t="e">
        <f ca="1">L52</f>
        <v>#N/A</v>
      </c>
      <c r="AF21" s="400" t="e">
        <f ca="1">M52</f>
        <v>#N/A</v>
      </c>
      <c r="AG21" s="400" t="e">
        <f ca="1">N52</f>
        <v>#N/A</v>
      </c>
      <c r="AQ21" s="204" t="s">
        <v>584</v>
      </c>
      <c r="AR21" s="204" t="str">
        <f t="shared" ca="1" si="1"/>
        <v>$X$22</v>
      </c>
    </row>
    <row r="22" spans="2:44">
      <c r="B22" s="543" t="s">
        <v>600</v>
      </c>
      <c r="C22" s="528"/>
      <c r="D22" s="535" t="s">
        <v>534</v>
      </c>
      <c r="E22" s="528"/>
      <c r="F22" s="528"/>
      <c r="H22" s="401" t="s">
        <v>336</v>
      </c>
      <c r="J22" s="402" t="e">
        <f ca="1">SUM(J15:J21)</f>
        <v>#N/A</v>
      </c>
      <c r="K22" s="402" t="e">
        <f ca="1">SUM(K15:K21)</f>
        <v>#N/A</v>
      </c>
      <c r="L22" s="402" t="e">
        <f ca="1">SUM(L15:L21)</f>
        <v>#N/A</v>
      </c>
      <c r="M22" s="402" t="e">
        <f ca="1">SUM(M15:M21)</f>
        <v>#N/A</v>
      </c>
      <c r="N22" s="402" t="e">
        <f ca="1">SUM(N15:N21)</f>
        <v>#N/A</v>
      </c>
      <c r="P22" s="391" t="s">
        <v>337</v>
      </c>
      <c r="R22" s="395" t="s">
        <v>553</v>
      </c>
      <c r="S22" s="391"/>
      <c r="U22" s="387" t="s">
        <v>338</v>
      </c>
      <c r="V22" s="387" t="s">
        <v>339</v>
      </c>
      <c r="X22" s="387" t="s">
        <v>340</v>
      </c>
      <c r="AA22" s="410" t="s">
        <v>341</v>
      </c>
      <c r="AC22" s="406" t="e">
        <f ca="1">AC17-AC18</f>
        <v>#N/A</v>
      </c>
      <c r="AD22" s="406" t="e">
        <f ca="1">AD17-AD18</f>
        <v>#N/A</v>
      </c>
      <c r="AE22" s="406" t="e">
        <f ca="1">AE17-AE18</f>
        <v>#N/A</v>
      </c>
      <c r="AF22" s="406" t="e">
        <f ca="1">AF17-AF18</f>
        <v>#N/A</v>
      </c>
      <c r="AG22" s="406" t="e">
        <f ca="1">AG17-AG18</f>
        <v>#N/A</v>
      </c>
      <c r="AQ22" s="204" t="s">
        <v>585</v>
      </c>
      <c r="AR22" s="204" t="str">
        <f t="shared" ca="1" si="1"/>
        <v>$AC$4</v>
      </c>
    </row>
    <row r="23" spans="2:44">
      <c r="B23" s="544" t="s">
        <v>601</v>
      </c>
      <c r="C23" s="528"/>
      <c r="D23" s="537" t="s">
        <v>535</v>
      </c>
      <c r="E23" s="528"/>
      <c r="F23" s="528"/>
      <c r="H23" s="403" t="s">
        <v>342</v>
      </c>
      <c r="J23" s="404" t="e">
        <f ca="1">J22/J6</f>
        <v>#N/A</v>
      </c>
      <c r="K23" s="404" t="e">
        <f ca="1">K22/K6</f>
        <v>#N/A</v>
      </c>
      <c r="L23" s="404" t="e">
        <f ca="1">L22/L6</f>
        <v>#N/A</v>
      </c>
      <c r="M23" s="404" t="e">
        <f ca="1">M22/M6</f>
        <v>#N/A</v>
      </c>
      <c r="N23" s="404" t="e">
        <f ca="1">N22/N6</f>
        <v>#N/A</v>
      </c>
      <c r="P23" s="408" t="s">
        <v>343</v>
      </c>
      <c r="R23" s="402" t="s">
        <v>554</v>
      </c>
      <c r="S23" s="408"/>
      <c r="U23" s="412" t="s">
        <v>536</v>
      </c>
      <c r="V23" s="545" t="s">
        <v>344</v>
      </c>
      <c r="X23" s="393">
        <f ca="1">Y20</f>
        <v>1.0688869358731061</v>
      </c>
      <c r="AA23" s="409" t="s">
        <v>345</v>
      </c>
      <c r="AC23" s="413">
        <f ca="1">WACC!$E$35/100</f>
        <v>0.15880678476280444</v>
      </c>
      <c r="AD23" s="413">
        <f ca="1">WACC!$E$35/100</f>
        <v>0.15880678476280444</v>
      </c>
      <c r="AE23" s="413">
        <f ca="1">WACC!$E$35/100</f>
        <v>0.15880678476280444</v>
      </c>
      <c r="AF23" s="413">
        <f ca="1">WACC!$E$35/100</f>
        <v>0.15880678476280444</v>
      </c>
      <c r="AG23" s="413">
        <f ca="1">WACC!$E$35/100</f>
        <v>0.15880678476280444</v>
      </c>
      <c r="AQ23" s="204" t="s">
        <v>586</v>
      </c>
      <c r="AR23" s="204" t="str">
        <f t="shared" ca="1" si="1"/>
        <v>$AC$30</v>
      </c>
    </row>
    <row r="24" spans="2:44">
      <c r="B24" s="528"/>
      <c r="C24" s="528"/>
      <c r="D24" s="528"/>
      <c r="E24" s="528"/>
      <c r="F24" s="528"/>
      <c r="U24" s="412" t="s">
        <v>346</v>
      </c>
      <c r="V24" s="545" t="s">
        <v>347</v>
      </c>
      <c r="X24" s="414">
        <f>WACC!E22/100</f>
        <v>3.3500000000000002E-2</v>
      </c>
      <c r="AA24" s="409" t="s">
        <v>348</v>
      </c>
      <c r="AC24" s="415" t="s">
        <v>506</v>
      </c>
      <c r="AD24" s="415" t="s">
        <v>507</v>
      </c>
      <c r="AE24" s="415" t="s">
        <v>508</v>
      </c>
      <c r="AF24" s="415" t="s">
        <v>509</v>
      </c>
      <c r="AG24" s="415" t="s">
        <v>510</v>
      </c>
      <c r="AQ24" s="204" t="s">
        <v>587</v>
      </c>
      <c r="AR24" s="204" t="str">
        <f t="shared" ca="1" si="1"/>
        <v>$AC$42</v>
      </c>
    </row>
    <row r="25" spans="2:44">
      <c r="B25" s="389" t="s">
        <v>352</v>
      </c>
      <c r="C25" s="394" t="str">
        <f>TRIM(COMPANY!E2)</f>
        <v>(주)미래세라텍</v>
      </c>
      <c r="D25" s="389" t="s">
        <v>353</v>
      </c>
      <c r="E25" s="394" t="str">
        <f>TRIM(COMPANY!E3)</f>
        <v>외감,중소기업</v>
      </c>
      <c r="F25" s="528"/>
      <c r="H25" s="389" t="s">
        <v>249</v>
      </c>
      <c r="J25" s="389" t="str">
        <f>LEFT(AC$4,4)&amp;"년"</f>
        <v>FCF추년</v>
      </c>
      <c r="K25" s="389" t="str">
        <f>LEFT(AD$4,4)&amp;"년"</f>
        <v>FCF추년</v>
      </c>
      <c r="L25" s="389" t="str">
        <f>LEFT(AE$4,4)&amp;"년"</f>
        <v>FCF추년</v>
      </c>
      <c r="M25" s="389" t="str">
        <f>LEFT(AF$4,4)&amp;"년"</f>
        <v>FCF추년</v>
      </c>
      <c r="N25" s="389" t="str">
        <f>LEFT(AG$4,4)&amp;"년"</f>
        <v>FCF추년</v>
      </c>
      <c r="U25" s="412" t="s">
        <v>349</v>
      </c>
      <c r="V25" s="546" t="s">
        <v>350</v>
      </c>
      <c r="X25" s="414">
        <f>WACC!E23/100</f>
        <v>0.1197</v>
      </c>
      <c r="AA25" s="405" t="s">
        <v>247</v>
      </c>
      <c r="AC25" s="415" t="s">
        <v>351</v>
      </c>
      <c r="AD25" s="415" t="s">
        <v>269</v>
      </c>
      <c r="AE25" s="415" t="s">
        <v>276</v>
      </c>
      <c r="AF25" s="415" t="s">
        <v>283</v>
      </c>
      <c r="AG25" s="415" t="s">
        <v>289</v>
      </c>
    </row>
    <row r="26" spans="2:44">
      <c r="B26" s="389" t="s">
        <v>362</v>
      </c>
      <c r="C26" s="538" t="str">
        <f>TRIM(COMPANY!E5)</f>
        <v>김범주</v>
      </c>
      <c r="D26" s="389" t="s">
        <v>363</v>
      </c>
      <c r="E26" s="539">
        <f>COMPANY!E4</f>
        <v>36537</v>
      </c>
      <c r="F26" s="528"/>
      <c r="H26" s="416" t="s">
        <v>214</v>
      </c>
      <c r="J26" s="417" t="e">
        <f ca="1">J5</f>
        <v>#N/A</v>
      </c>
      <c r="K26" s="417" t="e">
        <f ca="1">K5</f>
        <v>#N/A</v>
      </c>
      <c r="L26" s="417" t="e">
        <f ca="1">L5</f>
        <v>#N/A</v>
      </c>
      <c r="M26" s="417" t="e">
        <f ca="1">M5</f>
        <v>#N/A</v>
      </c>
      <c r="N26" s="417" t="e">
        <f ca="1">N5</f>
        <v>#N/A</v>
      </c>
      <c r="U26" s="412" t="s">
        <v>354</v>
      </c>
      <c r="V26" s="546" t="s">
        <v>355</v>
      </c>
      <c r="X26" s="414">
        <f>WACC!E43/100</f>
        <v>0.02</v>
      </c>
    </row>
    <row r="27" spans="2:44">
      <c r="B27" s="389" t="s">
        <v>368</v>
      </c>
      <c r="C27" s="394" t="str">
        <f>TRIM(COMPANY!E8)</f>
        <v/>
      </c>
      <c r="D27" s="389" t="s">
        <v>369</v>
      </c>
      <c r="E27" s="540" t="str">
        <f>TRIM(COMPANY!E6)&amp;"월"</f>
        <v>12월</v>
      </c>
      <c r="F27" s="528"/>
      <c r="H27" s="418" t="s">
        <v>364</v>
      </c>
      <c r="J27" s="686">
        <f>성장률추정!J17/성장률추정!I17-1</f>
        <v>0.13256700299102708</v>
      </c>
      <c r="K27" s="419" t="e">
        <f ca="1">K7</f>
        <v>#N/A</v>
      </c>
      <c r="L27" s="419" t="e">
        <f ca="1">L7</f>
        <v>#N/A</v>
      </c>
      <c r="M27" s="419" t="e">
        <f ca="1">M7</f>
        <v>#N/A</v>
      </c>
      <c r="N27" s="419" t="e">
        <f ca="1">N7</f>
        <v>#N/A</v>
      </c>
      <c r="P27"/>
      <c r="R27"/>
      <c r="S27"/>
      <c r="U27" s="412" t="s">
        <v>365</v>
      </c>
      <c r="V27" s="546" t="s">
        <v>366</v>
      </c>
      <c r="X27" s="414">
        <f ca="1">WACC!E34/100</f>
        <v>0.18144576622401082</v>
      </c>
      <c r="AA27" s="405" t="s">
        <v>356</v>
      </c>
      <c r="AC27" s="415" t="s">
        <v>357</v>
      </c>
      <c r="AD27" s="415" t="s">
        <v>358</v>
      </c>
      <c r="AE27" s="415" t="s">
        <v>359</v>
      </c>
      <c r="AF27" s="415" t="s">
        <v>360</v>
      </c>
      <c r="AG27" s="415" t="s">
        <v>361</v>
      </c>
    </row>
    <row r="28" spans="2:44">
      <c r="B28" s="528"/>
      <c r="C28" s="528"/>
      <c r="D28" s="528"/>
      <c r="E28" s="528"/>
      <c r="F28" s="528"/>
      <c r="H28" s="416" t="s">
        <v>298</v>
      </c>
      <c r="J28" s="417" t="e">
        <f ca="1">J10</f>
        <v>#N/A</v>
      </c>
      <c r="K28" s="417" t="e">
        <f ca="1">K10</f>
        <v>#N/A</v>
      </c>
      <c r="L28" s="417" t="e">
        <f ca="1">L10</f>
        <v>#N/A</v>
      </c>
      <c r="M28" s="417" t="e">
        <f ca="1">M10</f>
        <v>#N/A</v>
      </c>
      <c r="N28" s="417" t="e">
        <f ca="1">N10</f>
        <v>#N/A</v>
      </c>
      <c r="P28"/>
      <c r="R28"/>
      <c r="S28"/>
      <c r="U28" s="412" t="s">
        <v>371</v>
      </c>
      <c r="V28" s="546" t="s">
        <v>372</v>
      </c>
      <c r="X28" s="414">
        <f ca="1">WACC!E30/100</f>
        <v>0</v>
      </c>
      <c r="AA28" s="405" t="s">
        <v>367</v>
      </c>
      <c r="AC28" s="400" t="e">
        <f ca="1">AC22*AC25*AC27</f>
        <v>#N/A</v>
      </c>
      <c r="AD28" s="400" t="e">
        <f ca="1">AD22*AD25*AD27</f>
        <v>#N/A</v>
      </c>
      <c r="AE28" s="400" t="e">
        <f ca="1">AE22*AE25*AE27</f>
        <v>#N/A</v>
      </c>
      <c r="AF28" s="400" t="e">
        <f ca="1">AF22*AF25*AF27</f>
        <v>#N/A</v>
      </c>
      <c r="AG28" s="400" t="e">
        <f ca="1">AG22*AG25*AG27</f>
        <v>#N/A</v>
      </c>
    </row>
    <row r="29" spans="2:44">
      <c r="B29" s="541" t="s">
        <v>377</v>
      </c>
      <c r="C29" s="422" t="str">
        <f>TRIM(COMPANY!E10)</f>
        <v>위생용 도자기 제조업</v>
      </c>
      <c r="D29" s="528"/>
      <c r="E29" s="528"/>
      <c r="F29" s="528"/>
      <c r="H29" s="418" t="s">
        <v>373</v>
      </c>
      <c r="J29" s="419" t="e">
        <f ca="1">J12</f>
        <v>#N/A</v>
      </c>
      <c r="K29" s="419" t="e">
        <f ca="1">K12</f>
        <v>#N/A</v>
      </c>
      <c r="L29" s="419" t="e">
        <f ca="1">L12</f>
        <v>#N/A</v>
      </c>
      <c r="M29" s="419" t="e">
        <f ca="1">M12</f>
        <v>#N/A</v>
      </c>
      <c r="N29" s="419" t="e">
        <f ca="1">N12</f>
        <v>#N/A</v>
      </c>
      <c r="P29"/>
      <c r="R29"/>
      <c r="S29"/>
      <c r="U29" s="412" t="s">
        <v>374</v>
      </c>
      <c r="V29" s="546" t="s">
        <v>375</v>
      </c>
      <c r="X29" s="414">
        <f>WACC!E31/100</f>
        <v>0.10550000000000001</v>
      </c>
      <c r="AD29" s="420"/>
      <c r="AE29" s="420"/>
      <c r="AF29" s="420"/>
      <c r="AG29" s="420"/>
    </row>
    <row r="30" spans="2:44">
      <c r="B30" s="542" t="s">
        <v>383</v>
      </c>
      <c r="C30" s="424" t="str">
        <f>TRIM(COMPANY!E11)</f>
        <v>세라믹제품 제조/기술 용역</v>
      </c>
      <c r="D30" s="528"/>
      <c r="E30" s="528"/>
      <c r="F30" s="528"/>
      <c r="H30" s="416" t="s">
        <v>378</v>
      </c>
      <c r="J30" s="417" t="e">
        <f ca="1">J26-J28</f>
        <v>#N/A</v>
      </c>
      <c r="K30" s="417" t="e">
        <f ca="1">K26-K28</f>
        <v>#N/A</v>
      </c>
      <c r="L30" s="417" t="e">
        <f ca="1">L26-L28</f>
        <v>#N/A</v>
      </c>
      <c r="M30" s="417" t="e">
        <f ca="1">M26-M28</f>
        <v>#N/A</v>
      </c>
      <c r="N30" s="417" t="e">
        <f ca="1">N26-N28</f>
        <v>#N/A</v>
      </c>
      <c r="P30"/>
      <c r="R30"/>
      <c r="S30"/>
      <c r="U30" s="412" t="s">
        <v>603</v>
      </c>
      <c r="V30" s="546"/>
      <c r="X30" s="414">
        <f ca="1">X29*(1-X28)</f>
        <v>0.10550000000000001</v>
      </c>
      <c r="AA30" s="399" t="s">
        <v>376</v>
      </c>
      <c r="AC30" s="524" t="e">
        <f ca="1">SUM(AC28:AG28)</f>
        <v>#N/A</v>
      </c>
      <c r="AD30" s="420"/>
      <c r="AE30" s="421"/>
      <c r="AF30" s="420"/>
      <c r="AG30" s="420"/>
    </row>
    <row r="31" spans="2:44">
      <c r="B31" s="528"/>
      <c r="C31" s="528"/>
      <c r="D31" s="528"/>
      <c r="E31" s="528"/>
      <c r="F31" s="528"/>
      <c r="H31" s="416" t="s">
        <v>384</v>
      </c>
      <c r="J31" s="417" t="e">
        <f ca="1">J22</f>
        <v>#N/A</v>
      </c>
      <c r="K31" s="417" t="e">
        <f ca="1">K22</f>
        <v>#N/A</v>
      </c>
      <c r="L31" s="417" t="e">
        <f ca="1">L22</f>
        <v>#N/A</v>
      </c>
      <c r="M31" s="417" t="e">
        <f ca="1">M22</f>
        <v>#N/A</v>
      </c>
      <c r="N31" s="417" t="e">
        <f ca="1">N22</f>
        <v>#N/A</v>
      </c>
      <c r="P31"/>
      <c r="R31"/>
      <c r="S31"/>
      <c r="U31" s="412" t="s">
        <v>379</v>
      </c>
      <c r="V31" s="546" t="s">
        <v>380</v>
      </c>
      <c r="X31" s="414">
        <f ca="1">WACC!E35/100</f>
        <v>0.15880678476280444</v>
      </c>
      <c r="AA31" s="423" t="s">
        <v>381</v>
      </c>
      <c r="AC31" s="407" t="s">
        <v>382</v>
      </c>
      <c r="AD31" s="420"/>
      <c r="AE31" s="420"/>
      <c r="AF31" s="420"/>
      <c r="AG31" s="420"/>
    </row>
    <row r="32" spans="2:44">
      <c r="B32" s="389" t="s">
        <v>249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8"/>
      <c r="H32" s="425" t="s">
        <v>310</v>
      </c>
      <c r="J32" s="426" t="e">
        <f t="shared" ref="J32:N38" ca="1" si="3">J15</f>
        <v>#N/A</v>
      </c>
      <c r="K32" s="426" t="e">
        <f t="shared" ca="1" si="3"/>
        <v>#N/A</v>
      </c>
      <c r="L32" s="426" t="e">
        <f t="shared" ca="1" si="3"/>
        <v>#N/A</v>
      </c>
      <c r="M32" s="426" t="e">
        <f t="shared" ca="1" si="3"/>
        <v>#N/A</v>
      </c>
      <c r="N32" s="426" t="e">
        <f t="shared" ca="1" si="3"/>
        <v>#N/A</v>
      </c>
      <c r="P32"/>
      <c r="R32"/>
      <c r="S32"/>
      <c r="AA32" s="423" t="s">
        <v>385</v>
      </c>
      <c r="AC32" s="407" t="e">
        <f ca="1">AC31+AC30</f>
        <v>#VALUE!</v>
      </c>
      <c r="AD32" s="420"/>
      <c r="AE32" s="420"/>
      <c r="AF32" s="420"/>
      <c r="AG32" s="420"/>
    </row>
    <row r="33" spans="2:33">
      <c r="B33" s="394" t="s">
        <v>388</v>
      </c>
      <c r="C33" s="426">
        <f>BS추정!H17</f>
        <v>9207</v>
      </c>
      <c r="D33" s="426">
        <f>BS추정!G17</f>
        <v>19389</v>
      </c>
      <c r="E33" s="426">
        <f>BS추정!F17</f>
        <v>24139</v>
      </c>
      <c r="F33" s="528"/>
      <c r="H33" s="425" t="s">
        <v>312</v>
      </c>
      <c r="J33" s="426" t="e">
        <f t="shared" ca="1" si="3"/>
        <v>#N/A</v>
      </c>
      <c r="K33" s="426" t="e">
        <f t="shared" ca="1" si="3"/>
        <v>#N/A</v>
      </c>
      <c r="L33" s="426" t="e">
        <f t="shared" ca="1" si="3"/>
        <v>#N/A</v>
      </c>
      <c r="M33" s="426" t="e">
        <f t="shared" ca="1" si="3"/>
        <v>#N/A</v>
      </c>
      <c r="N33" s="426" t="e">
        <f t="shared" ca="1" si="3"/>
        <v>#N/A</v>
      </c>
      <c r="AA33" s="399" t="s">
        <v>386</v>
      </c>
      <c r="AC33" s="407" t="s">
        <v>532</v>
      </c>
      <c r="AD33" s="420"/>
      <c r="AE33" s="420"/>
      <c r="AF33" s="427"/>
      <c r="AG33" s="420"/>
    </row>
    <row r="34" spans="2:33">
      <c r="B34" s="394" t="s">
        <v>390</v>
      </c>
      <c r="C34" s="426">
        <f>BS추정!H26</f>
        <v>52706</v>
      </c>
      <c r="D34" s="426">
        <f>BS추정!G26</f>
        <v>44894</v>
      </c>
      <c r="E34" s="426">
        <f>BS추정!F26</f>
        <v>12917</v>
      </c>
      <c r="F34" s="528"/>
      <c r="H34" s="425" t="s">
        <v>315</v>
      </c>
      <c r="J34" s="426" t="e">
        <f t="shared" ca="1" si="3"/>
        <v>#N/A</v>
      </c>
      <c r="K34" s="426" t="e">
        <f t="shared" ca="1" si="3"/>
        <v>#N/A</v>
      </c>
      <c r="L34" s="426" t="e">
        <f t="shared" ca="1" si="3"/>
        <v>#N/A</v>
      </c>
      <c r="M34" s="426" t="e">
        <f t="shared" ca="1" si="3"/>
        <v>#N/A</v>
      </c>
      <c r="N34" s="426" t="e">
        <f t="shared" ca="1" si="3"/>
        <v>#N/A</v>
      </c>
      <c r="AA34" s="399" t="s">
        <v>387</v>
      </c>
      <c r="AC34" s="407" t="e">
        <f ca="1">AC32+AC33</f>
        <v>#VALUE!</v>
      </c>
      <c r="AD34" s="420"/>
      <c r="AE34" s="420"/>
      <c r="AF34" s="420"/>
      <c r="AG34" s="420"/>
    </row>
    <row r="35" spans="2:33">
      <c r="B35" s="394" t="s">
        <v>392</v>
      </c>
      <c r="C35" s="426">
        <f>BS추정!H27</f>
        <v>61913</v>
      </c>
      <c r="D35" s="426">
        <f>BS추정!G27</f>
        <v>64283</v>
      </c>
      <c r="E35" s="426">
        <f>BS추정!F27</f>
        <v>37057</v>
      </c>
      <c r="F35" s="528"/>
      <c r="H35" s="425" t="s">
        <v>318</v>
      </c>
      <c r="J35" s="426" t="e">
        <f t="shared" ca="1" si="3"/>
        <v>#N/A</v>
      </c>
      <c r="K35" s="426" t="e">
        <f t="shared" ca="1" si="3"/>
        <v>#N/A</v>
      </c>
      <c r="L35" s="426" t="e">
        <f t="shared" ca="1" si="3"/>
        <v>#N/A</v>
      </c>
      <c r="M35" s="426" t="e">
        <f t="shared" ca="1" si="3"/>
        <v>#N/A</v>
      </c>
      <c r="N35" s="426" t="e">
        <f t="shared" ca="1" si="3"/>
        <v>#N/A</v>
      </c>
      <c r="AA35" s="399" t="s">
        <v>389</v>
      </c>
      <c r="AC35" s="407" t="s">
        <v>533</v>
      </c>
      <c r="AD35" s="420"/>
      <c r="AE35" s="420"/>
      <c r="AF35" s="420"/>
      <c r="AG35" s="420"/>
    </row>
    <row r="36" spans="2:33">
      <c r="B36" s="394" t="s">
        <v>394</v>
      </c>
      <c r="C36" s="426">
        <f>BS추정!H28</f>
        <v>24953</v>
      </c>
      <c r="D36" s="426">
        <f>BS추정!G28</f>
        <v>7792</v>
      </c>
      <c r="E36" s="426">
        <f>BS추정!F28</f>
        <v>10263</v>
      </c>
      <c r="F36" s="528"/>
      <c r="H36" s="425" t="s">
        <v>321</v>
      </c>
      <c r="J36" s="426" t="e">
        <f t="shared" ca="1" si="3"/>
        <v>#N/A</v>
      </c>
      <c r="K36" s="426" t="e">
        <f t="shared" ca="1" si="3"/>
        <v>#N/A</v>
      </c>
      <c r="L36" s="426" t="e">
        <f t="shared" ca="1" si="3"/>
        <v>#N/A</v>
      </c>
      <c r="M36" s="426" t="e">
        <f t="shared" ca="1" si="3"/>
        <v>#N/A</v>
      </c>
      <c r="N36" s="426" t="e">
        <f t="shared" ca="1" si="3"/>
        <v>#N/A</v>
      </c>
      <c r="AA36" s="399" t="s">
        <v>391</v>
      </c>
      <c r="AC36" s="407" t="s">
        <v>398</v>
      </c>
      <c r="AD36" s="420"/>
      <c r="AE36" s="420"/>
      <c r="AF36" s="420"/>
      <c r="AG36" s="420"/>
    </row>
    <row r="37" spans="2:33">
      <c r="B37" s="394" t="s">
        <v>395</v>
      </c>
      <c r="C37" s="426">
        <f>BS추정!H29</f>
        <v>14095</v>
      </c>
      <c r="D37" s="426">
        <f>BS추정!G29</f>
        <v>23640</v>
      </c>
      <c r="E37" s="426">
        <f>BS추정!F29</f>
        <v>16621</v>
      </c>
      <c r="F37" s="528"/>
      <c r="H37" s="425" t="s">
        <v>324</v>
      </c>
      <c r="J37" s="426" t="e">
        <f t="shared" ca="1" si="3"/>
        <v>#N/A</v>
      </c>
      <c r="K37" s="426" t="e">
        <f t="shared" ca="1" si="3"/>
        <v>#N/A</v>
      </c>
      <c r="L37" s="426" t="e">
        <f t="shared" ca="1" si="3"/>
        <v>#N/A</v>
      </c>
      <c r="M37" s="426" t="e">
        <f t="shared" ca="1" si="3"/>
        <v>#N/A</v>
      </c>
      <c r="N37" s="426" t="e">
        <f t="shared" ca="1" si="3"/>
        <v>#N/A</v>
      </c>
      <c r="AA37" s="399" t="s">
        <v>393</v>
      </c>
      <c r="AC37" s="407" t="e">
        <f ca="1">AC34-AC35-AC36</f>
        <v>#VALUE!</v>
      </c>
      <c r="AD37" s="420"/>
      <c r="AE37" s="420"/>
      <c r="AF37" s="420"/>
      <c r="AG37" s="420"/>
    </row>
    <row r="38" spans="2:33">
      <c r="B38" s="394" t="s">
        <v>399</v>
      </c>
      <c r="C38" s="426">
        <f>BS추정!H30</f>
        <v>39048</v>
      </c>
      <c r="D38" s="426">
        <f>BS추정!G30</f>
        <v>31431</v>
      </c>
      <c r="E38" s="426">
        <f>BS추정!F30</f>
        <v>26884</v>
      </c>
      <c r="F38" s="528"/>
      <c r="H38" s="425" t="s">
        <v>396</v>
      </c>
      <c r="J38" s="426" t="e">
        <f t="shared" ca="1" si="3"/>
        <v>#N/A</v>
      </c>
      <c r="K38" s="426" t="e">
        <f t="shared" ca="1" si="3"/>
        <v>#N/A</v>
      </c>
      <c r="L38" s="426" t="e">
        <f t="shared" ca="1" si="3"/>
        <v>#N/A</v>
      </c>
      <c r="M38" s="426" t="e">
        <f t="shared" ca="1" si="3"/>
        <v>#N/A</v>
      </c>
      <c r="N38" s="426" t="e">
        <f t="shared" ca="1" si="3"/>
        <v>#N/A</v>
      </c>
      <c r="AA38" s="399" t="s">
        <v>714</v>
      </c>
      <c r="AC38" s="407" t="s">
        <v>534</v>
      </c>
      <c r="AD38" s="420"/>
      <c r="AE38" s="420"/>
      <c r="AF38" s="420"/>
      <c r="AG38" s="420"/>
    </row>
    <row r="39" spans="2:33">
      <c r="B39" s="394" t="s">
        <v>217</v>
      </c>
      <c r="C39" s="426">
        <f>BS추정!H36</f>
        <v>22865</v>
      </c>
      <c r="D39" s="426">
        <f>BS추정!G36</f>
        <v>32851</v>
      </c>
      <c r="E39" s="426">
        <f>BS추정!F36</f>
        <v>10173</v>
      </c>
      <c r="F39" s="528"/>
      <c r="H39" s="401" t="s">
        <v>215</v>
      </c>
      <c r="J39" s="402" t="e">
        <f ca="1">J30-J31</f>
        <v>#N/A</v>
      </c>
      <c r="K39" s="402" t="e">
        <f ca="1">K30-K31</f>
        <v>#N/A</v>
      </c>
      <c r="L39" s="402" t="e">
        <f ca="1">L30-L31</f>
        <v>#N/A</v>
      </c>
      <c r="M39" s="402" t="e">
        <f ca="1">M30-M31</f>
        <v>#N/A</v>
      </c>
      <c r="N39" s="402" t="e">
        <f ca="1">N30-N31</f>
        <v>#N/A</v>
      </c>
      <c r="AA39" s="399" t="s">
        <v>397</v>
      </c>
      <c r="AC39" s="407" t="s">
        <v>535</v>
      </c>
    </row>
    <row r="40" spans="2:33">
      <c r="B40" s="528"/>
      <c r="C40" s="528"/>
      <c r="D40" s="528"/>
      <c r="E40" s="528"/>
      <c r="F40" s="528"/>
      <c r="H40" s="403" t="s">
        <v>400</v>
      </c>
      <c r="J40" s="404" t="e">
        <f ca="1">J39/J6</f>
        <v>#N/A</v>
      </c>
      <c r="K40" s="404" t="e">
        <f ca="1">K39/K6</f>
        <v>#N/A</v>
      </c>
      <c r="L40" s="404" t="e">
        <f ca="1">L39/L6</f>
        <v>#N/A</v>
      </c>
      <c r="M40" s="404" t="e">
        <f ca="1">M39/M6</f>
        <v>#N/A</v>
      </c>
      <c r="N40" s="404" t="e">
        <f ca="1">N39/N6</f>
        <v>#N/A</v>
      </c>
    </row>
    <row r="41" spans="2:33">
      <c r="B41" s="389" t="s">
        <v>249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8"/>
    </row>
    <row r="42" spans="2:33">
      <c r="B42" s="394" t="s">
        <v>214</v>
      </c>
      <c r="C42" s="426">
        <f>IS추정!H14</f>
        <v>5015</v>
      </c>
      <c r="D42" s="426">
        <f>IS추정!G14</f>
        <v>12194</v>
      </c>
      <c r="E42" s="426">
        <f>IS추정!F14</f>
        <v>18162</v>
      </c>
      <c r="F42" s="528"/>
      <c r="H42" s="390" t="s">
        <v>249</v>
      </c>
      <c r="J42" s="390" t="str">
        <f>LEFT(AC$4,4)&amp;"년"</f>
        <v>FCF추년</v>
      </c>
      <c r="K42" s="390" t="str">
        <f>LEFT(AD$4,4)&amp;"년"</f>
        <v>FCF추년</v>
      </c>
      <c r="L42" s="390" t="str">
        <f>LEFT(AE$4,4)&amp;"년"</f>
        <v>FCF추년</v>
      </c>
      <c r="M42" s="390" t="str">
        <f>LEFT(AF$4,4)&amp;"년"</f>
        <v>FCF추년</v>
      </c>
      <c r="N42" s="390" t="str">
        <f>LEFT(AG$4,4)&amp;"년"</f>
        <v>FCF추년</v>
      </c>
      <c r="AA42" s="526" t="s">
        <v>602</v>
      </c>
      <c r="AC42" s="526">
        <f ca="1">+민감도!G1/100</f>
        <v>0.14880000000000002</v>
      </c>
      <c r="AD42" s="526">
        <f ca="1">+민감도!H1/100</f>
        <v>0.1588</v>
      </c>
      <c r="AE42" s="526">
        <f ca="1">+민감도!I1/100</f>
        <v>0.16879999999999998</v>
      </c>
    </row>
    <row r="43" spans="2:33">
      <c r="B43" s="394" t="s">
        <v>298</v>
      </c>
      <c r="C43" s="426">
        <f>IS추정!H15</f>
        <v>7282</v>
      </c>
      <c r="D43" s="426">
        <f>IS추정!G15</f>
        <v>11518</v>
      </c>
      <c r="E43" s="426">
        <f>IS추정!F15</f>
        <v>14341</v>
      </c>
      <c r="F43" s="528"/>
      <c r="H43" s="391" t="s">
        <v>215</v>
      </c>
      <c r="J43" s="395" t="e">
        <f ca="1">J39</f>
        <v>#N/A</v>
      </c>
      <c r="K43" s="395" t="e">
        <f ca="1">K39</f>
        <v>#N/A</v>
      </c>
      <c r="L43" s="395" t="e">
        <f ca="1">L39</f>
        <v>#N/A</v>
      </c>
      <c r="M43" s="395" t="e">
        <f ca="1">M39</f>
        <v>#N/A</v>
      </c>
      <c r="N43" s="395" t="e">
        <f ca="1">N39</f>
        <v>#N/A</v>
      </c>
      <c r="AA43" s="414" t="str">
        <f>+민감도!F2</f>
        <v>0.0%</v>
      </c>
      <c r="AC43" s="407" t="e">
        <f ca="1">+민감도!B2</f>
        <v>#N/A</v>
      </c>
      <c r="AD43" s="407" t="e">
        <f ca="1">+민감도!C2</f>
        <v>#N/A</v>
      </c>
      <c r="AE43" s="407" t="e">
        <f ca="1">+민감도!D2</f>
        <v>#N/A</v>
      </c>
    </row>
    <row r="44" spans="2:33">
      <c r="B44" s="394" t="s">
        <v>378</v>
      </c>
      <c r="C44" s="426">
        <f>IS추정!H16</f>
        <v>-2266</v>
      </c>
      <c r="D44" s="426">
        <f>IS추정!G16</f>
        <v>677</v>
      </c>
      <c r="E44" s="426">
        <f>IS추정!F16</f>
        <v>3821</v>
      </c>
      <c r="F44" s="528"/>
      <c r="H44" s="391" t="s">
        <v>401</v>
      </c>
      <c r="J44" s="395" t="e">
        <f ca="1">J43-J45</f>
        <v>#N/A</v>
      </c>
      <c r="K44" s="395" t="e">
        <f t="shared" ref="K44:N44" ca="1" si="4">K43-K45</f>
        <v>#N/A</v>
      </c>
      <c r="L44" s="395" t="e">
        <f t="shared" ca="1" si="4"/>
        <v>#N/A</v>
      </c>
      <c r="M44" s="395" t="e">
        <f t="shared" ca="1" si="4"/>
        <v>#N/A</v>
      </c>
      <c r="N44" s="395" t="e">
        <f t="shared" ca="1" si="4"/>
        <v>#N/A</v>
      </c>
      <c r="P44" s="204" t="s">
        <v>402</v>
      </c>
      <c r="AA44" s="414" t="str">
        <f>+민감도!F3</f>
        <v>1.0%</v>
      </c>
      <c r="AC44" s="407" t="e">
        <f ca="1">+민감도!B3</f>
        <v>#N/A</v>
      </c>
      <c r="AD44" s="407" t="e">
        <f ca="1">+민감도!C3</f>
        <v>#N/A</v>
      </c>
      <c r="AE44" s="407" t="e">
        <f ca="1">+민감도!D3</f>
        <v>#N/A</v>
      </c>
    </row>
    <row r="45" spans="2:33">
      <c r="B45" s="394" t="s">
        <v>404</v>
      </c>
      <c r="C45" s="426">
        <f>IS추정!H17</f>
        <v>6057</v>
      </c>
      <c r="D45" s="426">
        <f>IS추정!G17</f>
        <v>4229</v>
      </c>
      <c r="E45" s="426">
        <f>IS추정!F17</f>
        <v>3527</v>
      </c>
      <c r="F45" s="528"/>
      <c r="H45" s="401" t="s">
        <v>403</v>
      </c>
      <c r="J45" s="402" t="s">
        <v>555</v>
      </c>
      <c r="K45" s="402" t="s">
        <v>556</v>
      </c>
      <c r="L45" s="402" t="s">
        <v>557</v>
      </c>
      <c r="M45" s="402" t="s">
        <v>558</v>
      </c>
      <c r="N45" s="402" t="s">
        <v>559</v>
      </c>
      <c r="AA45" s="414" t="str">
        <f>+민감도!F4</f>
        <v>2.0%</v>
      </c>
      <c r="AC45" s="407" t="e">
        <f ca="1">+민감도!B4</f>
        <v>#N/A</v>
      </c>
      <c r="AD45" s="407" t="e">
        <f ca="1">+민감도!C4</f>
        <v>#N/A</v>
      </c>
      <c r="AE45" s="407" t="e">
        <f ca="1">+민감도!D4</f>
        <v>#N/A</v>
      </c>
    </row>
    <row r="46" spans="2:33">
      <c r="B46" s="394" t="s">
        <v>215</v>
      </c>
      <c r="C46" s="426">
        <f>IS추정!H25</f>
        <v>-8323</v>
      </c>
      <c r="D46" s="426">
        <f>IS추정!G25</f>
        <v>-3553</v>
      </c>
      <c r="E46" s="426">
        <f>IS추정!F25</f>
        <v>294</v>
      </c>
      <c r="F46" s="528"/>
    </row>
    <row r="47" spans="2:33">
      <c r="B47"/>
      <c r="C47"/>
      <c r="D47"/>
      <c r="E47"/>
      <c r="F47"/>
      <c r="H47" s="390" t="s">
        <v>249</v>
      </c>
      <c r="J47" s="390" t="str">
        <f>LEFT(AC$4,4)&amp;"년"</f>
        <v>FCF추년</v>
      </c>
      <c r="K47" s="390" t="str">
        <f>LEFT(AD$4,4)&amp;"년"</f>
        <v>FCF추년</v>
      </c>
      <c r="L47" s="390" t="str">
        <f>LEFT(AE$4,4)&amp;"년"</f>
        <v>FCF추년</v>
      </c>
      <c r="M47" s="390" t="str">
        <f>LEFT(AF$4,4)&amp;"년"</f>
        <v>FCF추년</v>
      </c>
      <c r="N47" s="390" t="str">
        <f>LEFT(AG$4,4)&amp;"년"</f>
        <v>FCF추년</v>
      </c>
    </row>
    <row r="48" spans="2:33">
      <c r="B48"/>
      <c r="C48"/>
      <c r="D48"/>
      <c r="E48"/>
      <c r="F48"/>
      <c r="H48" s="428" t="s">
        <v>405</v>
      </c>
      <c r="J48" s="429" t="e">
        <f ca="1">OFFSET(BS추정!$I$14,5,AC2)</f>
        <v>#N/A</v>
      </c>
      <c r="K48" s="429" t="e">
        <f ca="1">OFFSET(BS추정!$I$14,5,AD2)</f>
        <v>#N/A</v>
      </c>
      <c r="L48" s="429" t="e">
        <f ca="1">OFFSET(BS추정!$I$14,5,AE2)</f>
        <v>#N/A</v>
      </c>
      <c r="M48" s="429" t="e">
        <f ca="1">OFFSET(BS추정!$I$14,5,AF2)</f>
        <v>#N/A</v>
      </c>
      <c r="N48" s="429" t="e">
        <f ca="1">OFFSET(BS추정!$I$14,5,AG2)</f>
        <v>#N/A</v>
      </c>
    </row>
    <row r="49" spans="2:14">
      <c r="B49"/>
      <c r="C49"/>
      <c r="D49"/>
      <c r="E49"/>
      <c r="F49"/>
      <c r="H49" s="391" t="s">
        <v>321</v>
      </c>
      <c r="J49" s="395" t="e">
        <f ca="1">OFFSET(BS추정!$I$14,8,AC2)</f>
        <v>#N/A</v>
      </c>
      <c r="K49" s="395" t="e">
        <f ca="1">OFFSET(BS추정!$I$14,8,AD2)</f>
        <v>#N/A</v>
      </c>
      <c r="L49" s="395" t="e">
        <f ca="1">OFFSET(BS추정!$I$14,8,AE2)</f>
        <v>#N/A</v>
      </c>
      <c r="M49" s="395" t="e">
        <f ca="1">OFFSET(BS추정!$I$14,8,AF2)</f>
        <v>#N/A</v>
      </c>
      <c r="N49" s="395" t="e">
        <f ca="1">OFFSET(BS추정!$I$14,8,AG2)</f>
        <v>#N/A</v>
      </c>
    </row>
    <row r="50" spans="2:14">
      <c r="B50"/>
      <c r="C50"/>
      <c r="D50"/>
      <c r="E50"/>
      <c r="F50"/>
      <c r="H50" s="428" t="s">
        <v>410</v>
      </c>
      <c r="J50" s="430" t="e">
        <f ca="1">OFFSET(BS추정!$I$14,9,AC2)</f>
        <v>#N/A</v>
      </c>
      <c r="K50" s="430" t="e">
        <f ca="1">OFFSET(BS추정!$I$14,9,AD2)</f>
        <v>#N/A</v>
      </c>
      <c r="L50" s="430" t="e">
        <f ca="1">OFFSET(BS추정!$I$14,9,AE2)</f>
        <v>#N/A</v>
      </c>
      <c r="M50" s="430" t="e">
        <f ca="1">OFFSET(BS추정!$I$14,9,AF2)</f>
        <v>#N/A</v>
      </c>
      <c r="N50" s="430" t="e">
        <f ca="1">OFFSET(BS추정!$I$14,9,AG2)</f>
        <v>#N/A</v>
      </c>
    </row>
    <row r="51" spans="2:14">
      <c r="B51"/>
      <c r="C51"/>
      <c r="D51"/>
      <c r="E51"/>
      <c r="F51"/>
      <c r="H51" s="391" t="s">
        <v>324</v>
      </c>
      <c r="J51" s="395" t="e">
        <f ca="1">OFFSET(BS추정!$I$14,10,AC2)</f>
        <v>#N/A</v>
      </c>
      <c r="K51" s="395" t="e">
        <f ca="1">OFFSET(BS추정!$I$14,10,AD2)</f>
        <v>#N/A</v>
      </c>
      <c r="L51" s="395" t="e">
        <f ca="1">OFFSET(BS추정!$I$14,10,AE2)</f>
        <v>#N/A</v>
      </c>
      <c r="M51" s="395" t="e">
        <f ca="1">OFFSET(BS추정!$I$14,10,AF2)</f>
        <v>#N/A</v>
      </c>
      <c r="N51" s="395" t="e">
        <f ca="1">OFFSET(BS추정!$I$14,10,AG2)</f>
        <v>#N/A</v>
      </c>
    </row>
    <row r="52" spans="2:14">
      <c r="H52" s="401" t="s">
        <v>415</v>
      </c>
      <c r="I52" s="204"/>
      <c r="J52" s="402" t="e">
        <f ca="1">OFFSET(감가상각추정!$I$36,-3,AC2)</f>
        <v>#N/A</v>
      </c>
      <c r="K52" s="402" t="e">
        <f ca="1">OFFSET(감가상각추정!$I$36,-3,AD2)</f>
        <v>#N/A</v>
      </c>
      <c r="L52" s="402" t="e">
        <f ca="1">OFFSET(감가상각추정!$I$36,-3,AE2)</f>
        <v>#N/A</v>
      </c>
      <c r="M52" s="402" t="e">
        <f ca="1">OFFSET(감가상각추정!$I$36,-3,AF2)</f>
        <v>#N/A</v>
      </c>
      <c r="N52" s="402" t="e">
        <f ca="1">OFFSET(감가상각추정!$I$36,-3,AG2)</f>
        <v>#N/A</v>
      </c>
    </row>
    <row r="54" spans="2:14">
      <c r="H54" s="390" t="s">
        <v>249</v>
      </c>
      <c r="J54" s="390" t="str">
        <f>LEFT(AC$4,4)&amp;"년"</f>
        <v>FCF추년</v>
      </c>
      <c r="K54" s="390" t="str">
        <f>LEFT(AD$4,4)&amp;"년"</f>
        <v>FCF추년</v>
      </c>
      <c r="L54" s="390" t="str">
        <f>LEFT(AE$4,4)&amp;"년"</f>
        <v>FCF추년</v>
      </c>
      <c r="M54" s="390" t="str">
        <f>LEFT(AF$4,4)&amp;"년"</f>
        <v>FCF추년</v>
      </c>
      <c r="N54" s="390" t="str">
        <f>LEFT(AG$4,4)&amp;"년"</f>
        <v>FCF추년</v>
      </c>
    </row>
    <row r="55" spans="2:14">
      <c r="H55" s="391" t="s">
        <v>416</v>
      </c>
      <c r="J55" s="395" t="s">
        <v>417</v>
      </c>
      <c r="K55" s="395" t="s">
        <v>418</v>
      </c>
      <c r="L55" s="395" t="s">
        <v>419</v>
      </c>
      <c r="M55" s="395" t="s">
        <v>420</v>
      </c>
      <c r="N55" s="395" t="s">
        <v>421</v>
      </c>
    </row>
    <row r="56" spans="2:14">
      <c r="H56" s="391" t="s">
        <v>422</v>
      </c>
      <c r="J56" s="395" t="s">
        <v>423</v>
      </c>
      <c r="K56" s="395" t="s">
        <v>424</v>
      </c>
      <c r="L56" s="395" t="s">
        <v>425</v>
      </c>
      <c r="M56" s="395" t="s">
        <v>426</v>
      </c>
      <c r="N56" s="395" t="s">
        <v>427</v>
      </c>
    </row>
    <row r="57" spans="2:14">
      <c r="H57" s="391" t="s">
        <v>428</v>
      </c>
      <c r="J57" s="395" t="s">
        <v>429</v>
      </c>
      <c r="K57" s="395" t="s">
        <v>430</v>
      </c>
      <c r="L57" s="395" t="s">
        <v>431</v>
      </c>
      <c r="M57" s="395" t="s">
        <v>432</v>
      </c>
      <c r="N57" s="395" t="s">
        <v>433</v>
      </c>
    </row>
    <row r="58" spans="2:14">
      <c r="H58" s="401" t="s">
        <v>434</v>
      </c>
      <c r="J58" s="402" t="s">
        <v>435</v>
      </c>
      <c r="K58" s="402" t="s">
        <v>436</v>
      </c>
      <c r="L58" s="402" t="s">
        <v>437</v>
      </c>
      <c r="M58" s="402" t="s">
        <v>438</v>
      </c>
      <c r="N58" s="402" t="s">
        <v>439</v>
      </c>
    </row>
    <row r="60" spans="2:14">
      <c r="H60" s="387" t="s">
        <v>249</v>
      </c>
      <c r="J60" s="388" t="s">
        <v>440</v>
      </c>
      <c r="L60" s="383" t="str">
        <f>NWC추정!J45</f>
        <v>WA 3Y</v>
      </c>
    </row>
    <row r="61" spans="2:14">
      <c r="H61" s="428" t="s">
        <v>441</v>
      </c>
      <c r="J61" s="431">
        <f>NWC추정!J46</f>
        <v>5.6344583178002141</v>
      </c>
    </row>
    <row r="62" spans="2:14">
      <c r="H62" s="428" t="s">
        <v>442</v>
      </c>
      <c r="J62" s="431">
        <f>NWC추정!J47</f>
        <v>2.1146062148662446</v>
      </c>
    </row>
    <row r="63" spans="2:14">
      <c r="H63" s="428" t="s">
        <v>443</v>
      </c>
      <c r="J63" s="431">
        <f>NWC추정!J48</f>
        <v>8.2889093281397042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topLeftCell="A34" workbookViewId="0">
      <selection activeCell="F47" sqref="F47"/>
    </sheetView>
    <sheetView workbookViewId="1"/>
  </sheetViews>
  <sheetFormatPr defaultRowHeight="12"/>
  <cols>
    <col min="1" max="1" width="2.875" style="727" customWidth="1"/>
    <col min="2" max="2" width="23.875" style="727" customWidth="1"/>
    <col min="3" max="8" width="8.75" style="727" customWidth="1"/>
    <col min="9" max="9" width="2.875" style="727" customWidth="1"/>
    <col min="10" max="10" width="18.875" style="727" customWidth="1"/>
    <col min="11" max="18" width="9.125" style="727" customWidth="1"/>
    <col min="19" max="19" width="2.875" style="727" customWidth="1"/>
    <col min="20" max="20" width="22.875" style="727" customWidth="1"/>
    <col min="21" max="24" width="10.125" style="727" customWidth="1"/>
    <col min="25" max="29" width="10.5" style="727" customWidth="1"/>
    <col min="30" max="30" width="3.375" style="727" customWidth="1"/>
    <col min="31" max="31" width="19.875" style="727" customWidth="1"/>
    <col min="32" max="32" width="10.375" style="727" customWidth="1"/>
    <col min="33" max="34" width="8.875" style="727" customWidth="1"/>
    <col min="35" max="16384" width="9" style="727"/>
  </cols>
  <sheetData>
    <row r="2" spans="2:36" ht="12.75" thickBot="1">
      <c r="B2" s="726" t="s">
        <v>659</v>
      </c>
      <c r="C2" s="726" t="str">
        <f>평가기준일</f>
        <v>2024-12-31</v>
      </c>
    </row>
    <row r="3" spans="2:36" ht="12.75" thickTop="1">
      <c r="H3" s="727" t="s">
        <v>16208</v>
      </c>
      <c r="R3" s="727" t="str">
        <f>H3</f>
        <v>단위: 백만원</v>
      </c>
      <c r="AC3" s="727" t="str">
        <f>H3</f>
        <v>단위: 백만원</v>
      </c>
      <c r="AJ3" s="727" t="str">
        <f>R3</f>
        <v>단위: 백만원</v>
      </c>
    </row>
    <row r="4" spans="2:36" ht="12.75" thickBot="1">
      <c r="B4" s="728" t="s">
        <v>370</v>
      </c>
      <c r="C4" s="728" t="str">
        <f t="shared" ref="C4:G6" si="0">N4</f>
        <v>2024</v>
      </c>
      <c r="D4" s="728" t="str">
        <f t="shared" si="0"/>
        <v>2025</v>
      </c>
      <c r="E4" s="728" t="str">
        <f t="shared" si="0"/>
        <v>2026</v>
      </c>
      <c r="F4" s="728" t="str">
        <f t="shared" si="0"/>
        <v>2027</v>
      </c>
      <c r="G4" s="728" t="str">
        <f t="shared" si="0"/>
        <v>2028</v>
      </c>
      <c r="H4" s="728" t="s">
        <v>16209</v>
      </c>
      <c r="J4" s="729" t="s">
        <v>16210</v>
      </c>
      <c r="K4" s="761" t="str">
        <f>IS추정!F1</f>
        <v>20211231K</v>
      </c>
      <c r="L4" s="761" t="str">
        <f>IS추정!G1</f>
        <v>20221231K</v>
      </c>
      <c r="M4" s="761" t="str">
        <f>IS추정!H1</f>
        <v>20231231K</v>
      </c>
      <c r="N4" s="728" t="str">
        <f>IS추정!J13</f>
        <v>2024</v>
      </c>
      <c r="O4" s="728" t="str">
        <f>IS추정!K13</f>
        <v>2025</v>
      </c>
      <c r="P4" s="728" t="str">
        <f>IS추정!L13</f>
        <v>2026</v>
      </c>
      <c r="Q4" s="728" t="str">
        <f>IS추정!M13</f>
        <v>2027</v>
      </c>
      <c r="R4" s="728" t="str">
        <f>IS추정!N13</f>
        <v>2028</v>
      </c>
      <c r="T4" s="729" t="s">
        <v>16211</v>
      </c>
      <c r="U4" s="761" t="str">
        <f>IS추정!E1</f>
        <v>20201231K</v>
      </c>
      <c r="V4" s="761" t="str">
        <f t="shared" ref="V4:AC4" si="1">K4</f>
        <v>20211231K</v>
      </c>
      <c r="W4" s="761" t="str">
        <f t="shared" si="1"/>
        <v>20221231K</v>
      </c>
      <c r="X4" s="761" t="str">
        <f t="shared" si="1"/>
        <v>20231231K</v>
      </c>
      <c r="Y4" s="728" t="str">
        <f t="shared" si="1"/>
        <v>2024</v>
      </c>
      <c r="Z4" s="728" t="str">
        <f t="shared" si="1"/>
        <v>2025</v>
      </c>
      <c r="AA4" s="728" t="str">
        <f t="shared" si="1"/>
        <v>2026</v>
      </c>
      <c r="AB4" s="728" t="str">
        <f t="shared" si="1"/>
        <v>2027</v>
      </c>
      <c r="AC4" s="728" t="str">
        <f t="shared" si="1"/>
        <v>2028</v>
      </c>
      <c r="AE4" s="729" t="s">
        <v>16212</v>
      </c>
      <c r="AF4" s="728" t="str">
        <f>N4</f>
        <v>2024</v>
      </c>
      <c r="AG4" s="728" t="str">
        <f>O4</f>
        <v>2025</v>
      </c>
      <c r="AH4" s="728" t="str">
        <f>P4</f>
        <v>2026</v>
      </c>
      <c r="AI4" s="728" t="str">
        <f>Q4</f>
        <v>2027</v>
      </c>
      <c r="AJ4" s="728" t="str">
        <f>R4</f>
        <v>2028</v>
      </c>
    </row>
    <row r="5" spans="2:36" ht="12.75" thickTop="1">
      <c r="B5" s="730" t="s">
        <v>267</v>
      </c>
      <c r="C5" s="730">
        <f t="shared" si="0"/>
        <v>0</v>
      </c>
      <c r="D5" s="730">
        <f t="shared" si="0"/>
        <v>0</v>
      </c>
      <c r="E5" s="730">
        <f t="shared" si="0"/>
        <v>0</v>
      </c>
      <c r="F5" s="730">
        <f t="shared" si="0"/>
        <v>0</v>
      </c>
      <c r="G5" s="730">
        <f t="shared" si="0"/>
        <v>0</v>
      </c>
      <c r="H5" s="730"/>
      <c r="J5" s="731" t="s">
        <v>16139</v>
      </c>
      <c r="K5" s="762">
        <f>IS추정!F14</f>
        <v>18162</v>
      </c>
      <c r="L5" s="762">
        <f>IS추정!G14</f>
        <v>12194</v>
      </c>
      <c r="M5" s="762">
        <f>IS추정!H14</f>
        <v>5015</v>
      </c>
      <c r="N5" s="732">
        <f>AF5</f>
        <v>0</v>
      </c>
      <c r="O5" s="732">
        <f>AG5</f>
        <v>0</v>
      </c>
      <c r="P5" s="732">
        <f>AH5</f>
        <v>0</v>
      </c>
      <c r="Q5" s="732">
        <f>AI5</f>
        <v>0</v>
      </c>
      <c r="R5" s="732">
        <f>AJ5</f>
        <v>0</v>
      </c>
      <c r="T5" s="730" t="s">
        <v>16140</v>
      </c>
      <c r="U5" s="763">
        <f>감가상각추정!E8</f>
        <v>0</v>
      </c>
      <c r="V5" s="763">
        <f>감가상각추정!F8</f>
        <v>825</v>
      </c>
      <c r="W5" s="763">
        <f>감가상각추정!G8</f>
        <v>573</v>
      </c>
      <c r="X5" s="763">
        <f>감가상각추정!I8</f>
        <v>1160</v>
      </c>
      <c r="Y5" s="730">
        <f ca="1">INT(MIN(X9*$U$18/100, X7))</f>
        <v>2482</v>
      </c>
      <c r="Z5" s="730">
        <f ca="1">INT(MIN(Y9*$U$18/100, Y7))</f>
        <v>2611</v>
      </c>
      <c r="AA5" s="730">
        <f ca="1">INT(MIN(Z9*$U$18/100, Z7))</f>
        <v>2747</v>
      </c>
      <c r="AB5" s="730">
        <f ca="1">INT(MIN(AA9*$U$18/100, AA7))</f>
        <v>2890</v>
      </c>
      <c r="AC5" s="730">
        <f ca="1">INT(MIN(AB9*$U$18/100, AB7))</f>
        <v>3041</v>
      </c>
      <c r="AE5" s="730" t="s">
        <v>16213</v>
      </c>
      <c r="AF5" s="730"/>
      <c r="AG5" s="730"/>
      <c r="AH5" s="730"/>
      <c r="AI5" s="730"/>
      <c r="AJ5" s="730"/>
    </row>
    <row r="6" spans="2:36">
      <c r="B6" s="730" t="s">
        <v>274</v>
      </c>
      <c r="C6" s="730">
        <f t="shared" si="0"/>
        <v>5312</v>
      </c>
      <c r="D6" s="730">
        <f t="shared" si="0"/>
        <v>26564</v>
      </c>
      <c r="E6" s="730">
        <f t="shared" si="0"/>
        <v>32769</v>
      </c>
      <c r="F6" s="730">
        <f t="shared" si="0"/>
        <v>71206</v>
      </c>
      <c r="G6" s="730">
        <f t="shared" si="0"/>
        <v>68572</v>
      </c>
      <c r="H6" s="730"/>
      <c r="J6" s="731" t="s">
        <v>16214</v>
      </c>
      <c r="K6" s="762">
        <f>IS추정!F15</f>
        <v>14341</v>
      </c>
      <c r="L6" s="762">
        <f>IS추정!G15</f>
        <v>11518</v>
      </c>
      <c r="M6" s="762">
        <f>IS추정!H15</f>
        <v>7282</v>
      </c>
      <c r="N6" s="732">
        <f>IS추정!J15</f>
        <v>5312</v>
      </c>
      <c r="O6" s="732">
        <f>IS추정!K15</f>
        <v>26564</v>
      </c>
      <c r="P6" s="732">
        <f>IS추정!L15</f>
        <v>32769</v>
      </c>
      <c r="Q6" s="732">
        <f>IS추정!M15</f>
        <v>71206</v>
      </c>
      <c r="R6" s="732">
        <f>IS추정!N15</f>
        <v>68572</v>
      </c>
      <c r="T6" s="730" t="s">
        <v>16141</v>
      </c>
      <c r="U6" s="763">
        <f>감가상각추정!E9</f>
        <v>26</v>
      </c>
      <c r="V6" s="763">
        <f>감가상각추정!F9</f>
        <v>35</v>
      </c>
      <c r="W6" s="763">
        <f>감가상각추정!G9</f>
        <v>63</v>
      </c>
      <c r="X6" s="763">
        <f>감가상각추정!I9</f>
        <v>125</v>
      </c>
      <c r="Y6" s="730">
        <f ca="1">INT(Y5*$U$19/100)</f>
        <v>215</v>
      </c>
      <c r="Z6" s="730">
        <f ca="1">INT(Z5*$U$19/100)</f>
        <v>226</v>
      </c>
      <c r="AA6" s="730">
        <f ca="1">INT(AA5*$U$19/100)</f>
        <v>238</v>
      </c>
      <c r="AB6" s="730">
        <f ca="1">INT(AB5*$U$19/100)</f>
        <v>250</v>
      </c>
      <c r="AC6" s="730">
        <f ca="1">INT(AC5*$U$19/100)</f>
        <v>263</v>
      </c>
      <c r="AE6" s="730" t="s">
        <v>16215</v>
      </c>
      <c r="AF6" s="730"/>
      <c r="AG6" s="730"/>
      <c r="AH6" s="730"/>
      <c r="AI6" s="730"/>
      <c r="AJ6" s="730"/>
    </row>
    <row r="7" spans="2:36">
      <c r="B7" s="730" t="s">
        <v>281</v>
      </c>
      <c r="C7" s="730">
        <f>C5-C6</f>
        <v>-5312</v>
      </c>
      <c r="D7" s="730">
        <f t="shared" ref="D7:G7" si="2">D5-D6</f>
        <v>-26564</v>
      </c>
      <c r="E7" s="730">
        <f t="shared" si="2"/>
        <v>-32769</v>
      </c>
      <c r="F7" s="730">
        <f t="shared" si="2"/>
        <v>-71206</v>
      </c>
      <c r="G7" s="730">
        <f t="shared" si="2"/>
        <v>-68572</v>
      </c>
      <c r="H7" s="730"/>
      <c r="J7" s="731" t="s">
        <v>16142</v>
      </c>
      <c r="K7" s="762">
        <f>K5-K6</f>
        <v>3821</v>
      </c>
      <c r="L7" s="762">
        <f t="shared" ref="L7:M7" si="3">L5-L6</f>
        <v>676</v>
      </c>
      <c r="M7" s="762">
        <f t="shared" si="3"/>
        <v>-2267</v>
      </c>
      <c r="N7" s="732">
        <f>N5-N6</f>
        <v>-5312</v>
      </c>
      <c r="O7" s="732">
        <f t="shared" ref="O7:R7" si="4">O5-O6</f>
        <v>-26564</v>
      </c>
      <c r="P7" s="732">
        <f t="shared" si="4"/>
        <v>-32769</v>
      </c>
      <c r="Q7" s="732">
        <f t="shared" si="4"/>
        <v>-71206</v>
      </c>
      <c r="R7" s="732">
        <f t="shared" si="4"/>
        <v>-68572</v>
      </c>
      <c r="T7" s="730" t="s">
        <v>16143</v>
      </c>
      <c r="U7" s="763">
        <f>감가상각추정!E10</f>
        <v>2839</v>
      </c>
      <c r="V7" s="763">
        <f>감가상각추정!F10</f>
        <v>11497</v>
      </c>
      <c r="W7" s="763">
        <f>감가상각추정!G10</f>
        <v>29950</v>
      </c>
      <c r="X7" s="763">
        <f ca="1">감가상각추정!I10</f>
        <v>40065</v>
      </c>
      <c r="Y7" s="730">
        <f ca="1">INT(X7-(1-$U$20/100)*Y5)</f>
        <v>40119</v>
      </c>
      <c r="Z7" s="730">
        <f ca="1">INT(Y7-(1-$U$20/100)*Z5)</f>
        <v>40176</v>
      </c>
      <c r="AA7" s="730">
        <f ca="1">INT(Z7-(1-$U$20/100)*AA5)</f>
        <v>40236</v>
      </c>
      <c r="AB7" s="730">
        <f ca="1">INT(AA7-(1-$U$20/100)*AB5)</f>
        <v>40299</v>
      </c>
      <c r="AC7" s="730">
        <f ca="1">INT(AB7-(1-$U$20/100)*AC5)</f>
        <v>40366</v>
      </c>
    </row>
    <row r="8" spans="2:36">
      <c r="B8" s="730" t="s">
        <v>16216</v>
      </c>
      <c r="C8" s="730">
        <f ca="1">SUM(C9:C15)</f>
        <v>3760</v>
      </c>
      <c r="D8" s="730">
        <f t="shared" ref="D8:G8" ca="1" si="5">SUM(D9:D15)</f>
        <v>3880</v>
      </c>
      <c r="E8" s="730">
        <f t="shared" ca="1" si="5"/>
        <v>4009</v>
      </c>
      <c r="F8" s="730">
        <f t="shared" ca="1" si="5"/>
        <v>4140</v>
      </c>
      <c r="G8" s="730">
        <f t="shared" ca="1" si="5"/>
        <v>4276</v>
      </c>
      <c r="H8" s="730"/>
      <c r="J8" s="731" t="s">
        <v>16217</v>
      </c>
      <c r="K8" s="762">
        <f>IS추정!F17</f>
        <v>3527</v>
      </c>
      <c r="L8" s="762">
        <f>IS추정!G17</f>
        <v>4229</v>
      </c>
      <c r="M8" s="762">
        <f>IS추정!H17</f>
        <v>6057</v>
      </c>
      <c r="N8" s="731">
        <f ca="1">N9+N21+N22+N36+N37+N38+N39</f>
        <v>3760</v>
      </c>
      <c r="O8" s="731">
        <f ca="1">O9+O21+O22+O36+O37+O38+O39</f>
        <v>3880</v>
      </c>
      <c r="P8" s="731">
        <f ca="1">P9+P21+P22+P36+P37+P38+P39</f>
        <v>4009</v>
      </c>
      <c r="Q8" s="731">
        <f ca="1">Q9+Q21+Q22+Q36+Q37+Q38+Q39</f>
        <v>4140</v>
      </c>
      <c r="R8" s="731">
        <f ca="1">R9+R21+R22+R36+R37+R38+R39</f>
        <v>4276</v>
      </c>
      <c r="T8" s="730" t="s">
        <v>16144</v>
      </c>
      <c r="U8" s="763">
        <f>감가상각추정!E11</f>
        <v>6210</v>
      </c>
      <c r="V8" s="763">
        <f>감가상각추정!F11</f>
        <v>7029</v>
      </c>
      <c r="W8" s="763">
        <f>감가상각추정!G11</f>
        <v>7572</v>
      </c>
      <c r="X8" s="763">
        <f>감가상각추정!I11</f>
        <v>8599</v>
      </c>
      <c r="Y8" s="730">
        <f ca="1">INT(X8+Y5)</f>
        <v>11081</v>
      </c>
      <c r="Z8" s="730">
        <f ca="1">INT(Y8+Z5)</f>
        <v>13692</v>
      </c>
      <c r="AA8" s="730">
        <f ca="1">INT(Z8+AA5)</f>
        <v>16439</v>
      </c>
      <c r="AB8" s="730">
        <f ca="1">INT(AA8+AB5)</f>
        <v>19329</v>
      </c>
      <c r="AC8" s="730">
        <f ca="1">INT(AB8+AC5)</f>
        <v>22370</v>
      </c>
      <c r="AE8" s="764" t="s">
        <v>16218</v>
      </c>
      <c r="AF8" s="764"/>
      <c r="AG8" s="764"/>
      <c r="AH8" s="764"/>
      <c r="AI8" s="764"/>
      <c r="AJ8" s="764"/>
    </row>
    <row r="9" spans="2:36">
      <c r="B9" s="733" t="s">
        <v>293</v>
      </c>
      <c r="C9" s="730">
        <f>N9</f>
        <v>0</v>
      </c>
      <c r="D9" s="730">
        <f>O9</f>
        <v>0</v>
      </c>
      <c r="E9" s="730">
        <f>P9</f>
        <v>0</v>
      </c>
      <c r="F9" s="730">
        <f>Q9</f>
        <v>0</v>
      </c>
      <c r="G9" s="730">
        <f>R9</f>
        <v>0</v>
      </c>
      <c r="H9" s="730"/>
      <c r="J9" s="731" t="s">
        <v>16145</v>
      </c>
      <c r="K9" s="762">
        <f>비용추정!F29</f>
        <v>877</v>
      </c>
      <c r="L9" s="762">
        <f>비용추정!G29</f>
        <v>1401</v>
      </c>
      <c r="M9" s="762">
        <f>비용추정!H29</f>
        <v>2876</v>
      </c>
      <c r="N9" s="732">
        <f>INT(N5*$K$46/100)</f>
        <v>0</v>
      </c>
      <c r="O9" s="732">
        <f>INT(O5*$K$46/100)</f>
        <v>0</v>
      </c>
      <c r="P9" s="732">
        <f>INT(P5*$K$46/100)</f>
        <v>0</v>
      </c>
      <c r="Q9" s="732">
        <f>INT(Q5*$K$46/100)</f>
        <v>0</v>
      </c>
      <c r="R9" s="732">
        <f>INT(R5*$K$46/100)</f>
        <v>0</v>
      </c>
      <c r="T9" s="730" t="s">
        <v>16146</v>
      </c>
      <c r="U9" s="763">
        <f>감가상각추정!E12</f>
        <v>9049</v>
      </c>
      <c r="V9" s="763">
        <f>감가상각추정!F12</f>
        <v>18526</v>
      </c>
      <c r="W9" s="763">
        <f>감가상각추정!G12</f>
        <v>37522</v>
      </c>
      <c r="X9" s="763">
        <f ca="1">감가상각추정!I12</f>
        <v>48664</v>
      </c>
      <c r="Y9" s="730">
        <f ca="1">INT(Y7+Y8)</f>
        <v>51200</v>
      </c>
      <c r="Z9" s="730">
        <f ca="1">INT(Z7+Z8)</f>
        <v>53868</v>
      </c>
      <c r="AA9" s="730">
        <f ca="1">INT(AA7+AA8)</f>
        <v>56675</v>
      </c>
      <c r="AB9" s="730">
        <f ca="1">INT(AB7+AB8)</f>
        <v>59628</v>
      </c>
      <c r="AC9" s="730">
        <f ca="1">INT(AC7+AC8)</f>
        <v>62736</v>
      </c>
      <c r="AE9" s="764"/>
      <c r="AF9" s="764"/>
      <c r="AG9" s="764"/>
      <c r="AH9" s="764"/>
      <c r="AI9" s="764"/>
      <c r="AJ9" s="764"/>
    </row>
    <row r="10" spans="2:36">
      <c r="B10" s="733" t="s">
        <v>300</v>
      </c>
      <c r="C10" s="730">
        <f t="shared" ref="C10:G11" si="6">N21</f>
        <v>2184</v>
      </c>
      <c r="D10" s="730">
        <f t="shared" si="6"/>
        <v>2273</v>
      </c>
      <c r="E10" s="730">
        <f t="shared" si="6"/>
        <v>2368</v>
      </c>
      <c r="F10" s="730">
        <f t="shared" si="6"/>
        <v>2465</v>
      </c>
      <c r="G10" s="730">
        <f t="shared" si="6"/>
        <v>2565</v>
      </c>
      <c r="H10" s="730"/>
      <c r="J10" s="733" t="s">
        <v>16147</v>
      </c>
      <c r="K10" s="765"/>
      <c r="L10" s="765"/>
      <c r="M10" s="765"/>
      <c r="N10" s="734"/>
      <c r="O10" s="734"/>
      <c r="P10" s="734"/>
      <c r="Q10" s="734"/>
      <c r="R10" s="734"/>
      <c r="T10" s="730" t="s">
        <v>16148</v>
      </c>
      <c r="U10" s="763">
        <f>감가상각추정!E13</f>
        <v>0</v>
      </c>
      <c r="V10" s="763">
        <f>감가상각추정!F13</f>
        <v>9483</v>
      </c>
      <c r="W10" s="763">
        <f>감가상각추정!G13</f>
        <v>19026</v>
      </c>
      <c r="X10" s="763">
        <f ca="1">감가상각추정!I13</f>
        <v>11275</v>
      </c>
      <c r="Y10" s="730">
        <f ca="1">INT(Y7-X7+Y5)</f>
        <v>2536</v>
      </c>
      <c r="Z10" s="730">
        <f ca="1">INT(Z7-Y7+Z5)</f>
        <v>2668</v>
      </c>
      <c r="AA10" s="730">
        <f ca="1">INT(AA7-Z7+AA5)</f>
        <v>2807</v>
      </c>
      <c r="AB10" s="730">
        <f ca="1">INT(AB7-AA7+AB5)</f>
        <v>2953</v>
      </c>
      <c r="AC10" s="730">
        <f ca="1">INT(AC7-AB7+AC5)</f>
        <v>3108</v>
      </c>
      <c r="AE10" s="764"/>
      <c r="AF10" s="764"/>
      <c r="AG10" s="764"/>
      <c r="AH10" s="764"/>
      <c r="AI10" s="764"/>
      <c r="AJ10" s="764"/>
    </row>
    <row r="11" spans="2:36">
      <c r="B11" s="733" t="s">
        <v>16149</v>
      </c>
      <c r="C11" s="730">
        <f t="shared" si="6"/>
        <v>413</v>
      </c>
      <c r="D11" s="730">
        <f t="shared" si="6"/>
        <v>430</v>
      </c>
      <c r="E11" s="730">
        <f t="shared" si="6"/>
        <v>448</v>
      </c>
      <c r="F11" s="730">
        <f t="shared" si="6"/>
        <v>466</v>
      </c>
      <c r="G11" s="730">
        <f t="shared" si="6"/>
        <v>485</v>
      </c>
      <c r="H11" s="730"/>
      <c r="J11" s="733" t="s">
        <v>16150</v>
      </c>
      <c r="K11" s="765">
        <f>K14/K12</f>
        <v>16.350000000000001</v>
      </c>
      <c r="L11" s="765">
        <f>L14/L12</f>
        <v>17.649999999999999</v>
      </c>
      <c r="M11" s="765">
        <f>M14/M12</f>
        <v>17.899999999999999</v>
      </c>
      <c r="N11" s="734">
        <f>비용추정!J31</f>
        <v>18.247</v>
      </c>
      <c r="O11" s="734">
        <f>ROUND(N$11*(1+$L$72/100),3)</f>
        <v>18.600999999999999</v>
      </c>
      <c r="P11" s="734">
        <f>ROUND(O$11*(1+$L$72/100),3)</f>
        <v>18.962</v>
      </c>
      <c r="Q11" s="734">
        <f>ROUND(P$11*(1+$L$72/100),3)</f>
        <v>19.329999999999998</v>
      </c>
      <c r="R11" s="734">
        <f>ROUND(Q$11*(1+$L$72/100),3)</f>
        <v>19.704999999999998</v>
      </c>
      <c r="T11" s="730" t="s">
        <v>16151</v>
      </c>
      <c r="U11" s="763">
        <f>감가상각추정!E14</f>
        <v>0</v>
      </c>
      <c r="V11" s="763">
        <f>감가상각추정!F14</f>
        <v>21</v>
      </c>
      <c r="W11" s="763">
        <f>감가상각추정!G14</f>
        <v>27</v>
      </c>
      <c r="X11" s="763">
        <f>감가상각추정!I14</f>
        <v>15</v>
      </c>
      <c r="Y11" s="730">
        <f ca="1">INT(MIN(X13*$U$21/100,X13))</f>
        <v>445</v>
      </c>
      <c r="Z11" s="730">
        <f ca="1">INT(MIN(Y13*$U$21/100,Y13))</f>
        <v>446</v>
      </c>
      <c r="AA11" s="730">
        <f ca="1">INT(MIN(Z13*$U$21/100,Z13))</f>
        <v>447</v>
      </c>
      <c r="AB11" s="730">
        <f ca="1">INT(MIN(AA13*$U$21/100,AA13))</f>
        <v>448</v>
      </c>
      <c r="AC11" s="730">
        <f ca="1">INT(MIN(AB13*$U$21/100,AB13))</f>
        <v>449</v>
      </c>
      <c r="AE11" s="764"/>
      <c r="AF11" s="764"/>
      <c r="AG11" s="764"/>
      <c r="AH11" s="764"/>
      <c r="AI11" s="764"/>
      <c r="AJ11" s="764"/>
    </row>
    <row r="12" spans="2:36">
      <c r="B12" s="733" t="s">
        <v>16152</v>
      </c>
      <c r="C12" s="730">
        <f t="shared" ref="C12:G15" si="7">N36</f>
        <v>525</v>
      </c>
      <c r="D12" s="730">
        <f t="shared" si="7"/>
        <v>528</v>
      </c>
      <c r="E12" s="730">
        <f t="shared" si="7"/>
        <v>531</v>
      </c>
      <c r="F12" s="730">
        <f t="shared" si="7"/>
        <v>534</v>
      </c>
      <c r="G12" s="730">
        <f t="shared" si="7"/>
        <v>537</v>
      </c>
      <c r="H12" s="730"/>
      <c r="J12" s="733" t="s">
        <v>16153</v>
      </c>
      <c r="K12" s="765">
        <f>비용추정!F32</f>
        <v>100</v>
      </c>
      <c r="L12" s="765">
        <f>비용추정!G32</f>
        <v>100</v>
      </c>
      <c r="M12" s="765">
        <f>비용추정!H32</f>
        <v>100</v>
      </c>
      <c r="N12" s="734">
        <f>K69</f>
        <v>102.486</v>
      </c>
      <c r="O12" s="734">
        <f>L69</f>
        <v>104.70584676</v>
      </c>
      <c r="P12" s="734">
        <f>M69</f>
        <v>106.9664459915484</v>
      </c>
      <c r="Q12" s="734">
        <f>N69</f>
        <v>109.23092565318947</v>
      </c>
      <c r="R12" s="734">
        <f>O69</f>
        <v>111.52477509190645</v>
      </c>
      <c r="T12" s="730" t="s">
        <v>16154</v>
      </c>
      <c r="U12" s="763">
        <f>감가상각추정!E15</f>
        <v>0</v>
      </c>
      <c r="V12" s="763">
        <f>감가상각추정!F15</f>
        <v>21</v>
      </c>
      <c r="W12" s="763">
        <f>감가상각추정!G15</f>
        <v>23</v>
      </c>
      <c r="X12" s="763">
        <f>감가상각추정!I15</f>
        <v>15</v>
      </c>
      <c r="Y12" s="730">
        <f ca="1">INT(Y11*$U$22/100)</f>
        <v>423</v>
      </c>
      <c r="Z12" s="730">
        <f ca="1">INT(Z11*$U$22/100)</f>
        <v>423</v>
      </c>
      <c r="AA12" s="730">
        <f ca="1">INT(AA11*$U$22/100)</f>
        <v>424</v>
      </c>
      <c r="AB12" s="730">
        <f ca="1">INT(AB11*$U$22/100)</f>
        <v>425</v>
      </c>
      <c r="AC12" s="730">
        <f ca="1">INT(AC11*$U$22/100)</f>
        <v>426</v>
      </c>
      <c r="AE12" s="764"/>
      <c r="AF12" s="764"/>
      <c r="AG12" s="764"/>
      <c r="AH12" s="764"/>
      <c r="AI12" s="764"/>
      <c r="AJ12" s="764"/>
    </row>
    <row r="13" spans="2:36">
      <c r="B13" s="733" t="s">
        <v>16155</v>
      </c>
      <c r="C13" s="730">
        <f t="shared" ca="1" si="7"/>
        <v>215</v>
      </c>
      <c r="D13" s="730">
        <f t="shared" ca="1" si="7"/>
        <v>226</v>
      </c>
      <c r="E13" s="730">
        <f t="shared" ca="1" si="7"/>
        <v>238</v>
      </c>
      <c r="F13" s="730">
        <f t="shared" ca="1" si="7"/>
        <v>250</v>
      </c>
      <c r="G13" s="730">
        <f t="shared" ca="1" si="7"/>
        <v>263</v>
      </c>
      <c r="H13" s="730"/>
      <c r="J13" s="733" t="s">
        <v>16156</v>
      </c>
      <c r="K13" s="765"/>
      <c r="L13" s="765"/>
      <c r="M13" s="765"/>
      <c r="N13" s="734"/>
      <c r="O13" s="734"/>
      <c r="P13" s="734"/>
      <c r="Q13" s="734"/>
      <c r="R13" s="734"/>
      <c r="T13" s="730" t="s">
        <v>16157</v>
      </c>
      <c r="U13" s="763">
        <f>감가상각추정!E16</f>
        <v>65</v>
      </c>
      <c r="V13" s="763">
        <f>감가상각추정!F16</f>
        <v>515</v>
      </c>
      <c r="W13" s="763">
        <f>감가상각추정!G16</f>
        <v>1589</v>
      </c>
      <c r="X13" s="763">
        <f ca="1">감가상각추정!I16</f>
        <v>3471</v>
      </c>
      <c r="Y13" s="736">
        <f ca="1">INT(X13-Y11*(1-$U$23/100))</f>
        <v>3480</v>
      </c>
      <c r="Z13" s="730">
        <f ca="1">INT(Y13-Z11*(1-$U$23/100))</f>
        <v>3489</v>
      </c>
      <c r="AA13" s="730">
        <f ca="1">INT(Z13-AA11*(1-$U$23/100))</f>
        <v>3498</v>
      </c>
      <c r="AB13" s="730">
        <f ca="1">INT(AA13-AB11*(1-$U$23/100))</f>
        <v>3507</v>
      </c>
      <c r="AC13" s="730">
        <f ca="1">INT(AB13-AC11*(1-$U$23/100))</f>
        <v>3516</v>
      </c>
      <c r="AE13" s="764"/>
      <c r="AF13" s="764"/>
      <c r="AG13" s="764"/>
      <c r="AH13" s="764"/>
      <c r="AI13" s="764"/>
      <c r="AJ13" s="764"/>
    </row>
    <row r="14" spans="2:36">
      <c r="B14" s="733" t="s">
        <v>16158</v>
      </c>
      <c r="C14" s="730">
        <f t="shared" ca="1" si="7"/>
        <v>423</v>
      </c>
      <c r="D14" s="730">
        <f t="shared" ca="1" si="7"/>
        <v>423</v>
      </c>
      <c r="E14" s="730">
        <f t="shared" ca="1" si="7"/>
        <v>424</v>
      </c>
      <c r="F14" s="730">
        <f t="shared" ca="1" si="7"/>
        <v>425</v>
      </c>
      <c r="G14" s="730">
        <f t="shared" ca="1" si="7"/>
        <v>426</v>
      </c>
      <c r="H14" s="730"/>
      <c r="J14" s="733" t="s">
        <v>16159</v>
      </c>
      <c r="K14" s="765">
        <f>비용추정!F34</f>
        <v>1635</v>
      </c>
      <c r="L14" s="765">
        <f>비용추정!G34</f>
        <v>1765</v>
      </c>
      <c r="M14" s="765">
        <f>비용추정!H34</f>
        <v>1790</v>
      </c>
      <c r="N14" s="734">
        <f>INT(N11*N12)</f>
        <v>1870</v>
      </c>
      <c r="O14" s="734">
        <f t="shared" ref="O14:R14" si="8">INT(O11*O12)</f>
        <v>1947</v>
      </c>
      <c r="P14" s="734">
        <f t="shared" si="8"/>
        <v>2028</v>
      </c>
      <c r="Q14" s="734">
        <f t="shared" si="8"/>
        <v>2111</v>
      </c>
      <c r="R14" s="734">
        <f t="shared" si="8"/>
        <v>2197</v>
      </c>
      <c r="T14" s="730" t="s">
        <v>16148</v>
      </c>
      <c r="U14" s="763">
        <f>감가상각추정!E17</f>
        <v>0</v>
      </c>
      <c r="V14" s="763">
        <f>감가상각추정!F17</f>
        <v>471</v>
      </c>
      <c r="W14" s="763">
        <f>감가상각추정!G17</f>
        <v>1101</v>
      </c>
      <c r="X14" s="763">
        <f ca="1">감가상각추정!I17</f>
        <v>1897</v>
      </c>
      <c r="Y14" s="748">
        <f ca="1">Y13-X13+Y11</f>
        <v>454</v>
      </c>
      <c r="Z14" s="748">
        <f ca="1">Z13-Y13+Z11</f>
        <v>455</v>
      </c>
      <c r="AA14" s="748">
        <f ca="1">AA13-Z13+AA11</f>
        <v>456</v>
      </c>
      <c r="AB14" s="748">
        <f ca="1">AB13-AA13+AB11</f>
        <v>457</v>
      </c>
      <c r="AC14" s="748">
        <f ca="1">AC13-AB13+AC11</f>
        <v>458</v>
      </c>
      <c r="AE14" s="764"/>
      <c r="AF14" s="764"/>
      <c r="AG14" s="764"/>
      <c r="AH14" s="764"/>
      <c r="AI14" s="764"/>
      <c r="AJ14" s="764"/>
    </row>
    <row r="15" spans="2:36">
      <c r="B15" s="733" t="s">
        <v>16160</v>
      </c>
      <c r="C15" s="730">
        <f t="shared" si="7"/>
        <v>0</v>
      </c>
      <c r="D15" s="730">
        <f t="shared" si="7"/>
        <v>0</v>
      </c>
      <c r="E15" s="730">
        <f t="shared" si="7"/>
        <v>0</v>
      </c>
      <c r="F15" s="730">
        <f t="shared" si="7"/>
        <v>0</v>
      </c>
      <c r="G15" s="730">
        <f t="shared" si="7"/>
        <v>0</v>
      </c>
      <c r="H15" s="730"/>
      <c r="J15" s="733" t="s">
        <v>16161</v>
      </c>
      <c r="K15" s="765"/>
      <c r="L15" s="765"/>
      <c r="M15" s="765"/>
      <c r="N15" s="734"/>
      <c r="O15" s="734"/>
      <c r="P15" s="734"/>
      <c r="Q15" s="734"/>
      <c r="R15" s="734"/>
      <c r="T15" s="730" t="s">
        <v>16162</v>
      </c>
      <c r="U15" s="763">
        <f>U10+U14</f>
        <v>0</v>
      </c>
      <c r="V15" s="763">
        <f>V10+V14</f>
        <v>9954</v>
      </c>
      <c r="W15" s="763">
        <f>W10+W14</f>
        <v>20127</v>
      </c>
      <c r="X15" s="763">
        <f ca="1">X10+X14</f>
        <v>13172</v>
      </c>
      <c r="Y15" s="730">
        <f t="shared" ref="Y15:AC15" ca="1" si="9">Y14+Y10</f>
        <v>2990</v>
      </c>
      <c r="Z15" s="730">
        <f t="shared" ca="1" si="9"/>
        <v>3123</v>
      </c>
      <c r="AA15" s="730">
        <f t="shared" ca="1" si="9"/>
        <v>3263</v>
      </c>
      <c r="AB15" s="730">
        <f t="shared" ca="1" si="9"/>
        <v>3410</v>
      </c>
      <c r="AC15" s="730">
        <f t="shared" ca="1" si="9"/>
        <v>3566</v>
      </c>
      <c r="AE15" s="764"/>
      <c r="AF15" s="764"/>
      <c r="AG15" s="764"/>
      <c r="AH15" s="764"/>
      <c r="AI15" s="764"/>
      <c r="AJ15" s="764"/>
    </row>
    <row r="16" spans="2:36">
      <c r="B16" s="730" t="s">
        <v>311</v>
      </c>
      <c r="C16" s="730">
        <f t="shared" ref="C16:G16" ca="1" si="10">C7-C8</f>
        <v>-9072</v>
      </c>
      <c r="D16" s="730">
        <f t="shared" ca="1" si="10"/>
        <v>-30444</v>
      </c>
      <c r="E16" s="730">
        <f t="shared" ca="1" si="10"/>
        <v>-36778</v>
      </c>
      <c r="F16" s="730">
        <f t="shared" ca="1" si="10"/>
        <v>-75346</v>
      </c>
      <c r="G16" s="730">
        <f t="shared" ca="1" si="10"/>
        <v>-72848</v>
      </c>
      <c r="H16" s="730"/>
      <c r="J16" s="733" t="s">
        <v>16163</v>
      </c>
      <c r="K16" s="765"/>
      <c r="L16" s="765"/>
      <c r="M16" s="765"/>
      <c r="N16" s="734"/>
      <c r="O16" s="734"/>
      <c r="P16" s="734"/>
      <c r="Q16" s="734"/>
      <c r="R16" s="734"/>
      <c r="AE16" s="764"/>
      <c r="AF16" s="764"/>
      <c r="AG16" s="764"/>
      <c r="AH16" s="764"/>
      <c r="AI16" s="764"/>
      <c r="AJ16" s="764"/>
    </row>
    <row r="17" spans="2:36" ht="12.75" thickBot="1">
      <c r="B17" s="730" t="s">
        <v>314</v>
      </c>
      <c r="C17" s="730">
        <f ca="1">N41</f>
        <v>-4886</v>
      </c>
      <c r="D17" s="730">
        <f ca="1">O41</f>
        <v>-11109</v>
      </c>
      <c r="E17" s="730">
        <f ca="1">P41</f>
        <v>-8757</v>
      </c>
      <c r="F17" s="730">
        <f ca="1">Q41</f>
        <v>-14386</v>
      </c>
      <c r="G17" s="730">
        <f ca="1">R41</f>
        <v>-10073</v>
      </c>
      <c r="H17" s="730"/>
      <c r="J17" s="733" t="s">
        <v>16164</v>
      </c>
      <c r="K17" s="763">
        <f t="shared" ref="K17:M17" si="11">SUM(K13:K16)</f>
        <v>1635</v>
      </c>
      <c r="L17" s="763">
        <f t="shared" si="11"/>
        <v>1765</v>
      </c>
      <c r="M17" s="763">
        <f t="shared" si="11"/>
        <v>1790</v>
      </c>
      <c r="N17" s="734">
        <f t="shared" ref="N17:R17" si="12">SUM(N13:N16)</f>
        <v>1870</v>
      </c>
      <c r="O17" s="734">
        <f t="shared" si="12"/>
        <v>1947</v>
      </c>
      <c r="P17" s="734">
        <f t="shared" si="12"/>
        <v>2028</v>
      </c>
      <c r="Q17" s="734">
        <f t="shared" si="12"/>
        <v>2111</v>
      </c>
      <c r="R17" s="734">
        <f t="shared" si="12"/>
        <v>2197</v>
      </c>
      <c r="T17" s="729" t="s">
        <v>16165</v>
      </c>
      <c r="U17" s="766" t="s">
        <v>16219</v>
      </c>
      <c r="AE17" s="764"/>
      <c r="AF17" s="764"/>
      <c r="AG17" s="764"/>
      <c r="AH17" s="764"/>
      <c r="AI17" s="764"/>
      <c r="AJ17" s="764"/>
    </row>
    <row r="18" spans="2:36" ht="12.75" thickTop="1">
      <c r="B18" s="730" t="s">
        <v>317</v>
      </c>
      <c r="C18" s="730">
        <f ca="1">C16-C17</f>
        <v>-4186</v>
      </c>
      <c r="D18" s="730">
        <f t="shared" ref="D18:G18" ca="1" si="13">D16-D17</f>
        <v>-19335</v>
      </c>
      <c r="E18" s="730">
        <f t="shared" ca="1" si="13"/>
        <v>-28021</v>
      </c>
      <c r="F18" s="730">
        <f t="shared" ca="1" si="13"/>
        <v>-60960</v>
      </c>
      <c r="G18" s="730">
        <f t="shared" ca="1" si="13"/>
        <v>-62775</v>
      </c>
      <c r="H18" s="730" t="s">
        <v>16261</v>
      </c>
      <c r="J18" s="733" t="s">
        <v>16166</v>
      </c>
      <c r="K18" s="765"/>
      <c r="L18" s="765"/>
      <c r="M18" s="765"/>
      <c r="N18" s="734"/>
      <c r="O18" s="734"/>
      <c r="P18" s="734"/>
      <c r="Q18" s="734"/>
      <c r="R18" s="734"/>
      <c r="T18" s="730" t="s">
        <v>16167</v>
      </c>
      <c r="U18" s="736">
        <f>HLOOKUP($U$17,$U$34:$X$40,$Y35,0)</f>
        <v>5.1004998652839673</v>
      </c>
      <c r="AE18" s="764"/>
      <c r="AF18" s="764"/>
      <c r="AG18" s="764"/>
      <c r="AH18" s="764"/>
      <c r="AI18" s="764"/>
      <c r="AJ18" s="764"/>
    </row>
    <row r="19" spans="2:36">
      <c r="B19" s="730" t="s">
        <v>468</v>
      </c>
      <c r="C19" s="730">
        <f ca="1">C20+C21+C22</f>
        <v>-4000</v>
      </c>
      <c r="D19" s="730">
        <f t="shared" ref="D19:H19" ca="1" si="14">D20+D21+D22</f>
        <v>5318</v>
      </c>
      <c r="E19" s="730">
        <f t="shared" ca="1" si="14"/>
        <v>1602</v>
      </c>
      <c r="F19" s="730">
        <f t="shared" ca="1" si="14"/>
        <v>9570</v>
      </c>
      <c r="G19" s="730">
        <f t="shared" ca="1" si="14"/>
        <v>-575</v>
      </c>
      <c r="H19" s="730" t="e">
        <f t="shared" si="14"/>
        <v>#VALUE!</v>
      </c>
      <c r="J19" s="733" t="s">
        <v>16220</v>
      </c>
      <c r="K19" s="765"/>
      <c r="L19" s="765"/>
      <c r="M19" s="765"/>
      <c r="N19" s="734"/>
      <c r="O19" s="734"/>
      <c r="P19" s="734"/>
      <c r="Q19" s="734"/>
      <c r="R19" s="734"/>
      <c r="T19" s="730" t="s">
        <v>16168</v>
      </c>
      <c r="U19" s="736">
        <f>HLOOKUP($U$17,$U$34:$X$40,$Y36,0)</f>
        <v>8.671016903098506</v>
      </c>
      <c r="AE19" s="764"/>
      <c r="AF19" s="764"/>
      <c r="AG19" s="764"/>
      <c r="AH19" s="764"/>
      <c r="AI19" s="764"/>
      <c r="AJ19" s="764"/>
    </row>
    <row r="20" spans="2:36">
      <c r="B20" s="733" t="s">
        <v>323</v>
      </c>
      <c r="C20" s="730">
        <f ca="1">-Y5-Y11</f>
        <v>-2927</v>
      </c>
      <c r="D20" s="730">
        <f ca="1">-Z5-Z11</f>
        <v>-3057</v>
      </c>
      <c r="E20" s="730">
        <f ca="1">-AA5-AA11</f>
        <v>-3194</v>
      </c>
      <c r="F20" s="730">
        <f ca="1">-AB5-AB11</f>
        <v>-3338</v>
      </c>
      <c r="G20" s="730">
        <f ca="1">-AC5-AC11</f>
        <v>-3490</v>
      </c>
      <c r="H20" s="730"/>
      <c r="J20" s="733" t="s">
        <v>16169</v>
      </c>
      <c r="K20" s="765">
        <f>비용추정!F38</f>
        <v>452</v>
      </c>
      <c r="L20" s="765">
        <f>비용추정!G38</f>
        <v>132</v>
      </c>
      <c r="M20" s="765">
        <f>비용추정!H38</f>
        <v>273</v>
      </c>
      <c r="N20" s="734">
        <f>INT(N17*$K$47/100)</f>
        <v>314</v>
      </c>
      <c r="O20" s="734">
        <f>INT(O17*$K$47/100)</f>
        <v>326</v>
      </c>
      <c r="P20" s="734">
        <f>INT(P17*$K$47/100)</f>
        <v>340</v>
      </c>
      <c r="Q20" s="734">
        <f>INT(Q17*$K$47/100)</f>
        <v>354</v>
      </c>
      <c r="R20" s="734">
        <f>INT(R17*$K$47/100)</f>
        <v>368</v>
      </c>
      <c r="T20" s="730" t="s">
        <v>16170</v>
      </c>
      <c r="U20" s="767">
        <f ca="1">$AA$27</f>
        <v>102.2056</v>
      </c>
      <c r="AE20" s="764"/>
      <c r="AF20" s="764"/>
      <c r="AG20" s="764"/>
      <c r="AH20" s="764"/>
      <c r="AI20" s="764"/>
      <c r="AJ20" s="764"/>
    </row>
    <row r="21" spans="2:36">
      <c r="B21" s="733" t="s">
        <v>327</v>
      </c>
      <c r="C21" s="730">
        <f>Y50</f>
        <v>-4063</v>
      </c>
      <c r="D21" s="730">
        <f>Z50</f>
        <v>5252</v>
      </c>
      <c r="E21" s="730">
        <f>AA50</f>
        <v>1533</v>
      </c>
      <c r="F21" s="730">
        <f>AB50</f>
        <v>9498</v>
      </c>
      <c r="G21" s="730">
        <f>AC50</f>
        <v>-651</v>
      </c>
      <c r="H21" s="730" t="s">
        <v>16262</v>
      </c>
      <c r="J21" s="731" t="s">
        <v>16221</v>
      </c>
      <c r="K21" s="762">
        <f t="shared" ref="K21:R21" si="15">K20+K17</f>
        <v>2087</v>
      </c>
      <c r="L21" s="762">
        <f t="shared" si="15"/>
        <v>1897</v>
      </c>
      <c r="M21" s="762">
        <f t="shared" si="15"/>
        <v>2063</v>
      </c>
      <c r="N21" s="732">
        <f t="shared" si="15"/>
        <v>2184</v>
      </c>
      <c r="O21" s="732">
        <f t="shared" si="15"/>
        <v>2273</v>
      </c>
      <c r="P21" s="732">
        <f t="shared" si="15"/>
        <v>2368</v>
      </c>
      <c r="Q21" s="732">
        <f t="shared" si="15"/>
        <v>2465</v>
      </c>
      <c r="R21" s="732">
        <f t="shared" si="15"/>
        <v>2565</v>
      </c>
      <c r="T21" s="730" t="s">
        <v>16171</v>
      </c>
      <c r="U21" s="736">
        <f>HLOOKUP($U$17,$U$34:$X$40,$Y38,0)</f>
        <v>12.831466895022773</v>
      </c>
      <c r="AE21" s="764"/>
      <c r="AF21" s="764"/>
      <c r="AG21" s="764"/>
      <c r="AH21" s="764"/>
      <c r="AI21" s="764"/>
      <c r="AJ21" s="764"/>
    </row>
    <row r="22" spans="2:36">
      <c r="B22" s="733" t="s">
        <v>335</v>
      </c>
      <c r="C22" s="730">
        <f ca="1">Y15</f>
        <v>2990</v>
      </c>
      <c r="D22" s="730">
        <f ca="1">Z15</f>
        <v>3123</v>
      </c>
      <c r="E22" s="730">
        <f ca="1">AA15</f>
        <v>3263</v>
      </c>
      <c r="F22" s="730">
        <f ca="1">AB15</f>
        <v>3410</v>
      </c>
      <c r="G22" s="730">
        <f ca="1">AC15</f>
        <v>3566</v>
      </c>
      <c r="H22" s="730"/>
      <c r="J22" s="731" t="s">
        <v>16222</v>
      </c>
      <c r="K22" s="762">
        <f>비용추정!F47</f>
        <v>189</v>
      </c>
      <c r="L22" s="762">
        <f>비용추정!G47</f>
        <v>486</v>
      </c>
      <c r="M22" s="762">
        <f>비용추정!H47</f>
        <v>456</v>
      </c>
      <c r="N22" s="737">
        <f>INT(N21*$K$48/100)</f>
        <v>413</v>
      </c>
      <c r="O22" s="737">
        <f>INT(O21*$K$48/100)</f>
        <v>430</v>
      </c>
      <c r="P22" s="737">
        <f>INT(P21*$K$48/100)</f>
        <v>448</v>
      </c>
      <c r="Q22" s="737">
        <f>INT(Q21*$K$48/100)</f>
        <v>466</v>
      </c>
      <c r="R22" s="737">
        <f>INT(R21*$K$48/100)</f>
        <v>485</v>
      </c>
      <c r="T22" s="730" t="s">
        <v>16172</v>
      </c>
      <c r="U22" s="736">
        <f>HLOOKUP($U$17,$U$34:$X$40,$Y39,0)</f>
        <v>95.061728395061735</v>
      </c>
      <c r="AE22" s="764"/>
      <c r="AF22" s="764"/>
      <c r="AG22" s="764"/>
      <c r="AH22" s="764"/>
      <c r="AI22" s="764"/>
      <c r="AJ22" s="764"/>
    </row>
    <row r="23" spans="2:36">
      <c r="B23" s="730" t="s">
        <v>341</v>
      </c>
      <c r="C23" s="730">
        <f ca="1">C18-C19</f>
        <v>-186</v>
      </c>
      <c r="D23" s="730">
        <f t="shared" ref="D23:G23" ca="1" si="16">D18-D19</f>
        <v>-24653</v>
      </c>
      <c r="E23" s="730">
        <f t="shared" ca="1" si="16"/>
        <v>-29623</v>
      </c>
      <c r="F23" s="730">
        <f t="shared" ca="1" si="16"/>
        <v>-70530</v>
      </c>
      <c r="G23" s="730">
        <f t="shared" ca="1" si="16"/>
        <v>-62200</v>
      </c>
      <c r="H23" s="730" t="e">
        <f>H18-H19</f>
        <v>#VALUE!</v>
      </c>
      <c r="J23" s="733" t="s">
        <v>16223</v>
      </c>
      <c r="K23" s="765">
        <f>비용추정!F50</f>
        <v>142</v>
      </c>
      <c r="L23" s="765">
        <f>비용추정!G50</f>
        <v>199</v>
      </c>
      <c r="M23" s="765">
        <f>비용추정!H50</f>
        <v>244</v>
      </c>
      <c r="N23" s="734">
        <f>INT(M23*(1+$L$73/100))</f>
        <v>245</v>
      </c>
      <c r="O23" s="734">
        <f>INT(N23*(1+$L$73/100))</f>
        <v>246</v>
      </c>
      <c r="P23" s="734">
        <f>INT(O23*(1+$L$73/100))</f>
        <v>247</v>
      </c>
      <c r="Q23" s="734">
        <f>INT(P23*(1+$L$73/100))</f>
        <v>248</v>
      </c>
      <c r="R23" s="734">
        <f>INT(Q23*(1+$L$73/100))</f>
        <v>249</v>
      </c>
      <c r="T23" s="730" t="s">
        <v>16173</v>
      </c>
      <c r="U23" s="767">
        <f ca="1">$AA$27</f>
        <v>102.2056</v>
      </c>
      <c r="AE23" s="764"/>
      <c r="AF23" s="764"/>
      <c r="AG23" s="764"/>
      <c r="AH23" s="764"/>
      <c r="AI23" s="764"/>
      <c r="AJ23" s="764"/>
    </row>
    <row r="24" spans="2:36">
      <c r="B24" s="733" t="s">
        <v>345</v>
      </c>
      <c r="C24" s="738">
        <f t="shared" ref="C24:H24" ca="1" si="17">$V$119</f>
        <v>0.15880678476280444</v>
      </c>
      <c r="D24" s="738">
        <f t="shared" ca="1" si="17"/>
        <v>0.15880678476280444</v>
      </c>
      <c r="E24" s="738">
        <f t="shared" ca="1" si="17"/>
        <v>0.15880678476280444</v>
      </c>
      <c r="F24" s="738">
        <f t="shared" ca="1" si="17"/>
        <v>0.15880678476280444</v>
      </c>
      <c r="G24" s="738">
        <f t="shared" ca="1" si="17"/>
        <v>0.15880678476280444</v>
      </c>
      <c r="H24" s="738">
        <f t="shared" ca="1" si="17"/>
        <v>0.15880678476280444</v>
      </c>
      <c r="J24" s="733" t="s">
        <v>16224</v>
      </c>
      <c r="K24" s="765">
        <f>비용추정!F51</f>
        <v>9</v>
      </c>
      <c r="L24" s="765">
        <f>비용추정!G51</f>
        <v>4</v>
      </c>
      <c r="M24" s="765">
        <f>비용추정!H51</f>
        <v>3</v>
      </c>
      <c r="N24" s="734">
        <f t="shared" ref="N24:N35" si="18">INT(M24*(1+$L$74/100))</f>
        <v>3</v>
      </c>
      <c r="O24" s="734">
        <f t="shared" ref="N24:R35" si="19">INT(N24*(1+$L$74/100))</f>
        <v>3</v>
      </c>
      <c r="P24" s="734">
        <f t="shared" si="19"/>
        <v>3</v>
      </c>
      <c r="Q24" s="734">
        <f t="shared" si="19"/>
        <v>3</v>
      </c>
      <c r="R24" s="734">
        <f t="shared" si="19"/>
        <v>3</v>
      </c>
      <c r="AE24" s="764"/>
      <c r="AF24" s="764"/>
      <c r="AG24" s="764"/>
      <c r="AH24" s="764"/>
      <c r="AI24" s="764"/>
      <c r="AJ24" s="764"/>
    </row>
    <row r="25" spans="2:36" ht="12.75" thickBot="1">
      <c r="B25" s="733" t="s">
        <v>348</v>
      </c>
      <c r="C25" s="736" t="s">
        <v>264</v>
      </c>
      <c r="D25" s="736" t="s">
        <v>270</v>
      </c>
      <c r="E25" s="736" t="s">
        <v>277</v>
      </c>
      <c r="F25" s="736" t="s">
        <v>284</v>
      </c>
      <c r="G25" s="736" t="s">
        <v>290</v>
      </c>
      <c r="H25" s="736"/>
      <c r="J25" s="733" t="s">
        <v>16225</v>
      </c>
      <c r="K25" s="765">
        <f>비용추정!F52</f>
        <v>9</v>
      </c>
      <c r="L25" s="765">
        <f>비용추정!G52</f>
        <v>9</v>
      </c>
      <c r="M25" s="765">
        <f>비용추정!H52</f>
        <v>45</v>
      </c>
      <c r="N25" s="734">
        <f t="shared" si="18"/>
        <v>45</v>
      </c>
      <c r="O25" s="734">
        <f t="shared" si="19"/>
        <v>45</v>
      </c>
      <c r="P25" s="734">
        <f t="shared" si="19"/>
        <v>45</v>
      </c>
      <c r="Q25" s="734">
        <f t="shared" si="19"/>
        <v>45</v>
      </c>
      <c r="R25" s="734">
        <f t="shared" si="19"/>
        <v>45</v>
      </c>
      <c r="T25" s="729" t="s">
        <v>16227</v>
      </c>
      <c r="U25" s="729" t="str">
        <f>V4</f>
        <v>20211231K</v>
      </c>
      <c r="V25" s="729" t="str">
        <f>W4</f>
        <v>20221231K</v>
      </c>
      <c r="W25" s="729" t="str">
        <f>X4</f>
        <v>20231231K</v>
      </c>
      <c r="AE25" s="764"/>
      <c r="AF25" s="764"/>
      <c r="AG25" s="764"/>
      <c r="AH25" s="764"/>
      <c r="AI25" s="764"/>
      <c r="AJ25" s="764"/>
    </row>
    <row r="26" spans="2:36" ht="12.75" thickTop="1">
      <c r="B26" s="733" t="s">
        <v>247</v>
      </c>
      <c r="C26" s="736" t="e">
        <f ca="1">1/(1+C24)^C25</f>
        <v>#VALUE!</v>
      </c>
      <c r="D26" s="736" t="e">
        <f t="shared" ref="D26:G26" ca="1" si="20">1/(1+D24)^D25</f>
        <v>#VALUE!</v>
      </c>
      <c r="E26" s="736" t="e">
        <f t="shared" ca="1" si="20"/>
        <v>#VALUE!</v>
      </c>
      <c r="F26" s="736" t="e">
        <f t="shared" ca="1" si="20"/>
        <v>#VALUE!</v>
      </c>
      <c r="G26" s="736" t="e">
        <f t="shared" ca="1" si="20"/>
        <v>#VALUE!</v>
      </c>
      <c r="H26" s="736" t="e">
        <f ca="1">G26</f>
        <v>#VALUE!</v>
      </c>
      <c r="J26" s="733" t="s">
        <v>16174</v>
      </c>
      <c r="K26" s="765">
        <f>비용추정!F53</f>
        <v>51</v>
      </c>
      <c r="L26" s="765">
        <f>비용추정!G53</f>
        <v>19</v>
      </c>
      <c r="M26" s="765">
        <f>비용추정!H53</f>
        <v>48</v>
      </c>
      <c r="N26" s="734">
        <f t="shared" si="18"/>
        <v>48</v>
      </c>
      <c r="O26" s="734">
        <f t="shared" si="19"/>
        <v>48</v>
      </c>
      <c r="P26" s="734">
        <f t="shared" si="19"/>
        <v>48</v>
      </c>
      <c r="Q26" s="734">
        <f t="shared" si="19"/>
        <v>48</v>
      </c>
      <c r="R26" s="734">
        <f t="shared" si="19"/>
        <v>48</v>
      </c>
      <c r="T26" s="730" t="s">
        <v>16167</v>
      </c>
      <c r="U26" s="736">
        <f>감가상각추정!F22</f>
        <v>9.1170295060227655</v>
      </c>
      <c r="V26" s="736">
        <f>W5/V9*100</f>
        <v>3.0929504480190002</v>
      </c>
      <c r="W26" s="736">
        <f>X5/W9*100</f>
        <v>3.0915196418101378</v>
      </c>
      <c r="X26" s="768"/>
      <c r="Y26" s="730" t="str">
        <f>감가상각추정!I18</f>
        <v>생산자물가상승률</v>
      </c>
      <c r="Z26" s="730"/>
      <c r="AA26" s="736">
        <f>감가상각추정!J18</f>
        <v>101.66</v>
      </c>
    </row>
    <row r="27" spans="2:36">
      <c r="B27" s="733" t="s">
        <v>16228</v>
      </c>
      <c r="C27" s="736" t="s">
        <v>357</v>
      </c>
      <c r="D27" s="736" t="s">
        <v>358</v>
      </c>
      <c r="E27" s="736" t="s">
        <v>359</v>
      </c>
      <c r="F27" s="736" t="s">
        <v>360</v>
      </c>
      <c r="G27" s="736" t="s">
        <v>361</v>
      </c>
      <c r="H27" s="736"/>
      <c r="J27" s="733" t="s">
        <v>16176</v>
      </c>
      <c r="K27" s="765">
        <f>비용추정!F54</f>
        <v>0</v>
      </c>
      <c r="L27" s="765">
        <f>비용추정!G54</f>
        <v>6</v>
      </c>
      <c r="M27" s="765">
        <f>비용추정!H54</f>
        <v>2</v>
      </c>
      <c r="N27" s="734">
        <f t="shared" si="18"/>
        <v>2</v>
      </c>
      <c r="O27" s="734">
        <f t="shared" si="19"/>
        <v>2</v>
      </c>
      <c r="P27" s="734">
        <f t="shared" si="19"/>
        <v>2</v>
      </c>
      <c r="Q27" s="734">
        <f t="shared" si="19"/>
        <v>2</v>
      </c>
      <c r="R27" s="734">
        <f t="shared" si="19"/>
        <v>2</v>
      </c>
      <c r="T27" s="730" t="s">
        <v>16229</v>
      </c>
      <c r="U27" s="736">
        <f>V6/V5*100</f>
        <v>4.2424242424242431</v>
      </c>
      <c r="V27" s="736">
        <f>W6/W5*100</f>
        <v>10.99476439790576</v>
      </c>
      <c r="W27" s="736">
        <f>X6/X5*100</f>
        <v>10.775862068965516</v>
      </c>
      <c r="X27" s="768"/>
      <c r="Y27" s="730" t="str">
        <f>감가상각추정!I19</f>
        <v>IMF경제성장률평균</v>
      </c>
      <c r="Z27" s="730"/>
      <c r="AA27" s="736">
        <f ca="1">감가상각추정!J19</f>
        <v>102.2056</v>
      </c>
    </row>
    <row r="28" spans="2:36">
      <c r="B28" s="733" t="s">
        <v>367</v>
      </c>
      <c r="C28" s="730" t="e">
        <f ca="1">C23*C26*C27</f>
        <v>#VALUE!</v>
      </c>
      <c r="D28" s="730" t="e">
        <f t="shared" ref="D28:F28" ca="1" si="21">D23*D26*D27</f>
        <v>#VALUE!</v>
      </c>
      <c r="E28" s="730" t="e">
        <f t="shared" ca="1" si="21"/>
        <v>#VALUE!</v>
      </c>
      <c r="F28" s="730" t="e">
        <f t="shared" ca="1" si="21"/>
        <v>#VALUE!</v>
      </c>
      <c r="G28" s="730" t="e">
        <f ca="1">G23*G26*G27</f>
        <v>#VALUE!</v>
      </c>
      <c r="H28" s="736"/>
      <c r="J28" s="733" t="s">
        <v>16230</v>
      </c>
      <c r="K28" s="765">
        <f>비용추정!F55</f>
        <v>42</v>
      </c>
      <c r="L28" s="765">
        <f>비용추정!G55</f>
        <v>12</v>
      </c>
      <c r="M28" s="765">
        <f>비용추정!H55</f>
        <v>59</v>
      </c>
      <c r="N28" s="734">
        <f t="shared" si="18"/>
        <v>60</v>
      </c>
      <c r="O28" s="734">
        <f t="shared" si="19"/>
        <v>61</v>
      </c>
      <c r="P28" s="734">
        <f t="shared" si="19"/>
        <v>62</v>
      </c>
      <c r="Q28" s="734">
        <f t="shared" si="19"/>
        <v>63</v>
      </c>
      <c r="R28" s="734">
        <f t="shared" si="19"/>
        <v>64</v>
      </c>
      <c r="T28" s="730" t="s">
        <v>16231</v>
      </c>
      <c r="U28" s="736">
        <f>V10/V5*100</f>
        <v>1149.4545454545455</v>
      </c>
      <c r="V28" s="736">
        <f>W10/W5*100</f>
        <v>3320.4188481675396</v>
      </c>
      <c r="W28" s="736">
        <f ca="1">X10/X5*100</f>
        <v>971.98275862068965</v>
      </c>
      <c r="X28" s="768"/>
      <c r="Y28" s="730" t="str">
        <f>감가상각추정!I20</f>
        <v>추정성장률평균</v>
      </c>
      <c r="Z28" s="730"/>
      <c r="AA28" s="736">
        <f ca="1">감가상각추정!J20</f>
        <v>216.28950561144188</v>
      </c>
    </row>
    <row r="29" spans="2:36">
      <c r="B29" s="730" t="s">
        <v>16232</v>
      </c>
      <c r="C29" s="730" t="e">
        <f ca="1">SUM(C28:G28)</f>
        <v>#VALUE!</v>
      </c>
      <c r="D29" s="739"/>
      <c r="E29" s="740"/>
      <c r="F29" s="739"/>
      <c r="G29" s="739"/>
      <c r="J29" s="733" t="s">
        <v>16233</v>
      </c>
      <c r="K29" s="765">
        <f>비용추정!F56</f>
        <v>0</v>
      </c>
      <c r="L29" s="765">
        <f>비용추정!G56</f>
        <v>0</v>
      </c>
      <c r="M29" s="765">
        <f>비용추정!H56</f>
        <v>0</v>
      </c>
      <c r="N29" s="734">
        <f t="shared" si="18"/>
        <v>0</v>
      </c>
      <c r="O29" s="734">
        <f t="shared" si="19"/>
        <v>0</v>
      </c>
      <c r="P29" s="734">
        <f t="shared" si="19"/>
        <v>0</v>
      </c>
      <c r="Q29" s="734">
        <f t="shared" si="19"/>
        <v>0</v>
      </c>
      <c r="R29" s="734">
        <f t="shared" si="19"/>
        <v>0</v>
      </c>
      <c r="T29" s="730" t="s">
        <v>16171</v>
      </c>
      <c r="U29" s="736">
        <f>감가상각추정!F25</f>
        <v>32.307692307692307</v>
      </c>
      <c r="V29" s="736">
        <f>W11/V13*100</f>
        <v>5.2427184466019421</v>
      </c>
      <c r="W29" s="736">
        <f>X11/W13*100</f>
        <v>0.94398993077407178</v>
      </c>
      <c r="X29" s="768"/>
    </row>
    <row r="30" spans="2:36">
      <c r="B30" s="730" t="s">
        <v>16234</v>
      </c>
      <c r="C30" s="730" t="e">
        <f ca="1">H23/(H24-1%)*H26</f>
        <v>#VALUE!</v>
      </c>
      <c r="D30" s="739"/>
      <c r="E30" s="739"/>
      <c r="F30" s="739"/>
      <c r="G30" s="739"/>
      <c r="J30" s="733" t="s">
        <v>16235</v>
      </c>
      <c r="K30" s="765">
        <f>비용추정!F57</f>
        <v>22</v>
      </c>
      <c r="L30" s="765">
        <f>비용추정!G57</f>
        <v>32</v>
      </c>
      <c r="M30" s="765">
        <f>비용추정!H57</f>
        <v>75</v>
      </c>
      <c r="N30" s="734">
        <f t="shared" si="19"/>
        <v>76</v>
      </c>
      <c r="O30" s="734">
        <f t="shared" si="19"/>
        <v>77</v>
      </c>
      <c r="P30" s="734">
        <f t="shared" si="19"/>
        <v>78</v>
      </c>
      <c r="Q30" s="734">
        <f t="shared" si="19"/>
        <v>79</v>
      </c>
      <c r="R30" s="734">
        <f t="shared" si="19"/>
        <v>80</v>
      </c>
      <c r="T30" s="730" t="s">
        <v>16172</v>
      </c>
      <c r="U30" s="736">
        <f>V12/V11*100</f>
        <v>100</v>
      </c>
      <c r="V30" s="736">
        <f>W12/W11*100</f>
        <v>85.18518518518519</v>
      </c>
      <c r="W30" s="736">
        <f>X12/X11*100</f>
        <v>100</v>
      </c>
      <c r="X30" s="768"/>
    </row>
    <row r="31" spans="2:36">
      <c r="B31" s="730" t="s">
        <v>16236</v>
      </c>
      <c r="C31" s="730" t="e">
        <f ca="1">C29+C30</f>
        <v>#VALUE!</v>
      </c>
      <c r="D31" s="739"/>
      <c r="E31" s="739"/>
      <c r="F31" s="739"/>
      <c r="J31" s="733" t="s">
        <v>16237</v>
      </c>
      <c r="K31" s="765">
        <f>비용추정!F58</f>
        <v>45</v>
      </c>
      <c r="L31" s="765">
        <f>비용추정!G58</f>
        <v>80</v>
      </c>
      <c r="M31" s="765">
        <f>비용추정!H58</f>
        <v>46</v>
      </c>
      <c r="N31" s="734">
        <f t="shared" si="18"/>
        <v>46</v>
      </c>
      <c r="O31" s="734">
        <f t="shared" si="19"/>
        <v>46</v>
      </c>
      <c r="P31" s="734">
        <f t="shared" si="19"/>
        <v>46</v>
      </c>
      <c r="Q31" s="734">
        <f t="shared" si="19"/>
        <v>46</v>
      </c>
      <c r="R31" s="734">
        <f t="shared" si="19"/>
        <v>46</v>
      </c>
      <c r="T31" s="730" t="s">
        <v>16173</v>
      </c>
      <c r="U31" s="736">
        <f>V14/V11*100</f>
        <v>2242.8571428571427</v>
      </c>
      <c r="V31" s="736">
        <f>W14/W11*100</f>
        <v>4077.7777777777778</v>
      </c>
      <c r="W31" s="736">
        <f ca="1">X14/X11*100</f>
        <v>12646.666666666666</v>
      </c>
      <c r="X31" s="768"/>
    </row>
    <row r="32" spans="2:36">
      <c r="B32" s="730" t="s">
        <v>16182</v>
      </c>
      <c r="C32" s="730" t="str">
        <f>V78</f>
        <v>FCF추정!E37</v>
      </c>
      <c r="D32" s="739"/>
      <c r="E32" s="739"/>
      <c r="F32" s="741"/>
      <c r="G32" s="739"/>
      <c r="J32" s="733" t="s">
        <v>16238</v>
      </c>
      <c r="K32" s="765">
        <f>비용추정!F59</f>
        <v>0</v>
      </c>
      <c r="L32" s="765">
        <f>비용추정!G59</f>
        <v>0</v>
      </c>
      <c r="M32" s="765">
        <f>비용추정!H59</f>
        <v>0</v>
      </c>
      <c r="N32" s="734">
        <f t="shared" si="18"/>
        <v>0</v>
      </c>
      <c r="O32" s="734">
        <f t="shared" si="19"/>
        <v>0</v>
      </c>
      <c r="P32" s="734">
        <f t="shared" si="19"/>
        <v>0</v>
      </c>
      <c r="Q32" s="734">
        <f t="shared" si="19"/>
        <v>0</v>
      </c>
      <c r="R32" s="734">
        <f t="shared" si="19"/>
        <v>0</v>
      </c>
    </row>
    <row r="33" spans="2:32">
      <c r="B33" s="730" t="s">
        <v>387</v>
      </c>
      <c r="C33" s="730" t="e">
        <f ca="1">C31+C32</f>
        <v>#VALUE!</v>
      </c>
      <c r="D33" s="739"/>
      <c r="E33" s="742"/>
      <c r="F33" s="739"/>
      <c r="G33" s="739"/>
      <c r="J33" s="733" t="s">
        <v>16239</v>
      </c>
      <c r="K33" s="765">
        <f>비용추정!F60</f>
        <v>0</v>
      </c>
      <c r="L33" s="765">
        <f>비용추정!G60</f>
        <v>0</v>
      </c>
      <c r="M33" s="765">
        <f>비용추정!H60</f>
        <v>0</v>
      </c>
      <c r="N33" s="734">
        <f t="shared" si="18"/>
        <v>0</v>
      </c>
      <c r="O33" s="734">
        <f t="shared" si="19"/>
        <v>0</v>
      </c>
      <c r="P33" s="734">
        <f t="shared" si="19"/>
        <v>0</v>
      </c>
      <c r="Q33" s="734">
        <f t="shared" si="19"/>
        <v>0</v>
      </c>
      <c r="R33" s="734">
        <f t="shared" si="19"/>
        <v>0</v>
      </c>
    </row>
    <row r="34" spans="2:32" ht="12.75" thickBot="1">
      <c r="B34" s="730" t="s">
        <v>389</v>
      </c>
      <c r="C34" s="730" t="str">
        <f>V89</f>
        <v>FCF추정!E45</v>
      </c>
      <c r="J34" s="733" t="s">
        <v>16240</v>
      </c>
      <c r="K34" s="765">
        <f>비용추정!F61</f>
        <v>0</v>
      </c>
      <c r="L34" s="765">
        <f>비용추정!G61</f>
        <v>0</v>
      </c>
      <c r="M34" s="765">
        <f>비용추정!H61</f>
        <v>0</v>
      </c>
      <c r="N34" s="734">
        <f t="shared" si="18"/>
        <v>0</v>
      </c>
      <c r="O34" s="734">
        <f t="shared" si="19"/>
        <v>0</v>
      </c>
      <c r="P34" s="734">
        <f t="shared" si="19"/>
        <v>0</v>
      </c>
      <c r="Q34" s="734">
        <f t="shared" si="19"/>
        <v>0</v>
      </c>
      <c r="R34" s="734">
        <f t="shared" si="19"/>
        <v>0</v>
      </c>
      <c r="T34" s="729" t="s">
        <v>16242</v>
      </c>
      <c r="U34" s="729" t="s">
        <v>16219</v>
      </c>
      <c r="V34" s="729" t="s">
        <v>16243</v>
      </c>
      <c r="W34" s="729" t="s">
        <v>202</v>
      </c>
      <c r="X34" s="729" t="s">
        <v>16244</v>
      </c>
      <c r="AD34" s="744"/>
      <c r="AE34" s="744"/>
      <c r="AF34" s="744"/>
    </row>
    <row r="35" spans="2:32" ht="12.75" thickTop="1">
      <c r="B35" s="730" t="s">
        <v>391</v>
      </c>
      <c r="C35" s="730" t="s">
        <v>16263</v>
      </c>
      <c r="J35" s="733" t="s">
        <v>16245</v>
      </c>
      <c r="K35" s="765">
        <f>비용추정!F62</f>
        <v>0</v>
      </c>
      <c r="L35" s="765">
        <f>비용추정!G62</f>
        <v>0</v>
      </c>
      <c r="M35" s="765">
        <f>비용추정!H62</f>
        <v>0</v>
      </c>
      <c r="N35" s="734">
        <f t="shared" si="18"/>
        <v>0</v>
      </c>
      <c r="O35" s="734">
        <f t="shared" si="19"/>
        <v>0</v>
      </c>
      <c r="P35" s="734">
        <f t="shared" si="19"/>
        <v>0</v>
      </c>
      <c r="Q35" s="734">
        <f t="shared" si="19"/>
        <v>0</v>
      </c>
      <c r="R35" s="734">
        <f t="shared" si="19"/>
        <v>0</v>
      </c>
      <c r="T35" s="730" t="s">
        <v>16167</v>
      </c>
      <c r="U35" s="736">
        <f t="shared" ref="U35:U40" si="22">AVERAGE(U26:W26)</f>
        <v>5.1004998652839673</v>
      </c>
      <c r="V35" s="736">
        <f t="shared" ref="V35:V40" si="23">AVERAGE(V26:W26)</f>
        <v>3.092235044914569</v>
      </c>
      <c r="W35" s="736">
        <f t="shared" ref="W35:W40" si="24">(U26+V26*2+W26*3)/6</f>
        <v>4.0962482212485298</v>
      </c>
      <c r="X35" s="736">
        <f t="shared" ref="X35:X40" si="25">(2*W26+V26)/3</f>
        <v>3.091996577213092</v>
      </c>
      <c r="Y35" s="768">
        <v>2</v>
      </c>
      <c r="AD35" s="744"/>
      <c r="AE35" s="744"/>
      <c r="AF35" s="744"/>
    </row>
    <row r="36" spans="2:32">
      <c r="B36" s="730" t="s">
        <v>393</v>
      </c>
      <c r="C36" s="730" t="e">
        <f ca="1">C33-C34-C35</f>
        <v>#VALUE!</v>
      </c>
      <c r="J36" s="731" t="s">
        <v>16246</v>
      </c>
      <c r="K36" s="762">
        <f t="shared" ref="K36:M36" si="26">SUM(K23:K35)</f>
        <v>320</v>
      </c>
      <c r="L36" s="762">
        <f t="shared" si="26"/>
        <v>361</v>
      </c>
      <c r="M36" s="762">
        <f t="shared" si="26"/>
        <v>522</v>
      </c>
      <c r="N36" s="732">
        <f>SUM(N23:N35)</f>
        <v>525</v>
      </c>
      <c r="O36" s="732">
        <f t="shared" ref="O36:R36" si="27">SUM(O23:O35)</f>
        <v>528</v>
      </c>
      <c r="P36" s="732">
        <f t="shared" si="27"/>
        <v>531</v>
      </c>
      <c r="Q36" s="732">
        <f t="shared" si="27"/>
        <v>534</v>
      </c>
      <c r="R36" s="732">
        <f t="shared" si="27"/>
        <v>537</v>
      </c>
      <c r="T36" s="730" t="s">
        <v>16229</v>
      </c>
      <c r="U36" s="736">
        <f t="shared" si="22"/>
        <v>8.671016903098506</v>
      </c>
      <c r="V36" s="736">
        <f t="shared" si="23"/>
        <v>10.885313233435639</v>
      </c>
      <c r="W36" s="736">
        <f t="shared" si="24"/>
        <v>9.7599232075220517</v>
      </c>
      <c r="X36" s="736">
        <f t="shared" si="25"/>
        <v>10.848829511945597</v>
      </c>
      <c r="Y36" s="768">
        <v>3</v>
      </c>
      <c r="AD36" s="744"/>
      <c r="AE36" s="744"/>
      <c r="AF36" s="744"/>
    </row>
    <row r="37" spans="2:32">
      <c r="B37" s="730" t="s">
        <v>16247</v>
      </c>
      <c r="C37" s="730" t="s">
        <v>16264</v>
      </c>
      <c r="J37" s="731" t="s">
        <v>16248</v>
      </c>
      <c r="K37" s="762">
        <f t="shared" ref="K37:M37" si="28">V6</f>
        <v>35</v>
      </c>
      <c r="L37" s="762">
        <f t="shared" si="28"/>
        <v>63</v>
      </c>
      <c r="M37" s="762">
        <f t="shared" si="28"/>
        <v>125</v>
      </c>
      <c r="N37" s="732">
        <f ca="1">Y6</f>
        <v>215</v>
      </c>
      <c r="O37" s="732">
        <f ca="1">Z6</f>
        <v>226</v>
      </c>
      <c r="P37" s="732">
        <f ca="1">AA6</f>
        <v>238</v>
      </c>
      <c r="Q37" s="732">
        <f ca="1">AB6</f>
        <v>250</v>
      </c>
      <c r="R37" s="732">
        <f ca="1">AC6</f>
        <v>263</v>
      </c>
      <c r="T37" s="730" t="s">
        <v>16231</v>
      </c>
      <c r="U37" s="736">
        <f t="shared" ca="1" si="22"/>
        <v>1813.9520507475916</v>
      </c>
      <c r="V37" s="736">
        <f t="shared" ca="1" si="23"/>
        <v>2146.2008033941147</v>
      </c>
      <c r="W37" s="736">
        <f t="shared" ca="1" si="24"/>
        <v>1784.3734196086154</v>
      </c>
      <c r="X37" s="736">
        <f t="shared" ca="1" si="25"/>
        <v>1754.7947884696396</v>
      </c>
      <c r="Y37" s="768">
        <v>4</v>
      </c>
      <c r="AD37" s="744"/>
      <c r="AE37" s="744"/>
      <c r="AF37" s="744"/>
    </row>
    <row r="38" spans="2:32">
      <c r="B38" s="731" t="s">
        <v>397</v>
      </c>
      <c r="C38" s="731" t="e">
        <f ca="1">(C36*10^6)/C37</f>
        <v>#VALUE!</v>
      </c>
      <c r="D38" s="727" t="e">
        <f ca="1">C38=[1]FCF추정!E60</f>
        <v>#VALUE!</v>
      </c>
      <c r="J38" s="731" t="s">
        <v>16188</v>
      </c>
      <c r="K38" s="762">
        <f t="shared" ref="K38:M38" si="29">V12</f>
        <v>21</v>
      </c>
      <c r="L38" s="762">
        <f t="shared" si="29"/>
        <v>23</v>
      </c>
      <c r="M38" s="762">
        <f t="shared" si="29"/>
        <v>15</v>
      </c>
      <c r="N38" s="732">
        <f ca="1">Y12</f>
        <v>423</v>
      </c>
      <c r="O38" s="732">
        <f t="shared" ref="O38:R38" ca="1" si="30">Z12</f>
        <v>423</v>
      </c>
      <c r="P38" s="732">
        <f t="shared" ca="1" si="30"/>
        <v>424</v>
      </c>
      <c r="Q38" s="732">
        <f t="shared" ca="1" si="30"/>
        <v>425</v>
      </c>
      <c r="R38" s="732">
        <f t="shared" ca="1" si="30"/>
        <v>426</v>
      </c>
      <c r="T38" s="730" t="s">
        <v>16171</v>
      </c>
      <c r="U38" s="736">
        <f t="shared" si="22"/>
        <v>12.831466895022773</v>
      </c>
      <c r="V38" s="736">
        <f t="shared" si="23"/>
        <v>3.0933541886880072</v>
      </c>
      <c r="W38" s="736">
        <f t="shared" si="24"/>
        <v>7.6041831655364005</v>
      </c>
      <c r="X38" s="736">
        <f t="shared" si="25"/>
        <v>2.3768994360500284</v>
      </c>
      <c r="Y38" s="768">
        <v>5</v>
      </c>
      <c r="AD38" s="744"/>
      <c r="AE38" s="744"/>
      <c r="AF38" s="744"/>
    </row>
    <row r="39" spans="2:32">
      <c r="J39" s="731" t="s">
        <v>16190</v>
      </c>
      <c r="K39" s="762">
        <f>비용추정!F66</f>
        <v>0</v>
      </c>
      <c r="L39" s="762">
        <f>비용추정!G66</f>
        <v>0</v>
      </c>
      <c r="M39" s="762">
        <f>비용추정!H66</f>
        <v>0</v>
      </c>
      <c r="N39" s="732">
        <f>INT(N5*$K$49/100)</f>
        <v>0</v>
      </c>
      <c r="O39" s="732">
        <f>INT(O5*$K$49/100)</f>
        <v>0</v>
      </c>
      <c r="P39" s="732">
        <f>INT(P5*$K$49/100)</f>
        <v>0</v>
      </c>
      <c r="Q39" s="732">
        <f>INT(Q5*$K$49/100)</f>
        <v>0</v>
      </c>
      <c r="R39" s="732">
        <f>INT(R5*$K$49/100)</f>
        <v>0</v>
      </c>
      <c r="T39" s="730" t="s">
        <v>16172</v>
      </c>
      <c r="U39" s="736">
        <f t="shared" si="22"/>
        <v>95.061728395061735</v>
      </c>
      <c r="V39" s="736">
        <f t="shared" si="23"/>
        <v>92.592592592592595</v>
      </c>
      <c r="W39" s="736">
        <f t="shared" si="24"/>
        <v>95.061728395061735</v>
      </c>
      <c r="X39" s="736">
        <f t="shared" si="25"/>
        <v>95.061728395061735</v>
      </c>
      <c r="Y39" s="768">
        <v>6</v>
      </c>
    </row>
    <row r="40" spans="2:32">
      <c r="J40" s="731" t="s">
        <v>16191</v>
      </c>
      <c r="K40" s="762">
        <f t="shared" ref="K40:M40" si="31">K7-K8</f>
        <v>294</v>
      </c>
      <c r="L40" s="762">
        <f t="shared" si="31"/>
        <v>-3553</v>
      </c>
      <c r="M40" s="762">
        <f t="shared" si="31"/>
        <v>-8324</v>
      </c>
      <c r="N40" s="732">
        <f ca="1">N7-N8</f>
        <v>-9072</v>
      </c>
      <c r="O40" s="732">
        <f ca="1">O7-O8</f>
        <v>-30444</v>
      </c>
      <c r="P40" s="732">
        <f ca="1">P7-P8</f>
        <v>-36778</v>
      </c>
      <c r="Q40" s="732">
        <f ca="1">Q7-Q8</f>
        <v>-75346</v>
      </c>
      <c r="R40" s="732">
        <f ca="1">R7-R8</f>
        <v>-72848</v>
      </c>
      <c r="T40" s="730" t="s">
        <v>16173</v>
      </c>
      <c r="U40" s="736">
        <f t="shared" ca="1" si="22"/>
        <v>6322.4338624338625</v>
      </c>
      <c r="V40" s="736">
        <f t="shared" ca="1" si="23"/>
        <v>8362.2222222222226</v>
      </c>
      <c r="W40" s="736">
        <f t="shared" ca="1" si="24"/>
        <v>8056.4021164021169</v>
      </c>
      <c r="X40" s="736">
        <f t="shared" ca="1" si="25"/>
        <v>9790.3703703703704</v>
      </c>
      <c r="Y40" s="768">
        <v>7</v>
      </c>
    </row>
    <row r="41" spans="2:32">
      <c r="J41" s="746" t="s">
        <v>16192</v>
      </c>
      <c r="K41" s="765"/>
      <c r="L41" s="765"/>
      <c r="M41" s="765"/>
      <c r="N41" s="734">
        <f ca="1">IS추정!J34</f>
        <v>-4886</v>
      </c>
      <c r="O41" s="734">
        <f ca="1">IS추정!K34</f>
        <v>-11109</v>
      </c>
      <c r="P41" s="734">
        <f ca="1">IS추정!L34</f>
        <v>-8757</v>
      </c>
      <c r="Q41" s="734">
        <f ca="1">IS추정!M34</f>
        <v>-14386</v>
      </c>
      <c r="R41" s="734">
        <f ca="1">IS추정!N34</f>
        <v>-10073</v>
      </c>
    </row>
    <row r="42" spans="2:32">
      <c r="J42" s="731" t="s">
        <v>16193</v>
      </c>
      <c r="K42" s="769"/>
      <c r="L42" s="769"/>
      <c r="M42" s="769"/>
      <c r="N42" s="747">
        <f ca="1">N40-N41</f>
        <v>-4186</v>
      </c>
      <c r="O42" s="747">
        <f t="shared" ref="O42:R42" ca="1" si="32">O40-O41</f>
        <v>-19335</v>
      </c>
      <c r="P42" s="747">
        <f t="shared" ca="1" si="32"/>
        <v>-28021</v>
      </c>
      <c r="Q42" s="747">
        <f t="shared" ca="1" si="32"/>
        <v>-60960</v>
      </c>
      <c r="R42" s="747">
        <f t="shared" ca="1" si="32"/>
        <v>-62775</v>
      </c>
      <c r="AC42" s="727" t="str">
        <f>H3</f>
        <v>단위: 백만원</v>
      </c>
    </row>
    <row r="43" spans="2:32" ht="12.75" thickBot="1">
      <c r="T43" s="729" t="s">
        <v>16175</v>
      </c>
      <c r="U43" s="729" t="str">
        <f>U4</f>
        <v>20201231K</v>
      </c>
      <c r="V43" s="729" t="str">
        <f t="shared" ref="V43:AC43" si="33">K4</f>
        <v>20211231K</v>
      </c>
      <c r="W43" s="729" t="str">
        <f t="shared" si="33"/>
        <v>20221231K</v>
      </c>
      <c r="X43" s="729" t="str">
        <f t="shared" si="33"/>
        <v>20231231K</v>
      </c>
      <c r="Y43" s="729" t="str">
        <f t="shared" si="33"/>
        <v>2024</v>
      </c>
      <c r="Z43" s="728" t="str">
        <f t="shared" si="33"/>
        <v>2025</v>
      </c>
      <c r="AA43" s="728" t="str">
        <f t="shared" si="33"/>
        <v>2026</v>
      </c>
      <c r="AB43" s="728" t="str">
        <f t="shared" si="33"/>
        <v>2027</v>
      </c>
      <c r="AC43" s="728" t="str">
        <f t="shared" si="33"/>
        <v>2028</v>
      </c>
    </row>
    <row r="44" spans="2:32" ht="13.5" thickTop="1" thickBot="1">
      <c r="J44" s="729" t="s">
        <v>16165</v>
      </c>
      <c r="K44" s="766" t="s">
        <v>16219</v>
      </c>
      <c r="T44" s="730" t="s">
        <v>16177</v>
      </c>
      <c r="U44" s="730">
        <f>NWC추정!E13</f>
        <v>2445</v>
      </c>
      <c r="V44" s="730">
        <f>NWC추정!F13</f>
        <v>4483</v>
      </c>
      <c r="W44" s="730">
        <f>NWC추정!G13</f>
        <v>707</v>
      </c>
      <c r="X44" s="730">
        <f>NWC추정!H13</f>
        <v>863</v>
      </c>
      <c r="Y44" s="730">
        <f>IFERROR(INT(AF5/$U$53),0)</f>
        <v>0</v>
      </c>
      <c r="Z44" s="730">
        <f>IFERROR(INT(AG5/$U$53),0)</f>
        <v>0</v>
      </c>
      <c r="AA44" s="730">
        <f>IFERROR(INT(AH5/$U$53),0)</f>
        <v>0</v>
      </c>
      <c r="AB44" s="730">
        <f>IFERROR(INT(AI5/$U$53),0)</f>
        <v>0</v>
      </c>
      <c r="AC44" s="730">
        <f>IFERROR(INT(AJ5/$U$53),0)</f>
        <v>0</v>
      </c>
    </row>
    <row r="45" spans="2:32" ht="12.75" thickTop="1">
      <c r="J45" s="730" t="s">
        <v>16194</v>
      </c>
      <c r="K45" s="749">
        <f>HLOOKUP($K$44,$K$58:$N$63,$O59,0)</f>
        <v>106.20741497579957</v>
      </c>
      <c r="L45" s="770"/>
      <c r="T45" s="730" t="s">
        <v>16178</v>
      </c>
      <c r="U45" s="730">
        <f>NWC추정!E15</f>
        <v>2528</v>
      </c>
      <c r="V45" s="730">
        <f>NWC추정!F15</f>
        <v>4381</v>
      </c>
      <c r="W45" s="730">
        <f>NWC추정!G15</f>
        <v>5847</v>
      </c>
      <c r="X45" s="730">
        <f>NWC추정!H15</f>
        <v>4990</v>
      </c>
      <c r="Y45" s="730">
        <f>IFERROR(INT(N6/$U$54),0)</f>
        <v>2056</v>
      </c>
      <c r="Z45" s="730">
        <f t="shared" ref="Z45:AC45" si="34">IFERROR(INT(O6/$U$54),0)</f>
        <v>10286</v>
      </c>
      <c r="AA45" s="730">
        <f t="shared" si="34"/>
        <v>12688</v>
      </c>
      <c r="AB45" s="730">
        <f t="shared" si="34"/>
        <v>27572</v>
      </c>
      <c r="AC45" s="730">
        <f t="shared" si="34"/>
        <v>26552</v>
      </c>
    </row>
    <row r="46" spans="2:32">
      <c r="J46" s="730" t="s">
        <v>16195</v>
      </c>
      <c r="K46" s="749">
        <f t="shared" ref="K46:K49" si="35">HLOOKUP($K$44,$K$58:$N$63,$O60,0)</f>
        <v>24.555325498434666</v>
      </c>
      <c r="L46" s="770"/>
      <c r="T46" s="730" t="s">
        <v>16179</v>
      </c>
      <c r="U46" s="730">
        <f>U44+U45</f>
        <v>4973</v>
      </c>
      <c r="V46" s="730">
        <f>V44+V45</f>
        <v>8864</v>
      </c>
      <c r="W46" s="730">
        <f>W44+W45</f>
        <v>6554</v>
      </c>
      <c r="X46" s="730">
        <f>X44+X45</f>
        <v>5853</v>
      </c>
      <c r="Y46" s="730">
        <f t="shared" ref="Y46:AC46" si="36">SUM(Y44:Y45)</f>
        <v>2056</v>
      </c>
      <c r="Z46" s="730">
        <f t="shared" si="36"/>
        <v>10286</v>
      </c>
      <c r="AA46" s="730">
        <f t="shared" si="36"/>
        <v>12688</v>
      </c>
      <c r="AB46" s="730">
        <f t="shared" si="36"/>
        <v>27572</v>
      </c>
      <c r="AC46" s="730">
        <f t="shared" si="36"/>
        <v>26552</v>
      </c>
    </row>
    <row r="47" spans="2:32">
      <c r="J47" s="730" t="s">
        <v>16196</v>
      </c>
      <c r="K47" s="767">
        <f t="shared" si="35"/>
        <v>16.791803375986365</v>
      </c>
      <c r="L47" s="770"/>
      <c r="T47" s="730" t="s">
        <v>16180</v>
      </c>
      <c r="U47" s="730">
        <f>NWC추정!E18</f>
        <v>1740</v>
      </c>
      <c r="V47" s="730">
        <f>NWC추정!F18</f>
        <v>4126</v>
      </c>
      <c r="W47" s="730">
        <f>NWC추정!G18</f>
        <v>756</v>
      </c>
      <c r="X47" s="730">
        <f>NWC추정!H18</f>
        <v>478</v>
      </c>
      <c r="Y47" s="730">
        <f>IFERROR(INT(N6/$U$55),0)</f>
        <v>744</v>
      </c>
      <c r="Z47" s="730">
        <f>IFERROR(INT(O6/$U$55),0)</f>
        <v>3722</v>
      </c>
      <c r="AA47" s="730">
        <f>IFERROR(INT(P6/$U$55),0)</f>
        <v>4591</v>
      </c>
      <c r="AB47" s="730">
        <f>IFERROR(INT(Q6/$U$55),0)</f>
        <v>9977</v>
      </c>
      <c r="AC47" s="730">
        <f>IFERROR(INT(R6/$U$55),0)</f>
        <v>9608</v>
      </c>
    </row>
    <row r="48" spans="2:32">
      <c r="J48" s="730" t="s">
        <v>16197</v>
      </c>
      <c r="K48" s="749">
        <f t="shared" si="35"/>
        <v>18.926397603897044</v>
      </c>
      <c r="L48" s="770"/>
      <c r="T48" s="730" t="s">
        <v>16181</v>
      </c>
      <c r="U48" s="730">
        <f>U47</f>
        <v>1740</v>
      </c>
      <c r="V48" s="730">
        <f>V47</f>
        <v>4126</v>
      </c>
      <c r="W48" s="730">
        <f>W47</f>
        <v>756</v>
      </c>
      <c r="X48" s="730">
        <f>X47</f>
        <v>478</v>
      </c>
      <c r="Y48" s="730">
        <f t="shared" ref="Y48:AC48" si="37">Y47</f>
        <v>744</v>
      </c>
      <c r="Z48" s="730">
        <f t="shared" si="37"/>
        <v>3722</v>
      </c>
      <c r="AA48" s="730">
        <f t="shared" si="37"/>
        <v>4591</v>
      </c>
      <c r="AB48" s="730">
        <f t="shared" si="37"/>
        <v>9977</v>
      </c>
      <c r="AC48" s="730">
        <f t="shared" si="37"/>
        <v>9608</v>
      </c>
    </row>
    <row r="49" spans="10:29">
      <c r="J49" s="730" t="s">
        <v>16198</v>
      </c>
      <c r="K49" s="749">
        <f t="shared" si="35"/>
        <v>0</v>
      </c>
      <c r="L49" s="770"/>
      <c r="T49" s="730" t="s">
        <v>16183</v>
      </c>
      <c r="U49" s="730">
        <f t="shared" ref="U49:AC49" si="38">U46-U48</f>
        <v>3233</v>
      </c>
      <c r="V49" s="730">
        <f t="shared" si="38"/>
        <v>4738</v>
      </c>
      <c r="W49" s="730">
        <f t="shared" si="38"/>
        <v>5798</v>
      </c>
      <c r="X49" s="730">
        <f t="shared" si="38"/>
        <v>5375</v>
      </c>
      <c r="Y49" s="730">
        <f t="shared" si="38"/>
        <v>1312</v>
      </c>
      <c r="Z49" s="730">
        <f t="shared" si="38"/>
        <v>6564</v>
      </c>
      <c r="AA49" s="730">
        <f t="shared" si="38"/>
        <v>8097</v>
      </c>
      <c r="AB49" s="730">
        <f t="shared" si="38"/>
        <v>17595</v>
      </c>
      <c r="AC49" s="730">
        <f t="shared" si="38"/>
        <v>16944</v>
      </c>
    </row>
    <row r="50" spans="10:29">
      <c r="T50" s="730" t="s">
        <v>16184</v>
      </c>
      <c r="U50" s="730"/>
      <c r="V50" s="730">
        <f t="shared" ref="V50:AC50" si="39">V49-U49</f>
        <v>1505</v>
      </c>
      <c r="W50" s="730">
        <f t="shared" si="39"/>
        <v>1060</v>
      </c>
      <c r="X50" s="730">
        <f t="shared" si="39"/>
        <v>-423</v>
      </c>
      <c r="Y50" s="730">
        <f t="shared" si="39"/>
        <v>-4063</v>
      </c>
      <c r="Z50" s="730">
        <f t="shared" si="39"/>
        <v>5252</v>
      </c>
      <c r="AA50" s="730">
        <f t="shared" si="39"/>
        <v>1533</v>
      </c>
      <c r="AB50" s="730">
        <f t="shared" si="39"/>
        <v>9498</v>
      </c>
      <c r="AC50" s="730">
        <f t="shared" si="39"/>
        <v>-651</v>
      </c>
    </row>
    <row r="51" spans="10:29" ht="12.75" thickBot="1">
      <c r="J51" s="729" t="s">
        <v>16226</v>
      </c>
      <c r="K51" s="729" t="str">
        <f>K4</f>
        <v>20211231K</v>
      </c>
      <c r="L51" s="729" t="str">
        <f>L4</f>
        <v>20221231K</v>
      </c>
      <c r="M51" s="729" t="str">
        <f>M4</f>
        <v>20231231K</v>
      </c>
      <c r="T51" s="743"/>
      <c r="U51" s="743"/>
      <c r="V51" s="743"/>
      <c r="W51" s="743"/>
      <c r="X51" s="743"/>
      <c r="Y51" s="743"/>
      <c r="Z51" s="743"/>
      <c r="AA51" s="743"/>
      <c r="AB51" s="744"/>
      <c r="AC51" s="744"/>
    </row>
    <row r="52" spans="10:29" ht="13.5" thickTop="1" thickBot="1">
      <c r="J52" s="730" t="s">
        <v>16194</v>
      </c>
      <c r="K52" s="736">
        <f>(K6/K5)*100</f>
        <v>78.961568109239067</v>
      </c>
      <c r="L52" s="736">
        <f>(L6/L5)*100</f>
        <v>94.456289978678043</v>
      </c>
      <c r="M52" s="736">
        <f>(M6/M5)*100</f>
        <v>145.20438683948157</v>
      </c>
      <c r="T52" s="729" t="s">
        <v>16185</v>
      </c>
      <c r="U52" s="766" t="s">
        <v>16219</v>
      </c>
      <c r="W52" s="745"/>
      <c r="X52" s="745"/>
      <c r="Z52" s="745"/>
      <c r="AA52" s="745"/>
      <c r="AB52" s="745"/>
      <c r="AC52" s="744"/>
    </row>
    <row r="53" spans="10:29" ht="12.75" thickTop="1">
      <c r="J53" s="730" t="s">
        <v>16195</v>
      </c>
      <c r="K53" s="736">
        <f>K9/K5*100</f>
        <v>4.8287633520537385</v>
      </c>
      <c r="L53" s="736">
        <f>L9/L5*100</f>
        <v>11.489257011645071</v>
      </c>
      <c r="M53" s="736">
        <f>M9/M5*100</f>
        <v>57.34795613160518</v>
      </c>
      <c r="T53" s="730" t="s">
        <v>16186</v>
      </c>
      <c r="U53" s="736">
        <f>HLOOKUP($U$52,$U$62:$X$65,$Y63,0)</f>
        <v>5.4435477447479395</v>
      </c>
      <c r="W53" s="745"/>
      <c r="X53" s="745"/>
      <c r="Z53" s="745"/>
      <c r="AA53" s="745"/>
      <c r="AC53" s="744"/>
    </row>
    <row r="54" spans="10:29">
      <c r="J54" s="730" t="s">
        <v>16196</v>
      </c>
      <c r="K54" s="736">
        <f>K20/K17*100</f>
        <v>27.645259938837917</v>
      </c>
      <c r="L54" s="736">
        <f>L20/L17*100</f>
        <v>7.4787535410764869</v>
      </c>
      <c r="M54" s="736">
        <f>M20/M17*100</f>
        <v>15.251396648044693</v>
      </c>
      <c r="T54" s="730" t="s">
        <v>16187</v>
      </c>
      <c r="U54" s="736">
        <f>HLOOKUP($U$52,$U$62:$X$65,$Y64,0)</f>
        <v>2.5825199417761548</v>
      </c>
      <c r="W54" s="745"/>
      <c r="X54" s="745"/>
      <c r="Z54" s="745"/>
      <c r="AA54" s="745"/>
      <c r="AC54" s="744"/>
    </row>
    <row r="55" spans="10:29">
      <c r="J55" s="730" t="s">
        <v>16197</v>
      </c>
      <c r="K55" s="736">
        <f>K22/K21*100</f>
        <v>9.0560613320555809</v>
      </c>
      <c r="L55" s="736">
        <f>L22/L21*100</f>
        <v>25.619399051133367</v>
      </c>
      <c r="M55" s="736">
        <f>M22/M21*100</f>
        <v>22.10373242850218</v>
      </c>
      <c r="T55" s="730" t="s">
        <v>16189</v>
      </c>
      <c r="U55" s="736">
        <f>HLOOKUP($U$52,$U$62:$X$65,$Y65,0)</f>
        <v>7.1367866377573632</v>
      </c>
      <c r="W55" s="745"/>
      <c r="X55" s="745"/>
      <c r="Z55" s="745"/>
      <c r="AA55" s="745"/>
      <c r="AC55" s="744"/>
    </row>
    <row r="56" spans="10:29">
      <c r="J56" s="730" t="s">
        <v>16198</v>
      </c>
      <c r="K56" s="736">
        <f>K39/K5*100</f>
        <v>0</v>
      </c>
      <c r="L56" s="736">
        <f>L39/L5*100</f>
        <v>0</v>
      </c>
      <c r="M56" s="736">
        <f>M39/M5*100</f>
        <v>0</v>
      </c>
    </row>
    <row r="57" spans="10:29" ht="12.75" thickBot="1">
      <c r="T57" s="729" t="s">
        <v>16226</v>
      </c>
      <c r="U57" s="729" t="str">
        <f>V4</f>
        <v>20211231K</v>
      </c>
      <c r="V57" s="729" t="str">
        <f>W4</f>
        <v>20221231K</v>
      </c>
      <c r="W57" s="729" t="str">
        <f>X4</f>
        <v>20231231K</v>
      </c>
    </row>
    <row r="58" spans="10:29" ht="13.5" thickTop="1" thickBot="1">
      <c r="J58" s="729" t="s">
        <v>16241</v>
      </c>
      <c r="K58" s="729" t="s">
        <v>16219</v>
      </c>
      <c r="L58" s="729" t="s">
        <v>16243</v>
      </c>
      <c r="M58" s="729" t="s">
        <v>202</v>
      </c>
      <c r="N58" s="729" t="s">
        <v>16244</v>
      </c>
      <c r="T58" s="730" t="s">
        <v>16186</v>
      </c>
      <c r="U58" s="736">
        <f t="shared" ref="U58:W59" si="40">IF(V44=0,0,K5/AVERAGE(U44:V44))</f>
        <v>5.2430715935334877</v>
      </c>
      <c r="V58" s="736">
        <f t="shared" si="40"/>
        <v>4.6990366088631985</v>
      </c>
      <c r="W58" s="736">
        <f t="shared" si="40"/>
        <v>6.3885350318471339</v>
      </c>
    </row>
    <row r="59" spans="10:29" ht="12.75" thickTop="1">
      <c r="J59" s="730" t="s">
        <v>16194</v>
      </c>
      <c r="K59" s="736">
        <f>AVERAGE(K52:M52)</f>
        <v>106.20741497579957</v>
      </c>
      <c r="L59" s="736">
        <f>AVERAGE(L52:M52)</f>
        <v>119.83033840907981</v>
      </c>
      <c r="M59" s="736">
        <f>(K52+L52*2+M52*3)/6</f>
        <v>117.24788476417331</v>
      </c>
      <c r="N59" s="736">
        <f>(2*M52+L52)/3</f>
        <v>128.28835455254708</v>
      </c>
      <c r="O59" s="768">
        <v>2</v>
      </c>
      <c r="T59" s="730" t="s">
        <v>16187</v>
      </c>
      <c r="U59" s="736">
        <f t="shared" si="40"/>
        <v>4.1513967289043281</v>
      </c>
      <c r="V59" s="736">
        <f t="shared" si="40"/>
        <v>2.2522487289792728</v>
      </c>
      <c r="W59" s="736">
        <f t="shared" si="40"/>
        <v>1.3439143674448648</v>
      </c>
    </row>
    <row r="60" spans="10:29">
      <c r="J60" s="730" t="s">
        <v>16195</v>
      </c>
      <c r="K60" s="736">
        <f t="shared" ref="K60:K63" si="41">AVERAGE(K53:M53)</f>
        <v>24.555325498434666</v>
      </c>
      <c r="L60" s="736">
        <f t="shared" ref="L60:L63" si="42">AVERAGE(L53:M53)</f>
        <v>34.418606571625126</v>
      </c>
      <c r="M60" s="736">
        <f>(K53+L53*2+M53*3)/6</f>
        <v>33.308524295026572</v>
      </c>
      <c r="N60" s="736">
        <f t="shared" ref="N60:N63" si="43">(2*M53+L53)/3</f>
        <v>42.061723091618475</v>
      </c>
      <c r="O60" s="768">
        <v>3</v>
      </c>
      <c r="T60" s="730" t="s">
        <v>16189</v>
      </c>
      <c r="U60" s="736">
        <f>IF(V47=0,0,K6/AVERAGE(U47:V47))</f>
        <v>4.889532901466076</v>
      </c>
      <c r="V60" s="736">
        <f>IF(W47=0,0,L6/AVERAGE(V47:W47))</f>
        <v>4.7185579680458831</v>
      </c>
      <c r="W60" s="736">
        <f>IF(X47=0,0,M6/AVERAGE(W47:X47))</f>
        <v>11.802269043760131</v>
      </c>
    </row>
    <row r="61" spans="10:29">
      <c r="J61" s="730" t="s">
        <v>16196</v>
      </c>
      <c r="K61" s="736">
        <f t="shared" si="41"/>
        <v>16.791803375986365</v>
      </c>
      <c r="L61" s="736">
        <f t="shared" si="42"/>
        <v>11.36507509456059</v>
      </c>
      <c r="M61" s="736">
        <f>(K54+L54*2+M54*3)/6</f>
        <v>14.726159494187494</v>
      </c>
      <c r="N61" s="736">
        <f t="shared" si="43"/>
        <v>12.660515612388624</v>
      </c>
      <c r="O61" s="768">
        <v>4</v>
      </c>
    </row>
    <row r="62" spans="10:29" ht="12.75" thickBot="1">
      <c r="J62" s="730" t="s">
        <v>16197</v>
      </c>
      <c r="K62" s="736">
        <f t="shared" si="41"/>
        <v>18.926397603897044</v>
      </c>
      <c r="L62" s="736">
        <f t="shared" si="42"/>
        <v>23.861565739817774</v>
      </c>
      <c r="M62" s="736">
        <f>(K55+L55*2+M55*3)/6</f>
        <v>21.101009453304808</v>
      </c>
      <c r="N62" s="736">
        <f t="shared" si="43"/>
        <v>23.275621302712576</v>
      </c>
      <c r="O62" s="768">
        <v>5</v>
      </c>
      <c r="T62" s="729" t="s">
        <v>16241</v>
      </c>
      <c r="U62" s="729" t="s">
        <v>16219</v>
      </c>
      <c r="V62" s="729" t="s">
        <v>16243</v>
      </c>
      <c r="W62" s="729" t="s">
        <v>202</v>
      </c>
      <c r="X62" s="729" t="s">
        <v>16244</v>
      </c>
    </row>
    <row r="63" spans="10:29" ht="12.75" thickTop="1">
      <c r="J63" s="730" t="s">
        <v>16198</v>
      </c>
      <c r="K63" s="736">
        <f t="shared" si="41"/>
        <v>0</v>
      </c>
      <c r="L63" s="736">
        <f t="shared" si="42"/>
        <v>0</v>
      </c>
      <c r="M63" s="736">
        <f>(K56+L56*2+M56*3)/6</f>
        <v>0</v>
      </c>
      <c r="N63" s="736">
        <f t="shared" si="43"/>
        <v>0</v>
      </c>
      <c r="O63" s="768">
        <v>6</v>
      </c>
      <c r="T63" s="730" t="s">
        <v>16249</v>
      </c>
      <c r="U63" s="736">
        <f>AVERAGE(U58:W58)</f>
        <v>5.4435477447479395</v>
      </c>
      <c r="V63" s="736">
        <f>AVERAGE(V58:W58)</f>
        <v>5.5437858203551666</v>
      </c>
      <c r="W63" s="736">
        <f>(U58+V58*2+W58*3)/6</f>
        <v>5.6344583178002141</v>
      </c>
      <c r="X63" s="736">
        <f>(2*W58+V58)/3</f>
        <v>5.8253688908524888</v>
      </c>
      <c r="Y63" s="768">
        <v>2</v>
      </c>
    </row>
    <row r="64" spans="10:29">
      <c r="T64" s="730" t="s">
        <v>16250</v>
      </c>
      <c r="U64" s="736">
        <f>AVERAGE(U59:W59)</f>
        <v>2.5825199417761548</v>
      </c>
      <c r="V64" s="736">
        <f>AVERAGE(V59:W59)</f>
        <v>1.7980815482120689</v>
      </c>
      <c r="W64" s="736">
        <f>(U59+V59*2+W59*3)/6</f>
        <v>2.1146062148662446</v>
      </c>
      <c r="X64" s="736">
        <f>(2*W59+V59)/3</f>
        <v>1.6466924879563341</v>
      </c>
      <c r="Y64" s="768">
        <v>3</v>
      </c>
    </row>
    <row r="65" spans="10:25">
      <c r="T65" s="730" t="s">
        <v>16251</v>
      </c>
      <c r="U65" s="736">
        <f>AVERAGE(U60:W60)</f>
        <v>7.1367866377573632</v>
      </c>
      <c r="V65" s="736">
        <f>AVERAGE(V60:W60)</f>
        <v>8.2604135059030064</v>
      </c>
      <c r="W65" s="736">
        <f>(U60+V60*2+W60*3)/6</f>
        <v>8.2889093281397042</v>
      </c>
      <c r="X65" s="736">
        <f>(2*W60+V60)/3</f>
        <v>9.4410320185220478</v>
      </c>
      <c r="Y65" s="768">
        <v>4</v>
      </c>
    </row>
    <row r="66" spans="10:25" ht="12.75" thickBot="1">
      <c r="N66" s="729" t="s">
        <v>16199</v>
      </c>
      <c r="O66" s="750">
        <f>비용추정!R32</f>
        <v>1</v>
      </c>
    </row>
    <row r="67" spans="10:25" ht="13.5" thickTop="1" thickBot="1">
      <c r="N67" s="729" t="s">
        <v>16200</v>
      </c>
      <c r="O67" s="751">
        <f ca="1">성장률추정!L8</f>
        <v>2.2056</v>
      </c>
    </row>
    <row r="68" spans="10:25" ht="13.5" thickTop="1" thickBot="1">
      <c r="J68" s="729" t="str">
        <f>비용추정!U31</f>
        <v>인원수</v>
      </c>
      <c r="K68" s="729" t="str">
        <f>비용추정!V31</f>
        <v>2024</v>
      </c>
      <c r="L68" s="729" t="str">
        <f>비용추정!W31</f>
        <v>2025</v>
      </c>
      <c r="M68" s="729" t="str">
        <f>비용추정!X31</f>
        <v>2026</v>
      </c>
      <c r="N68" s="729" t="str">
        <f>비용추정!Y31</f>
        <v>2027</v>
      </c>
      <c r="O68" s="729" t="str">
        <f>비용추정!Z31</f>
        <v>2028</v>
      </c>
      <c r="V68" s="727" t="str">
        <f>H3</f>
        <v>단위: 백만원</v>
      </c>
    </row>
    <row r="69" spans="10:25" ht="13.5" thickTop="1" thickBot="1">
      <c r="J69" s="764" t="str">
        <f>비용추정!U32</f>
        <v>경제성장 적용</v>
      </c>
      <c r="K69" s="771">
        <f>비용추정!I32*(1+K$70/100*$O$66)</f>
        <v>102.486</v>
      </c>
      <c r="L69" s="771">
        <f>K$69*(1+L$70/100*$O$66)</f>
        <v>104.70584676</v>
      </c>
      <c r="M69" s="771">
        <f>L$69*(1+M$70/100*$O$66)</f>
        <v>106.9664459915484</v>
      </c>
      <c r="N69" s="771">
        <f>M$69*(1+N$70/100*$O$66)</f>
        <v>109.23092565318947</v>
      </c>
      <c r="O69" s="771">
        <f>N$69*(1+O$70/100*$O$66)</f>
        <v>111.52477509190645</v>
      </c>
      <c r="T69" s="729" t="s">
        <v>16252</v>
      </c>
      <c r="U69" s="729"/>
      <c r="V69" s="729" t="s">
        <v>16253</v>
      </c>
    </row>
    <row r="70" spans="10:25" ht="12.75" thickTop="1">
      <c r="J70" s="764" t="str">
        <f>비용추정!U36</f>
        <v>경제성장률</v>
      </c>
      <c r="K70" s="772">
        <f>비용추정!V36</f>
        <v>2.4860000000000002</v>
      </c>
      <c r="L70" s="772">
        <f>비용추정!W36</f>
        <v>2.1659999999999999</v>
      </c>
      <c r="M70" s="772">
        <f>비용추정!X36</f>
        <v>2.1589999999999998</v>
      </c>
      <c r="N70" s="772">
        <f>비용추정!Y36</f>
        <v>2.117</v>
      </c>
      <c r="O70" s="772">
        <f>비용추정!Z36</f>
        <v>2.1</v>
      </c>
      <c r="T70" s="730" t="s">
        <v>266</v>
      </c>
      <c r="U70" s="730"/>
      <c r="V70" s="748" t="str">
        <f>'보고서(일반)'!R5</f>
        <v>FCF추정!E29</v>
      </c>
    </row>
    <row r="71" spans="10:25">
      <c r="T71" s="730" t="s">
        <v>273</v>
      </c>
      <c r="U71" s="730"/>
      <c r="V71" s="748" t="str">
        <f>'보고서(일반)'!R6</f>
        <v>FCF추정!E30</v>
      </c>
    </row>
    <row r="72" spans="10:25">
      <c r="J72" s="753" t="s">
        <v>455</v>
      </c>
      <c r="K72" s="754">
        <f>RATE!E3</f>
        <v>45596</v>
      </c>
      <c r="L72" s="752">
        <f>RATE!F3</f>
        <v>1.94</v>
      </c>
      <c r="T72" s="730" t="s">
        <v>280</v>
      </c>
      <c r="U72" s="730"/>
      <c r="V72" s="748" t="str">
        <f>'보고서(일반)'!R7</f>
        <v>FCF추정!E31</v>
      </c>
    </row>
    <row r="73" spans="10:25">
      <c r="J73" s="753" t="s">
        <v>456</v>
      </c>
      <c r="K73" s="754">
        <f>RATE!E4</f>
        <v>45596</v>
      </c>
      <c r="L73" s="752">
        <f>RATE!F4</f>
        <v>0.77</v>
      </c>
      <c r="T73" s="730" t="s">
        <v>286</v>
      </c>
      <c r="U73" s="730"/>
      <c r="V73" s="748" t="str">
        <f>'보고서(일반)'!R8</f>
        <v>FCF추정!E32</v>
      </c>
    </row>
    <row r="74" spans="10:25">
      <c r="J74" s="753" t="s">
        <v>457</v>
      </c>
      <c r="K74" s="754">
        <f>RATE!E5</f>
        <v>45596</v>
      </c>
      <c r="L74" s="752">
        <f>RATE!F5</f>
        <v>1.94</v>
      </c>
      <c r="T74" s="730" t="s">
        <v>292</v>
      </c>
      <c r="U74" s="730"/>
      <c r="V74" s="748" t="str">
        <f>'보고서(일반)'!R9</f>
        <v>FCF추정!E33</v>
      </c>
    </row>
    <row r="75" spans="10:25">
      <c r="T75" s="730" t="s">
        <v>299</v>
      </c>
      <c r="U75" s="730"/>
      <c r="V75" s="748" t="str">
        <f>'보고서(일반)'!R10</f>
        <v>FCF추정!E34</v>
      </c>
    </row>
    <row r="76" spans="10:25">
      <c r="T76" s="730" t="s">
        <v>301</v>
      </c>
      <c r="U76" s="730"/>
      <c r="V76" s="748" t="str">
        <f>'보고서(일반)'!R11</f>
        <v>FCF추정!E35</v>
      </c>
    </row>
    <row r="77" spans="10:25">
      <c r="T77" s="730" t="s">
        <v>304</v>
      </c>
      <c r="U77" s="730"/>
      <c r="V77" s="748" t="str">
        <f>'보고서(일반)'!R12</f>
        <v>FCF추정!E36</v>
      </c>
    </row>
    <row r="78" spans="10:25">
      <c r="T78" s="730" t="s">
        <v>16254</v>
      </c>
      <c r="U78" s="730"/>
      <c r="V78" s="748" t="str">
        <f>'보고서(일반)'!R13</f>
        <v>FCF추정!E37</v>
      </c>
    </row>
    <row r="80" spans="10:25">
      <c r="V80" s="727" t="str">
        <f>H3</f>
        <v>단위: 백만원</v>
      </c>
    </row>
    <row r="81" spans="20:25" ht="12.75" thickBot="1">
      <c r="T81" s="729" t="s">
        <v>16255</v>
      </c>
      <c r="U81" s="729"/>
      <c r="V81" s="729" t="s">
        <v>16256</v>
      </c>
    </row>
    <row r="82" spans="20:25" ht="12.75" thickTop="1">
      <c r="T82" s="730" t="s">
        <v>313</v>
      </c>
      <c r="U82" s="730"/>
      <c r="V82" s="748" t="str">
        <f>'보고서(일반)'!R16</f>
        <v>FCF추정!E38</v>
      </c>
    </row>
    <row r="83" spans="20:25">
      <c r="T83" s="730" t="s">
        <v>316</v>
      </c>
      <c r="U83" s="730"/>
      <c r="V83" s="748" t="str">
        <f>'보고서(일반)'!R17</f>
        <v>FCF추정!E39</v>
      </c>
    </row>
    <row r="84" spans="20:25">
      <c r="T84" s="730" t="s">
        <v>319</v>
      </c>
      <c r="U84" s="730"/>
      <c r="V84" s="748" t="str">
        <f>'보고서(일반)'!R18</f>
        <v>FCF추정!E40</v>
      </c>
    </row>
    <row r="85" spans="20:25">
      <c r="T85" s="730" t="s">
        <v>322</v>
      </c>
      <c r="U85" s="730"/>
      <c r="V85" s="748" t="str">
        <f>'보고서(일반)'!R19</f>
        <v>FCF추정!E41</v>
      </c>
    </row>
    <row r="86" spans="20:25">
      <c r="T86" s="730" t="s">
        <v>325</v>
      </c>
      <c r="U86" s="730"/>
      <c r="V86" s="748" t="str">
        <f>'보고서(일반)'!R20</f>
        <v>FCF추정!E42</v>
      </c>
    </row>
    <row r="87" spans="20:25">
      <c r="T87" s="730" t="s">
        <v>334</v>
      </c>
      <c r="U87" s="730"/>
      <c r="V87" s="748" t="str">
        <f>'보고서(일반)'!R21</f>
        <v>FCF추정!E43</v>
      </c>
    </row>
    <row r="88" spans="20:25">
      <c r="T88" s="730" t="s">
        <v>337</v>
      </c>
      <c r="U88" s="730"/>
      <c r="V88" s="748" t="str">
        <f>'보고서(일반)'!R22</f>
        <v>FCF추정!E44</v>
      </c>
    </row>
    <row r="89" spans="20:25">
      <c r="T89" s="730" t="s">
        <v>16201</v>
      </c>
      <c r="U89" s="730"/>
      <c r="V89" s="748" t="str">
        <f>'보고서(일반)'!R23</f>
        <v>FCF추정!E45</v>
      </c>
    </row>
    <row r="91" spans="20:25">
      <c r="T91" s="755" t="s">
        <v>16202</v>
      </c>
      <c r="U91" s="755"/>
      <c r="V91" s="755"/>
      <c r="W91" s="755"/>
      <c r="X91" s="755"/>
    </row>
    <row r="92" spans="20:25">
      <c r="T92" s="756" t="str">
        <f>Bloomberg!K4</f>
        <v>20221101
~20241031</v>
      </c>
      <c r="U92" s="756"/>
      <c r="V92" s="727" t="s">
        <v>16203</v>
      </c>
    </row>
    <row r="93" spans="20:25" ht="12.75" thickBot="1">
      <c r="T93" s="729" t="s">
        <v>16204</v>
      </c>
      <c r="U93" s="729"/>
      <c r="V93" s="729" t="s">
        <v>16205</v>
      </c>
      <c r="W93" s="729" t="s">
        <v>254</v>
      </c>
      <c r="X93" s="729" t="s">
        <v>16206</v>
      </c>
      <c r="Y93" s="729" t="s">
        <v>16207</v>
      </c>
    </row>
    <row r="94" spans="20:25" ht="12.75" thickTop="1">
      <c r="T94" s="730" t="str">
        <f ca="1">'보고서(일반)'!U5</f>
        <v>삼성전기</v>
      </c>
      <c r="U94" s="730"/>
      <c r="V94" s="736">
        <f ca="1">'보고서(일반)'!V5</f>
        <v>1.044</v>
      </c>
      <c r="W94" s="736">
        <f ca="1">'보고서(일반)'!W5</f>
        <v>23.635200741961658</v>
      </c>
      <c r="X94" s="730">
        <f ca="1">'보고서(일반)'!X5</f>
        <v>0.84441970711798064</v>
      </c>
      <c r="Y94" s="730">
        <f ca="1">'보고서(일반)'!Y5</f>
        <v>1.203038261584997</v>
      </c>
    </row>
    <row r="95" spans="20:25">
      <c r="T95" s="730" t="str">
        <f ca="1">'보고서(일반)'!U6</f>
        <v>원익QnC</v>
      </c>
      <c r="U95" s="730"/>
      <c r="V95" s="773">
        <f ca="1">'보고서(일반)'!V6</f>
        <v>1.133</v>
      </c>
      <c r="W95" s="736">
        <f ca="1">'보고서(일반)'!W6</f>
        <v>108.55133581452054</v>
      </c>
      <c r="X95" s="730">
        <f ca="1">'보고서(일반)'!X6</f>
        <v>0.54327151421732289</v>
      </c>
      <c r="Y95" s="730">
        <f ca="1">'보고서(일반)'!Y6</f>
        <v>0.77399474754482578</v>
      </c>
    </row>
    <row r="96" spans="20:25">
      <c r="T96" s="730" t="str">
        <f ca="1">'보고서(일반)'!U7</f>
        <v>아이씨디</v>
      </c>
      <c r="U96" s="730"/>
      <c r="V96" s="773">
        <f ca="1">'보고서(일반)'!V7</f>
        <v>0.82</v>
      </c>
      <c r="W96" s="736">
        <f ca="1">'보고서(일반)'!W7</f>
        <v>43.804376743062193</v>
      </c>
      <c r="X96" s="730">
        <f ca="1">'보고서(일반)'!X7</f>
        <v>0.57021908412781375</v>
      </c>
      <c r="Y96" s="730">
        <f ca="1">'보고서(일반)'!Y7</f>
        <v>0.81238674311975567</v>
      </c>
    </row>
    <row r="97" spans="20:25">
      <c r="T97" s="730" t="str">
        <f ca="1">'보고서(일반)'!U8</f>
        <v>삼화콘덴서</v>
      </c>
      <c r="U97" s="730"/>
      <c r="V97" s="773">
        <f ca="1">'보고서(일반)'!V8</f>
        <v>0.96499999999999997</v>
      </c>
      <c r="W97" s="736">
        <f ca="1">'보고서(일반)'!W8</f>
        <v>1.1851155875521802</v>
      </c>
      <c r="X97" s="730">
        <f ca="1">'보고서(일반)'!X8</f>
        <v>0.95369758130583626</v>
      </c>
      <c r="Y97" s="730">
        <f ca="1">'보고서(일반)'!Y8</f>
        <v>1.3587256083919017</v>
      </c>
    </row>
    <row r="98" spans="20:25">
      <c r="T98" s="730" t="str">
        <f ca="1">'보고서(일반)'!U9</f>
        <v>하나머티리얼즈</v>
      </c>
      <c r="U98" s="730"/>
      <c r="V98" s="773">
        <f ca="1">'보고서(일반)'!V9</f>
        <v>1.135</v>
      </c>
      <c r="W98" s="736">
        <f ca="1">'보고서(일반)'!W9</f>
        <v>35.170125190114604</v>
      </c>
      <c r="X98" s="730">
        <f ca="1">'보고서(일반)'!X9</f>
        <v>0.83968258400563056</v>
      </c>
      <c r="Y98" s="730">
        <f ca="1">'보고서(일반)'!Y9</f>
        <v>1.1962893187240513</v>
      </c>
    </row>
    <row r="99" spans="20:25">
      <c r="T99" s="730" t="str">
        <f ca="1">'보고서(일반)'!U10</f>
        <v/>
      </c>
      <c r="U99" s="730"/>
      <c r="V99" s="773" t="b">
        <f ca="1">'보고서(일반)'!V10</f>
        <v>0</v>
      </c>
      <c r="W99" s="736" t="b">
        <f ca="1">'보고서(일반)'!W10</f>
        <v>0</v>
      </c>
      <c r="X99" s="730" t="b">
        <f ca="1">'보고서(일반)'!X10</f>
        <v>0</v>
      </c>
      <c r="Y99" s="730" t="b">
        <f ca="1">'보고서(일반)'!Y10</f>
        <v>0</v>
      </c>
    </row>
    <row r="100" spans="20:25">
      <c r="T100" s="730" t="str">
        <f ca="1">'보고서(일반)'!U11</f>
        <v/>
      </c>
      <c r="U100" s="730"/>
      <c r="V100" s="773" t="b">
        <f ca="1">'보고서(일반)'!V11</f>
        <v>0</v>
      </c>
      <c r="W100" s="736" t="b">
        <f ca="1">'보고서(일반)'!W11</f>
        <v>0</v>
      </c>
      <c r="X100" s="730" t="b">
        <f ca="1">'보고서(일반)'!X11</f>
        <v>0</v>
      </c>
      <c r="Y100" s="730" t="b">
        <f ca="1">'보고서(일반)'!Y11</f>
        <v>0</v>
      </c>
    </row>
    <row r="101" spans="20:25">
      <c r="T101" s="730" t="str">
        <f ca="1">'보고서(일반)'!U12</f>
        <v/>
      </c>
      <c r="U101" s="730"/>
      <c r="V101" s="773" t="b">
        <f ca="1">'보고서(일반)'!V12</f>
        <v>0</v>
      </c>
      <c r="W101" s="736" t="b">
        <f ca="1">'보고서(일반)'!W12</f>
        <v>0</v>
      </c>
      <c r="X101" s="730" t="b">
        <f ca="1">'보고서(일반)'!X12</f>
        <v>0</v>
      </c>
      <c r="Y101" s="730" t="b">
        <f ca="1">'보고서(일반)'!Y12</f>
        <v>0</v>
      </c>
    </row>
    <row r="102" spans="20:25">
      <c r="T102" s="730" t="str">
        <f ca="1">'보고서(일반)'!U13</f>
        <v/>
      </c>
      <c r="U102" s="730"/>
      <c r="V102" s="773" t="b">
        <f ca="1">'보고서(일반)'!V13</f>
        <v>0</v>
      </c>
      <c r="W102" s="736" t="b">
        <f ca="1">'보고서(일반)'!W13</f>
        <v>0</v>
      </c>
      <c r="X102" s="730" t="b">
        <f ca="1">'보고서(일반)'!X13</f>
        <v>0</v>
      </c>
      <c r="Y102" s="730" t="b">
        <f ca="1">'보고서(일반)'!Y13</f>
        <v>0</v>
      </c>
    </row>
    <row r="103" spans="20:25">
      <c r="T103" s="730" t="str">
        <f ca="1">'보고서(일반)'!U14</f>
        <v/>
      </c>
      <c r="U103" s="730"/>
      <c r="V103" s="773" t="b">
        <f ca="1">'보고서(일반)'!V14</f>
        <v>0</v>
      </c>
      <c r="W103" s="736" t="b">
        <f ca="1">'보고서(일반)'!W14</f>
        <v>0</v>
      </c>
      <c r="X103" s="730" t="b">
        <f ca="1">'보고서(일반)'!X14</f>
        <v>0</v>
      </c>
      <c r="Y103" s="730" t="b">
        <f ca="1">'보고서(일반)'!Y14</f>
        <v>0</v>
      </c>
    </row>
    <row r="104" spans="20:25">
      <c r="T104" s="730" t="str">
        <f ca="1">'보고서(일반)'!U15</f>
        <v/>
      </c>
      <c r="U104" s="730"/>
      <c r="V104" s="773" t="b">
        <f ca="1">'보고서(일반)'!V15</f>
        <v>0</v>
      </c>
      <c r="W104" s="736" t="b">
        <f ca="1">'보고서(일반)'!W15</f>
        <v>0</v>
      </c>
      <c r="X104" s="730" t="b">
        <f ca="1">'보고서(일반)'!X15</f>
        <v>0</v>
      </c>
      <c r="Y104" s="730" t="b">
        <f ca="1">'보고서(일반)'!Y15</f>
        <v>0</v>
      </c>
    </row>
    <row r="105" spans="20:25">
      <c r="T105" s="730" t="str">
        <f ca="1">'보고서(일반)'!U16</f>
        <v/>
      </c>
      <c r="U105" s="730"/>
      <c r="V105" s="773" t="b">
        <f ca="1">'보고서(일반)'!V16</f>
        <v>0</v>
      </c>
      <c r="W105" s="736" t="b">
        <f ca="1">'보고서(일반)'!W16</f>
        <v>0</v>
      </c>
      <c r="X105" s="730" t="b">
        <f ca="1">'보고서(일반)'!X16</f>
        <v>0</v>
      </c>
      <c r="Y105" s="730" t="b">
        <f ca="1">'보고서(일반)'!Y16</f>
        <v>0</v>
      </c>
    </row>
    <row r="106" spans="20:25">
      <c r="T106" s="730" t="str">
        <f ca="1">'보고서(일반)'!U17</f>
        <v/>
      </c>
      <c r="U106" s="730"/>
      <c r="V106" s="773" t="b">
        <f ca="1">'보고서(일반)'!V17</f>
        <v>0</v>
      </c>
      <c r="W106" s="736" t="b">
        <f ca="1">'보고서(일반)'!W17</f>
        <v>0</v>
      </c>
      <c r="X106" s="730" t="b">
        <f ca="1">'보고서(일반)'!X17</f>
        <v>0</v>
      </c>
      <c r="Y106" s="730" t="b">
        <f ca="1">'보고서(일반)'!Y17</f>
        <v>0</v>
      </c>
    </row>
    <row r="107" spans="20:25">
      <c r="T107" s="730" t="str">
        <f ca="1">'보고서(일반)'!U18</f>
        <v/>
      </c>
      <c r="U107" s="730"/>
      <c r="V107" s="773" t="b">
        <f ca="1">'보고서(일반)'!V18</f>
        <v>0</v>
      </c>
      <c r="W107" s="736" t="b">
        <f ca="1">'보고서(일반)'!W18</f>
        <v>0</v>
      </c>
      <c r="X107" s="730" t="b">
        <f ca="1">'보고서(일반)'!X18</f>
        <v>0</v>
      </c>
      <c r="Y107" s="730" t="b">
        <f ca="1">'보고서(일반)'!Y18</f>
        <v>0</v>
      </c>
    </row>
    <row r="108" spans="20:25">
      <c r="T108" s="730" t="str">
        <f ca="1">'보고서(일반)'!U19</f>
        <v/>
      </c>
      <c r="U108" s="730"/>
      <c r="V108" s="773" t="b">
        <f ca="1">'보고서(일반)'!V19</f>
        <v>0</v>
      </c>
      <c r="W108" s="736" t="b">
        <f ca="1">'보고서(일반)'!W19</f>
        <v>0</v>
      </c>
      <c r="X108" s="730" t="b">
        <f ca="1">'보고서(일반)'!X19</f>
        <v>0</v>
      </c>
      <c r="Y108" s="730" t="b">
        <f ca="1">'보고서(일반)'!Y19</f>
        <v>0</v>
      </c>
    </row>
    <row r="109" spans="20:25">
      <c r="T109" s="757" t="s">
        <v>326</v>
      </c>
      <c r="U109" s="757"/>
      <c r="V109" s="774">
        <f ca="1">AVERAGE(V94:V108)</f>
        <v>1.0193999999999999</v>
      </c>
      <c r="W109" s="774">
        <f ca="1">AVERAGE(W94:W108)</f>
        <v>42.469230815442231</v>
      </c>
      <c r="X109" s="757">
        <f ca="1">AVERAGE(X94:X108)</f>
        <v>0.75025809415491695</v>
      </c>
      <c r="Y109" s="757">
        <f ca="1">AVERAGE(Y94:Y108)</f>
        <v>1.0688869358731061</v>
      </c>
    </row>
    <row r="111" spans="20:25" ht="12.75" thickBot="1">
      <c r="T111" s="729" t="s">
        <v>16257</v>
      </c>
      <c r="U111" s="729"/>
      <c r="V111" s="729" t="s">
        <v>16258</v>
      </c>
    </row>
    <row r="112" spans="20:25" ht="12.75" thickTop="1">
      <c r="T112" s="758" t="s">
        <v>256</v>
      </c>
      <c r="U112" s="758"/>
      <c r="V112" s="759">
        <f ca="1">Y109</f>
        <v>1.0688869358731061</v>
      </c>
    </row>
    <row r="113" spans="2:22">
      <c r="T113" s="758" t="s">
        <v>346</v>
      </c>
      <c r="U113" s="758"/>
      <c r="V113" s="760">
        <f>RATE!F7/100</f>
        <v>3.3500000000000002E-2</v>
      </c>
    </row>
    <row r="114" spans="2:22">
      <c r="T114" s="758" t="s">
        <v>349</v>
      </c>
      <c r="U114" s="758"/>
      <c r="V114" s="760">
        <f>RATE!F8/100</f>
        <v>0.1197</v>
      </c>
    </row>
    <row r="115" spans="2:22">
      <c r="T115" s="758" t="s">
        <v>16259</v>
      </c>
      <c r="U115" s="758"/>
      <c r="V115" s="760">
        <f>WACC!E43/100</f>
        <v>0.02</v>
      </c>
    </row>
    <row r="116" spans="2:22">
      <c r="T116" s="758" t="s">
        <v>365</v>
      </c>
      <c r="U116" s="758"/>
      <c r="V116" s="760">
        <f ca="1">WACC!E34/100</f>
        <v>0.18144576622401082</v>
      </c>
    </row>
    <row r="117" spans="2:22">
      <c r="T117" s="758" t="s">
        <v>371</v>
      </c>
      <c r="U117" s="758"/>
      <c r="V117" s="760">
        <f ca="1">WACC!E30/100</f>
        <v>0</v>
      </c>
    </row>
    <row r="118" spans="2:22">
      <c r="T118" s="758" t="s">
        <v>374</v>
      </c>
      <c r="U118" s="758"/>
      <c r="V118" s="760">
        <f>WACC!E31/100</f>
        <v>0.10550000000000001</v>
      </c>
    </row>
    <row r="119" spans="2:22">
      <c r="T119" s="758" t="s">
        <v>16260</v>
      </c>
      <c r="U119" s="758"/>
      <c r="V119" s="760">
        <f ca="1">WACC!E35/100</f>
        <v>0.15880678476280444</v>
      </c>
    </row>
    <row r="125" spans="2:22">
      <c r="B125" s="735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  <sheetView workbookViewId="1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[(주)미래세라텍]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474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475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476</v>
      </c>
      <c r="E6" s="441" t="str">
        <f>'보고서(일반)'!AC4</f>
        <v>FCF추정!F22</v>
      </c>
      <c r="F6" s="441" t="str">
        <f>'보고서(일반)'!AD4</f>
        <v>FCF추정!G22</v>
      </c>
      <c r="G6" s="441" t="str">
        <f>'보고서(일반)'!AE4</f>
        <v>FCF추정!H22</v>
      </c>
      <c r="H6" s="441" t="str">
        <f>'보고서(일반)'!AF4</f>
        <v>FCF추정!I22</v>
      </c>
      <c r="I6" s="441" t="str">
        <f>'보고서(일반)'!AG4</f>
        <v>FCF추정!J22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452</v>
      </c>
      <c r="E7" s="486"/>
      <c r="F7" s="486"/>
      <c r="G7" s="486"/>
      <c r="H7" s="486"/>
      <c r="I7" s="486"/>
      <c r="J7" s="372"/>
      <c r="K7" s="372"/>
      <c r="L7" s="487" t="s">
        <v>502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453</v>
      </c>
      <c r="E8" s="486">
        <f>성장률추정!E8</f>
        <v>2.4860000000000002</v>
      </c>
      <c r="F8" s="486">
        <f>성장률추정!F8</f>
        <v>2.1659999999999999</v>
      </c>
      <c r="G8" s="486">
        <f>성장률추정!G8</f>
        <v>2.1589999999999998</v>
      </c>
      <c r="H8" s="486">
        <f>성장률추정!H8</f>
        <v>2.117</v>
      </c>
      <c r="I8" s="486">
        <f>성장률추정!I8</f>
        <v>2.1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454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477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455</v>
      </c>
      <c r="E12" s="442">
        <f>RATE!F3</f>
        <v>1.94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456</v>
      </c>
      <c r="E13" s="442">
        <f>RATE!F4</f>
        <v>0.77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457</v>
      </c>
      <c r="E14" s="442">
        <f>RATE!F5</f>
        <v>1.94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444</v>
      </c>
      <c r="E15" s="442">
        <f>RATE!F7</f>
        <v>3.35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445</v>
      </c>
      <c r="E16" s="442">
        <f>RATE!F8</f>
        <v>11.97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458</v>
      </c>
      <c r="E17" s="442">
        <f>RATE!F9</f>
        <v>1.66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478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479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480</v>
      </c>
      <c r="E21" s="440" t="s">
        <v>459</v>
      </c>
      <c r="F21" s="440" t="s">
        <v>460</v>
      </c>
      <c r="G21" s="440" t="s">
        <v>461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481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482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483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484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485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486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252</v>
      </c>
      <c r="E29" s="447" t="s">
        <v>253</v>
      </c>
      <c r="F29" s="447" t="s">
        <v>462</v>
      </c>
      <c r="G29" s="447" t="s">
        <v>255</v>
      </c>
      <c r="H29" s="447" t="s">
        <v>256</v>
      </c>
      <c r="I29" s="372"/>
      <c r="J29" s="372"/>
      <c r="K29" s="372"/>
      <c r="L29" s="487" t="s">
        <v>503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삼성전기</v>
      </c>
      <c r="E30" s="481">
        <f ca="1">'보고서(일반)'!V5</f>
        <v>1.044</v>
      </c>
      <c r="F30" s="482">
        <f ca="1">'보고서(일반)'!W5</f>
        <v>23.635200741961658</v>
      </c>
      <c r="G30" s="483">
        <f ca="1">'보고서(일반)'!X5</f>
        <v>0.84441970711798064</v>
      </c>
      <c r="H30" s="483">
        <f ca="1">'보고서(일반)'!Y5</f>
        <v>1.203038261584997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>원익QnC</v>
      </c>
      <c r="E31" s="481">
        <f ca="1">'보고서(일반)'!V6</f>
        <v>1.133</v>
      </c>
      <c r="F31" s="482">
        <f ca="1">'보고서(일반)'!W6</f>
        <v>108.55133581452054</v>
      </c>
      <c r="G31" s="483">
        <f ca="1">'보고서(일반)'!X6</f>
        <v>0.54327151421732289</v>
      </c>
      <c r="H31" s="483">
        <f ca="1">'보고서(일반)'!Y6</f>
        <v>0.77399474754482578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>아이씨디</v>
      </c>
      <c r="E32" s="481">
        <f ca="1">'보고서(일반)'!V7</f>
        <v>0.82</v>
      </c>
      <c r="F32" s="482">
        <f ca="1">'보고서(일반)'!W7</f>
        <v>43.804376743062193</v>
      </c>
      <c r="G32" s="483">
        <f ca="1">'보고서(일반)'!X7</f>
        <v>0.57021908412781375</v>
      </c>
      <c r="H32" s="483">
        <f ca="1">'보고서(일반)'!Y7</f>
        <v>0.81238674311975567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4" customFormat="1">
      <c r="A33" s="372"/>
      <c r="B33" s="372"/>
      <c r="C33" s="372"/>
      <c r="D33" s="448" t="str">
        <f ca="1">'보고서(일반)'!U8</f>
        <v>삼화콘덴서</v>
      </c>
      <c r="E33" s="481">
        <f ca="1">'보고서(일반)'!V8</f>
        <v>0.96499999999999997</v>
      </c>
      <c r="F33" s="482">
        <f ca="1">'보고서(일반)'!W8</f>
        <v>1.1851155875521802</v>
      </c>
      <c r="G33" s="483">
        <f ca="1">'보고서(일반)'!X8</f>
        <v>0.95369758130583626</v>
      </c>
      <c r="H33" s="483">
        <f ca="1">'보고서(일반)'!Y8</f>
        <v>1.3587256083919017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4" customFormat="1">
      <c r="A34" s="372"/>
      <c r="B34" s="372"/>
      <c r="C34" s="372"/>
      <c r="D34" s="448" t="str">
        <f ca="1">'보고서(일반)'!U9</f>
        <v>하나머티리얼즈</v>
      </c>
      <c r="E34" s="481">
        <f ca="1">'보고서(일반)'!V9</f>
        <v>1.135</v>
      </c>
      <c r="F34" s="482">
        <f ca="1">'보고서(일반)'!W9</f>
        <v>35.170125190114604</v>
      </c>
      <c r="G34" s="483">
        <f ca="1">'보고서(일반)'!X9</f>
        <v>0.83968258400563056</v>
      </c>
      <c r="H34" s="483">
        <f ca="1">'보고서(일반)'!Y9</f>
        <v>1.1962893187240513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4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4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4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4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4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4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4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4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4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4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1.0193999999999999</v>
      </c>
      <c r="F45" s="485">
        <f ca="1">'보고서(일반)'!W20</f>
        <v>42.469230815442231</v>
      </c>
      <c r="G45" s="485">
        <f ca="1">'보고서(일반)'!X20</f>
        <v>0.75025809415491695</v>
      </c>
      <c r="H45" s="485">
        <f ca="1">'보고서(일반)'!Y20</f>
        <v>1.0688869358731061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487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338</v>
      </c>
      <c r="E48" s="449" t="s">
        <v>340</v>
      </c>
      <c r="F48" s="449" t="s">
        <v>339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537</v>
      </c>
      <c r="E49" s="479">
        <f ca="1">'보고서(일반)'!X23</f>
        <v>1.0688869358731061</v>
      </c>
      <c r="F49" s="451" t="s">
        <v>463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346</v>
      </c>
      <c r="E50" s="480">
        <f>'보고서(일반)'!X24</f>
        <v>3.3500000000000002E-2</v>
      </c>
      <c r="F50" s="451" t="s">
        <v>464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349</v>
      </c>
      <c r="E51" s="480">
        <f>'보고서(일반)'!X25</f>
        <v>0.1197</v>
      </c>
      <c r="F51" s="452" t="s">
        <v>350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354</v>
      </c>
      <c r="E52" s="480">
        <f>'보고서(일반)'!X26</f>
        <v>0.02</v>
      </c>
      <c r="F52" s="452" t="s">
        <v>355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365</v>
      </c>
      <c r="E53" s="480">
        <f ca="1">'보고서(일반)'!X27</f>
        <v>0.18144576622401082</v>
      </c>
      <c r="F53" s="452" t="s">
        <v>465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371</v>
      </c>
      <c r="E54" s="480">
        <f ca="1">'보고서(일반)'!X28</f>
        <v>0</v>
      </c>
      <c r="F54" s="452" t="s">
        <v>372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374</v>
      </c>
      <c r="E55" s="480">
        <f>'보고서(일반)'!X29</f>
        <v>0.10550000000000001</v>
      </c>
      <c r="F55" s="452" t="s">
        <v>375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379</v>
      </c>
      <c r="E56" s="480">
        <f ca="1">'보고서(일반)'!X31</f>
        <v>0.15880678476280444</v>
      </c>
      <c r="F56" s="452" t="s">
        <v>466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488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249</v>
      </c>
      <c r="E59" s="441" t="str">
        <f>+표_19</f>
        <v>FCF추정!F22</v>
      </c>
      <c r="F59" s="441" t="str">
        <f>+표_19</f>
        <v>FCF추정!F22</v>
      </c>
      <c r="G59" s="441" t="str">
        <f>+표_19</f>
        <v>FCF추정!F22</v>
      </c>
      <c r="H59" s="441" t="str">
        <f>+표_19</f>
        <v>FCF추정!F22</v>
      </c>
      <c r="I59" s="441" t="str">
        <f>+표_19</f>
        <v>FCF추정!F22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267</v>
      </c>
      <c r="E60" s="475" t="e">
        <f ca="1">'보고서(일반)'!AC5</f>
        <v>#N/A</v>
      </c>
      <c r="F60" s="475" t="e">
        <f ca="1">'보고서(일반)'!AD5</f>
        <v>#N/A</v>
      </c>
      <c r="G60" s="475" t="e">
        <f ca="1">'보고서(일반)'!AE5</f>
        <v>#N/A</v>
      </c>
      <c r="H60" s="475" t="e">
        <f ca="1">'보고서(일반)'!AF5</f>
        <v>#N/A</v>
      </c>
      <c r="I60" s="475" t="e">
        <f ca="1">'보고서(일반)'!AG5</f>
        <v>#N/A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274</v>
      </c>
      <c r="E61" s="475" t="e">
        <f ca="1">'보고서(일반)'!AC6</f>
        <v>#N/A</v>
      </c>
      <c r="F61" s="475" t="e">
        <f ca="1">'보고서(일반)'!AD6</f>
        <v>#N/A</v>
      </c>
      <c r="G61" s="475" t="e">
        <f ca="1">'보고서(일반)'!AE6</f>
        <v>#N/A</v>
      </c>
      <c r="H61" s="475" t="e">
        <f ca="1">'보고서(일반)'!AF6</f>
        <v>#N/A</v>
      </c>
      <c r="I61" s="475" t="e">
        <f ca="1">'보고서(일반)'!AG6</f>
        <v>#N/A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281</v>
      </c>
      <c r="E62" s="475" t="e">
        <f ca="1">'보고서(일반)'!AC7</f>
        <v>#N/A</v>
      </c>
      <c r="F62" s="475" t="e">
        <f ca="1">'보고서(일반)'!AD7</f>
        <v>#N/A</v>
      </c>
      <c r="G62" s="475" t="e">
        <f ca="1">'보고서(일반)'!AE7</f>
        <v>#N/A</v>
      </c>
      <c r="H62" s="475" t="e">
        <f ca="1">'보고서(일반)'!AF7</f>
        <v>#N/A</v>
      </c>
      <c r="I62" s="475" t="e">
        <f ca="1">'보고서(일반)'!AG7</f>
        <v>#N/A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287</v>
      </c>
      <c r="E63" s="475" t="e">
        <f ca="1">'보고서(일반)'!AC8</f>
        <v>#N/A</v>
      </c>
      <c r="F63" s="475" t="e">
        <f ca="1">'보고서(일반)'!AD8</f>
        <v>#N/A</v>
      </c>
      <c r="G63" s="475" t="e">
        <f ca="1">'보고서(일반)'!AE8</f>
        <v>#N/A</v>
      </c>
      <c r="H63" s="475" t="e">
        <f ca="1">'보고서(일반)'!AF8</f>
        <v>#N/A</v>
      </c>
      <c r="I63" s="475" t="e">
        <f ca="1">'보고서(일반)'!AG8</f>
        <v>#N/A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293</v>
      </c>
      <c r="E64" s="476" t="e">
        <f ca="1">'보고서(일반)'!AC9</f>
        <v>#N/A</v>
      </c>
      <c r="F64" s="476" t="e">
        <f ca="1">'보고서(일반)'!AD9</f>
        <v>#N/A</v>
      </c>
      <c r="G64" s="476" t="e">
        <f ca="1">'보고서(일반)'!AE9</f>
        <v>#N/A</v>
      </c>
      <c r="H64" s="476" t="e">
        <f ca="1">'보고서(일반)'!AF9</f>
        <v>#N/A</v>
      </c>
      <c r="I64" s="476" t="e">
        <f ca="1">'보고서(일반)'!AG9</f>
        <v>#N/A</v>
      </c>
      <c r="J64" s="372"/>
      <c r="K64" s="458" t="s">
        <v>489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300</v>
      </c>
      <c r="E65" s="476" t="e">
        <f ca="1">'보고서(일반)'!AC10</f>
        <v>#N/A</v>
      </c>
      <c r="F65" s="476" t="e">
        <f ca="1">'보고서(일반)'!AD10</f>
        <v>#N/A</v>
      </c>
      <c r="G65" s="476" t="e">
        <f ca="1">'보고서(일반)'!AE10</f>
        <v>#N/A</v>
      </c>
      <c r="H65" s="476" t="e">
        <f ca="1">'보고서(일반)'!AF10</f>
        <v>#N/A</v>
      </c>
      <c r="I65" s="476" t="e">
        <f ca="1">'보고서(일반)'!AG10</f>
        <v>#N/A</v>
      </c>
      <c r="J65" s="372"/>
      <c r="K65" s="458" t="s">
        <v>467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302</v>
      </c>
      <c r="E66" s="476" t="e">
        <f ca="1">'보고서(일반)'!AC11</f>
        <v>#N/A</v>
      </c>
      <c r="F66" s="476" t="e">
        <f ca="1">'보고서(일반)'!AD11</f>
        <v>#N/A</v>
      </c>
      <c r="G66" s="476" t="e">
        <f ca="1">'보고서(일반)'!AE11</f>
        <v>#N/A</v>
      </c>
      <c r="H66" s="476" t="e">
        <f ca="1">'보고서(일반)'!AF11</f>
        <v>#N/A</v>
      </c>
      <c r="I66" s="476" t="e">
        <f ca="1">'보고서(일반)'!AG11</f>
        <v>#N/A</v>
      </c>
      <c r="J66" s="372"/>
      <c r="K66" s="458" t="s">
        <v>490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305</v>
      </c>
      <c r="E67" s="476" t="e">
        <f ca="1">'보고서(일반)'!AC12</f>
        <v>#N/A</v>
      </c>
      <c r="F67" s="476" t="e">
        <f ca="1">'보고서(일반)'!AD12</f>
        <v>#N/A</v>
      </c>
      <c r="G67" s="476" t="e">
        <f ca="1">'보고서(일반)'!AE12</f>
        <v>#N/A</v>
      </c>
      <c r="H67" s="476" t="e">
        <f ca="1">'보고서(일반)'!AF12</f>
        <v>#N/A</v>
      </c>
      <c r="I67" s="476" t="e">
        <f ca="1">'보고서(일반)'!AG12</f>
        <v>#N/A</v>
      </c>
      <c r="J67" s="372"/>
      <c r="K67" s="458" t="s">
        <v>491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308</v>
      </c>
      <c r="E68" s="476" t="e">
        <f ca="1">'보고서(일반)'!AC13</f>
        <v>#N/A</v>
      </c>
      <c r="F68" s="476" t="e">
        <f ca="1">'보고서(일반)'!AD13</f>
        <v>#N/A</v>
      </c>
      <c r="G68" s="476" t="e">
        <f ca="1">'보고서(일반)'!AE13</f>
        <v>#N/A</v>
      </c>
      <c r="H68" s="476" t="e">
        <f ca="1">'보고서(일반)'!AF13</f>
        <v>#N/A</v>
      </c>
      <c r="I68" s="476" t="e">
        <f ca="1">'보고서(일반)'!AG13</f>
        <v>#N/A</v>
      </c>
      <c r="J68" s="372"/>
      <c r="K68" s="458" t="s">
        <v>492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309</v>
      </c>
      <c r="E69" s="476" t="e">
        <f ca="1">'보고서(일반)'!AC14</f>
        <v>#N/A</v>
      </c>
      <c r="F69" s="476" t="e">
        <f ca="1">'보고서(일반)'!AD14</f>
        <v>#N/A</v>
      </c>
      <c r="G69" s="476" t="e">
        <f ca="1">'보고서(일반)'!AE14</f>
        <v>#N/A</v>
      </c>
      <c r="H69" s="476" t="e">
        <f ca="1">'보고서(일반)'!AF14</f>
        <v>#N/A</v>
      </c>
      <c r="I69" s="476" t="e">
        <f ca="1">'보고서(일반)'!AG14</f>
        <v>#N/A</v>
      </c>
      <c r="J69" s="372"/>
      <c r="K69" s="458" t="s">
        <v>493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311</v>
      </c>
      <c r="E70" s="476" t="e">
        <f ca="1">'보고서(일반)'!AC15</f>
        <v>#N/A</v>
      </c>
      <c r="F70" s="476" t="e">
        <f ca="1">'보고서(일반)'!AD15</f>
        <v>#N/A</v>
      </c>
      <c r="G70" s="476" t="e">
        <f ca="1">'보고서(일반)'!AE15</f>
        <v>#N/A</v>
      </c>
      <c r="H70" s="476" t="e">
        <f ca="1">'보고서(일반)'!AF15</f>
        <v>#N/A</v>
      </c>
      <c r="I70" s="476" t="e">
        <f ca="1">'보고서(일반)'!AG15</f>
        <v>#N/A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314</v>
      </c>
      <c r="E71" s="476" t="e">
        <f ca="1">'보고서(일반)'!AC16</f>
        <v>#N/A</v>
      </c>
      <c r="F71" s="476" t="e">
        <f ca="1">'보고서(일반)'!AD16</f>
        <v>#N/A</v>
      </c>
      <c r="G71" s="476" t="e">
        <f ca="1">'보고서(일반)'!AE16</f>
        <v>#N/A</v>
      </c>
      <c r="H71" s="476" t="e">
        <f ca="1">'보고서(일반)'!AF16</f>
        <v>#N/A</v>
      </c>
      <c r="I71" s="476" t="e">
        <f ca="1">'보고서(일반)'!AG16</f>
        <v>#N/A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317</v>
      </c>
      <c r="E72" s="476" t="e">
        <f ca="1">'보고서(일반)'!AC17</f>
        <v>#N/A</v>
      </c>
      <c r="F72" s="476" t="e">
        <f ca="1">'보고서(일반)'!AD17</f>
        <v>#N/A</v>
      </c>
      <c r="G72" s="476" t="e">
        <f ca="1">'보고서(일반)'!AE17</f>
        <v>#N/A</v>
      </c>
      <c r="H72" s="476" t="e">
        <f ca="1">'보고서(일반)'!AF17</f>
        <v>#N/A</v>
      </c>
      <c r="I72" s="476" t="e">
        <f ca="1">'보고서(일반)'!AG17</f>
        <v>#N/A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468</v>
      </c>
      <c r="E73" s="476" t="e">
        <f ca="1">'보고서(일반)'!AC18</f>
        <v>#N/A</v>
      </c>
      <c r="F73" s="476" t="e">
        <f ca="1">'보고서(일반)'!AD18</f>
        <v>#N/A</v>
      </c>
      <c r="G73" s="476" t="e">
        <f ca="1">'보고서(일반)'!AE18</f>
        <v>#N/A</v>
      </c>
      <c r="H73" s="476" t="e">
        <f ca="1">'보고서(일반)'!AF18</f>
        <v>#N/A</v>
      </c>
      <c r="I73" s="476" t="e">
        <f ca="1">'보고서(일반)'!AG18</f>
        <v>#N/A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323</v>
      </c>
      <c r="E74" s="476" t="e">
        <f ca="1">'보고서(일반)'!AC19</f>
        <v>#N/A</v>
      </c>
      <c r="F74" s="476" t="e">
        <f ca="1">'보고서(일반)'!AD19</f>
        <v>#N/A</v>
      </c>
      <c r="G74" s="476" t="e">
        <f ca="1">'보고서(일반)'!AE19</f>
        <v>#N/A</v>
      </c>
      <c r="H74" s="476" t="e">
        <f ca="1">'보고서(일반)'!AF19</f>
        <v>#N/A</v>
      </c>
      <c r="I74" s="476" t="e">
        <f ca="1">'보고서(일반)'!AG19</f>
        <v>#N/A</v>
      </c>
      <c r="J74" s="372"/>
      <c r="K74" s="454" t="s">
        <v>469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327</v>
      </c>
      <c r="E75" s="476" t="str">
        <f>'보고서(일반)'!AC20</f>
        <v>FCF추정!F19</v>
      </c>
      <c r="F75" s="476" t="str">
        <f>'보고서(일반)'!AD20</f>
        <v>FCF추정!G19</v>
      </c>
      <c r="G75" s="476" t="str">
        <f>'보고서(일반)'!AE20</f>
        <v>FCF추정!H19</v>
      </c>
      <c r="H75" s="476" t="str">
        <f>'보고서(일반)'!AF20</f>
        <v>FCF추정!I19</v>
      </c>
      <c r="I75" s="476" t="str">
        <f>'보고서(일반)'!AG20</f>
        <v>FCF추정!J19</v>
      </c>
      <c r="J75" s="372"/>
      <c r="K75" s="454" t="s">
        <v>500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335</v>
      </c>
      <c r="E76" s="475" t="e">
        <f ca="1">'보고서(일반)'!AC21</f>
        <v>#N/A</v>
      </c>
      <c r="F76" s="475" t="e">
        <f ca="1">'보고서(일반)'!AD21</f>
        <v>#N/A</v>
      </c>
      <c r="G76" s="475" t="e">
        <f ca="1">'보고서(일반)'!AE21</f>
        <v>#N/A</v>
      </c>
      <c r="H76" s="475" t="e">
        <f ca="1">'보고서(일반)'!AF21</f>
        <v>#N/A</v>
      </c>
      <c r="I76" s="475" t="e">
        <f ca="1">'보고서(일반)'!AG21</f>
        <v>#N/A</v>
      </c>
      <c r="J76" s="372"/>
      <c r="K76" s="462" t="s">
        <v>501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341</v>
      </c>
      <c r="E77" s="476" t="e">
        <f ca="1">'보고서(일반)'!AC22</f>
        <v>#N/A</v>
      </c>
      <c r="F77" s="476" t="e">
        <f ca="1">'보고서(일반)'!AD22</f>
        <v>#N/A</v>
      </c>
      <c r="G77" s="476" t="e">
        <f ca="1">'보고서(일반)'!AE22</f>
        <v>#N/A</v>
      </c>
      <c r="H77" s="476" t="e">
        <f ca="1">'보고서(일반)'!AF22</f>
        <v>#N/A</v>
      </c>
      <c r="I77" s="476" t="e">
        <f ca="1">'보고서(일반)'!AG22</f>
        <v>#N/A</v>
      </c>
      <c r="J77" s="372"/>
      <c r="K77" s="462" t="s">
        <v>499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345</v>
      </c>
      <c r="E78" s="477">
        <f ca="1">'보고서(일반)'!AC23</f>
        <v>0.15880678476280444</v>
      </c>
      <c r="F78" s="477">
        <f ca="1">'보고서(일반)'!AD23</f>
        <v>0.15880678476280444</v>
      </c>
      <c r="G78" s="477">
        <f ca="1">'보고서(일반)'!AE23</f>
        <v>0.15880678476280444</v>
      </c>
      <c r="H78" s="477">
        <f ca="1">'보고서(일반)'!AF23</f>
        <v>0.15880678476280444</v>
      </c>
      <c r="I78" s="477">
        <f ca="1">'보고서(일반)'!AG23</f>
        <v>0.15880678476280444</v>
      </c>
      <c r="J78" s="372"/>
      <c r="K78" s="462" t="s">
        <v>498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348</v>
      </c>
      <c r="E79" s="478" t="str">
        <f>'보고서(일반)'!AC24</f>
        <v>FCF추정!F24</v>
      </c>
      <c r="F79" s="478" t="str">
        <f>'보고서(일반)'!AD24</f>
        <v>FCF추정!G24</v>
      </c>
      <c r="G79" s="478" t="str">
        <f>'보고서(일반)'!AE24</f>
        <v>FCF추정!H24</v>
      </c>
      <c r="H79" s="478" t="str">
        <f>'보고서(일반)'!AF24</f>
        <v>FCF추정!I24</v>
      </c>
      <c r="I79" s="478" t="str">
        <f>'보고서(일반)'!AG24</f>
        <v>FCF추정!J24</v>
      </c>
      <c r="J79" s="372"/>
      <c r="K79" s="454" t="s">
        <v>494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247</v>
      </c>
      <c r="E80" s="478" t="str">
        <f>'보고서(일반)'!AC25</f>
        <v>FCF추정!F5</v>
      </c>
      <c r="F80" s="478" t="str">
        <f>'보고서(일반)'!AD25</f>
        <v>FCF추정!G5</v>
      </c>
      <c r="G80" s="478" t="str">
        <f>'보고서(일반)'!AE25</f>
        <v>FCF추정!H5</v>
      </c>
      <c r="H80" s="478" t="str">
        <f>'보고서(일반)'!AF25</f>
        <v>FCF추정!I5</v>
      </c>
      <c r="I80" s="478" t="str">
        <f>'보고서(일반)'!AG25</f>
        <v>FCF추정!J5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470</v>
      </c>
      <c r="E81" s="478" t="str">
        <f>'보고서(일반)'!AC27</f>
        <v>FCF추정!F23</v>
      </c>
      <c r="F81" s="478" t="str">
        <f>'보고서(일반)'!AD27</f>
        <v>FCF추정!G23</v>
      </c>
      <c r="G81" s="478" t="str">
        <f>'보고서(일반)'!AE27</f>
        <v>FCF추정!H23</v>
      </c>
      <c r="H81" s="478" t="str">
        <f>'보고서(일반)'!AF27</f>
        <v>FCF추정!I23</v>
      </c>
      <c r="I81" s="478" t="str">
        <f>'보고서(일반)'!AG27</f>
        <v>FCF추정!J23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367</v>
      </c>
      <c r="E82" s="475" t="e">
        <f ca="1">'보고서(일반)'!AC28</f>
        <v>#N/A</v>
      </c>
      <c r="F82" s="475" t="e">
        <f ca="1">'보고서(일반)'!AD28</f>
        <v>#N/A</v>
      </c>
      <c r="G82" s="475" t="e">
        <f ca="1">'보고서(일반)'!AE28</f>
        <v>#N/A</v>
      </c>
      <c r="H82" s="475" t="e">
        <f ca="1">'보고서(일반)'!AF28</f>
        <v>#N/A</v>
      </c>
      <c r="I82" s="475" t="e">
        <f ca="1">'보고서(일반)'!AG28</f>
        <v>#N/A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495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471</v>
      </c>
      <c r="E85" s="475" t="e">
        <f ca="1">'보고서(일반)'!AC30</f>
        <v>#N/A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472</v>
      </c>
      <c r="E86" s="475" t="str">
        <f>'보고서(일반)'!AC31</f>
        <v>FCF추정!K21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473</v>
      </c>
      <c r="E87" s="475" t="e">
        <f ca="1">'보고서(일반)'!AC32</f>
        <v>#VALUE!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386</v>
      </c>
      <c r="E88" s="475" t="str">
        <f>'보고서(일반)'!AC33</f>
        <v>FCF추정!E54</v>
      </c>
      <c r="F88" s="462" t="s">
        <v>496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387</v>
      </c>
      <c r="E89" s="475" t="e">
        <f ca="1">'보고서(일반)'!AC34</f>
        <v>#VALUE!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389</v>
      </c>
      <c r="E90" s="475" t="str">
        <f>'보고서(일반)'!AC35</f>
        <v>FCF추정!E56</v>
      </c>
      <c r="F90" s="462" t="s">
        <v>497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391</v>
      </c>
      <c r="E91" s="475" t="str">
        <f>'보고서(일반)'!AC36</f>
        <v>FCF추정!E57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393</v>
      </c>
      <c r="E92" s="475" t="e">
        <f ca="1">'보고서(일반)'!AC37</f>
        <v>#VALUE!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714</v>
      </c>
      <c r="E93" s="475" t="str">
        <f>'보고서(일반)'!AC38</f>
        <v>FCF추정!E59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397</v>
      </c>
      <c r="E94" s="475" t="str">
        <f>'보고서(일반)'!AC39</f>
        <v>FCF추정!E60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4"/>
      <c r="C95" s="204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4"/>
      <c r="C96" s="204"/>
      <c r="D96" s="204"/>
      <c r="E96" s="204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  <sheetView topLeftCell="D1" workbookViewId="1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5"/>
      <c r="B1" s="565"/>
      <c r="C1" s="566"/>
      <c r="D1" s="565" t="s">
        <v>622</v>
      </c>
      <c r="E1" s="565" t="s">
        <v>623</v>
      </c>
      <c r="F1" s="565" t="s">
        <v>624</v>
      </c>
    </row>
    <row r="2" spans="1:6">
      <c r="A2" s="565"/>
      <c r="B2" s="565"/>
      <c r="C2" s="567"/>
      <c r="D2" s="204" t="s">
        <v>625</v>
      </c>
      <c r="E2" s="204">
        <f t="shared" ref="E2:E17" ca="1" si="0">INDIRECT(F2)</f>
        <v>36</v>
      </c>
      <c r="F2" s="204" t="s">
        <v>626</v>
      </c>
    </row>
    <row r="3" spans="1:6">
      <c r="A3" s="565"/>
      <c r="B3" s="565"/>
      <c r="C3" s="567"/>
      <c r="D3" s="204" t="s">
        <v>627</v>
      </c>
      <c r="E3" s="204">
        <f t="shared" ca="1" si="0"/>
        <v>4</v>
      </c>
      <c r="F3" s="204" t="s">
        <v>628</v>
      </c>
    </row>
    <row r="4" spans="1:6">
      <c r="A4" s="565"/>
      <c r="B4" s="565"/>
      <c r="C4" s="567"/>
      <c r="D4" s="204" t="s">
        <v>629</v>
      </c>
      <c r="E4" s="204">
        <f t="shared" ca="1" si="0"/>
        <v>68</v>
      </c>
      <c r="F4" s="204" t="s">
        <v>630</v>
      </c>
    </row>
    <row r="5" spans="1:6">
      <c r="A5" s="565" t="s">
        <v>12</v>
      </c>
      <c r="B5" s="565"/>
      <c r="C5" s="567" t="s">
        <v>17661</v>
      </c>
      <c r="D5" s="204" t="s">
        <v>17662</v>
      </c>
      <c r="E5" s="204">
        <f t="shared" ca="1" si="0"/>
        <v>5</v>
      </c>
      <c r="F5" s="204" t="s">
        <v>631</v>
      </c>
    </row>
    <row r="6" spans="1:6">
      <c r="A6" s="565" t="s">
        <v>12</v>
      </c>
      <c r="B6" s="565"/>
      <c r="C6" s="567" t="s">
        <v>17663</v>
      </c>
      <c r="D6" s="204" t="s">
        <v>17664</v>
      </c>
      <c r="E6" s="204">
        <f t="shared" ca="1" si="0"/>
        <v>16</v>
      </c>
      <c r="F6" s="204" t="s">
        <v>632</v>
      </c>
    </row>
    <row r="7" spans="1:6">
      <c r="A7" s="565" t="s">
        <v>12</v>
      </c>
      <c r="B7" s="565"/>
      <c r="C7" s="567" t="s">
        <v>17665</v>
      </c>
      <c r="D7" s="204" t="s">
        <v>17666</v>
      </c>
      <c r="E7" s="204">
        <f t="shared" ca="1" si="0"/>
        <v>6</v>
      </c>
      <c r="F7" s="204" t="s">
        <v>633</v>
      </c>
    </row>
    <row r="8" spans="1:6">
      <c r="A8" s="565"/>
      <c r="B8" s="565"/>
      <c r="C8" s="567"/>
      <c r="D8" s="204" t="s">
        <v>634</v>
      </c>
      <c r="E8" s="204">
        <f t="shared" ca="1" si="0"/>
        <v>4</v>
      </c>
      <c r="F8" s="204" t="s">
        <v>635</v>
      </c>
    </row>
    <row r="9" spans="1:6">
      <c r="A9" s="565"/>
      <c r="B9" s="565"/>
      <c r="C9" s="567"/>
      <c r="D9" s="204" t="s">
        <v>636</v>
      </c>
      <c r="E9" s="204">
        <f t="shared" ca="1" si="0"/>
        <v>23</v>
      </c>
      <c r="F9" s="204" t="s">
        <v>637</v>
      </c>
    </row>
    <row r="10" spans="1:6">
      <c r="A10" s="565"/>
      <c r="B10" s="565"/>
      <c r="C10" s="567"/>
      <c r="D10" s="204" t="s">
        <v>638</v>
      </c>
      <c r="E10" s="204">
        <f t="shared" ca="1" si="0"/>
        <v>20</v>
      </c>
      <c r="F10" s="204" t="s">
        <v>639</v>
      </c>
    </row>
    <row r="11" spans="1:6">
      <c r="A11" s="565"/>
      <c r="B11" s="565"/>
      <c r="C11" s="567"/>
      <c r="D11" s="204" t="s">
        <v>640</v>
      </c>
      <c r="E11" s="204">
        <f t="shared" ca="1" si="0"/>
        <v>9</v>
      </c>
      <c r="F11" s="204" t="s">
        <v>641</v>
      </c>
    </row>
    <row r="12" spans="1:6">
      <c r="A12" s="565"/>
      <c r="B12" s="565"/>
      <c r="C12" s="567"/>
      <c r="D12" s="204" t="s">
        <v>642</v>
      </c>
      <c r="E12" s="204">
        <f t="shared" ca="1" si="0"/>
        <v>41</v>
      </c>
      <c r="F12" s="204" t="s">
        <v>643</v>
      </c>
    </row>
    <row r="13" spans="1:6">
      <c r="A13" s="565"/>
      <c r="B13" s="565"/>
      <c r="C13" s="567"/>
      <c r="D13" s="204" t="s">
        <v>644</v>
      </c>
      <c r="E13" s="204">
        <f t="shared" ca="1" si="0"/>
        <v>4</v>
      </c>
      <c r="F13" s="204" t="s">
        <v>645</v>
      </c>
    </row>
    <row r="14" spans="1:6">
      <c r="A14" s="565"/>
      <c r="B14" s="565"/>
      <c r="C14" s="567"/>
      <c r="D14" s="204" t="s">
        <v>646</v>
      </c>
      <c r="E14" s="204">
        <f t="shared" ca="1" si="0"/>
        <v>40</v>
      </c>
      <c r="F14" s="204" t="s">
        <v>647</v>
      </c>
    </row>
    <row r="15" spans="1:6">
      <c r="A15" s="565"/>
      <c r="B15" s="565"/>
      <c r="C15" s="567"/>
      <c r="D15" s="204" t="s">
        <v>648</v>
      </c>
      <c r="E15" s="204">
        <f t="shared" ca="1" si="0"/>
        <v>7</v>
      </c>
      <c r="F15" s="204" t="s">
        <v>649</v>
      </c>
    </row>
    <row r="16" spans="1:6">
      <c r="A16" s="565"/>
      <c r="B16" s="565"/>
      <c r="C16" s="567"/>
      <c r="D16" s="204" t="s">
        <v>650</v>
      </c>
      <c r="E16" s="204">
        <f t="shared" ca="1" si="0"/>
        <v>37</v>
      </c>
      <c r="F16" s="204" t="s">
        <v>651</v>
      </c>
    </row>
    <row r="17" spans="1:6">
      <c r="A17" s="565"/>
      <c r="B17" s="565"/>
      <c r="C17" s="567"/>
      <c r="D17" s="204" t="s">
        <v>652</v>
      </c>
      <c r="E17" s="204">
        <f t="shared" ca="1" si="0"/>
        <v>1</v>
      </c>
      <c r="F17" s="204" t="s">
        <v>653</v>
      </c>
    </row>
    <row r="18" spans="1:6">
      <c r="A18" s="565"/>
      <c r="B18" s="565"/>
      <c r="C18" s="204"/>
    </row>
    <row r="19" spans="1:6">
      <c r="A19" s="565"/>
      <c r="B19" s="565"/>
      <c r="C19" s="204"/>
      <c r="D19" s="204"/>
      <c r="E19" s="204"/>
      <c r="F19" s="204"/>
    </row>
    <row r="20" spans="1:6">
      <c r="A20" s="565"/>
      <c r="B20" s="565"/>
      <c r="C20" s="204"/>
      <c r="F20" s="204"/>
    </row>
    <row r="21" spans="1:6">
      <c r="A21" s="565"/>
      <c r="B21" s="565"/>
      <c r="C21" s="565"/>
      <c r="D21" s="565" t="s">
        <v>622</v>
      </c>
      <c r="E21" s="565" t="s">
        <v>623</v>
      </c>
      <c r="F21" s="565" t="s">
        <v>624</v>
      </c>
    </row>
    <row r="22" spans="1:6">
      <c r="A22" s="565"/>
      <c r="B22" s="565"/>
      <c r="C22" s="567"/>
      <c r="D22" s="204" t="s">
        <v>654</v>
      </c>
      <c r="E22" s="204"/>
    </row>
    <row r="23" spans="1:6">
      <c r="A23" s="565"/>
      <c r="B23" s="565"/>
      <c r="C23" s="567"/>
      <c r="D23" s="204" t="s">
        <v>658</v>
      </c>
      <c r="E23" s="204"/>
    </row>
    <row r="24" spans="1:6">
      <c r="A24" s="565"/>
      <c r="B24" s="565"/>
      <c r="C24" s="567"/>
      <c r="D24" s="204" t="s">
        <v>655</v>
      </c>
      <c r="E24" s="204"/>
    </row>
    <row r="25" spans="1:6">
      <c r="A25" s="565"/>
      <c r="B25" s="565"/>
      <c r="C25" s="567"/>
      <c r="D25" s="204" t="s">
        <v>656</v>
      </c>
      <c r="E25" s="570">
        <f ca="1">INDIRECT(F25)</f>
        <v>1</v>
      </c>
      <c r="F25" t="s">
        <v>687</v>
      </c>
    </row>
    <row r="26" spans="1:6">
      <c r="A26" s="565"/>
      <c r="B26" s="565"/>
      <c r="C26" s="565"/>
      <c r="D26" s="204" t="s">
        <v>657</v>
      </c>
      <c r="E26" s="204"/>
    </row>
    <row r="27" spans="1:6">
      <c r="D27" t="s">
        <v>711</v>
      </c>
      <c r="E27" t="str">
        <f>"DCF_"&amp;E28&amp;"("&amp;평가기준일&amp;")"&amp;".xlsm"</f>
        <v>DCF_미래세라텍(2024-12-31).xlsm</v>
      </c>
    </row>
    <row r="28" spans="1:6">
      <c r="D28" t="s">
        <v>712</v>
      </c>
      <c r="E28" t="str">
        <f>SUBSTITUTE(TRIM(COMPANY!E2),"(주)","")</f>
        <v>미래세라텍</v>
      </c>
    </row>
    <row r="29" spans="1:6">
      <c r="D29" t="s">
        <v>720</v>
      </c>
      <c r="E29" t="str">
        <f>"(KAP)("&amp;평가기준일&amp;")"&amp;TRIM(COMPANY!E2)&amp;" 평가보고서"</f>
        <v>(KAP)(2024-12-31)(주)미래세라텍 평가보고서</v>
      </c>
    </row>
    <row r="30" spans="1:6">
      <c r="D30" t="s">
        <v>713</v>
      </c>
      <c r="E30">
        <v>5</v>
      </c>
    </row>
    <row r="50" spans="4:6">
      <c r="D50" s="565" t="s">
        <v>622</v>
      </c>
      <c r="E50" s="565" t="s">
        <v>623</v>
      </c>
      <c r="F50" s="565" t="s">
        <v>624</v>
      </c>
    </row>
    <row r="51" spans="4:6">
      <c r="D51" t="s">
        <v>723</v>
      </c>
      <c r="E51" s="687">
        <f ca="1">평가값</f>
        <v>-3237369.4615647378</v>
      </c>
    </row>
    <row r="52" spans="4:6">
      <c r="D52" t="s">
        <v>724</v>
      </c>
      <c r="E52" t="str">
        <f>평가회사명</f>
        <v>미래세라텍</v>
      </c>
    </row>
    <row r="53" spans="4:6">
      <c r="D53" t="s">
        <v>725</v>
      </c>
      <c r="E53" t="str">
        <f>TRIM(+COMPANY!E10)</f>
        <v>위생용 도자기 제조업</v>
      </c>
    </row>
    <row r="54" spans="4:6">
      <c r="D54" t="s">
        <v>656</v>
      </c>
      <c r="E54" s="690">
        <f>영구g/100</f>
        <v>0.01</v>
      </c>
    </row>
    <row r="55" spans="4:6">
      <c r="D55" t="s">
        <v>726</v>
      </c>
      <c r="E55" s="691">
        <f ca="1">+Bloomberg!P6</f>
        <v>0.75025809415491695</v>
      </c>
    </row>
    <row r="56" spans="4:6">
      <c r="D56" t="s">
        <v>727</v>
      </c>
      <c r="E56" s="691">
        <f ca="1">+Bloomberg!R6</f>
        <v>1.0688869358731061</v>
      </c>
    </row>
    <row r="57" spans="4:6">
      <c r="D57" t="s">
        <v>736</v>
      </c>
      <c r="E57" s="690">
        <f>+RATE!F7/100</f>
        <v>3.3500000000000002E-2</v>
      </c>
    </row>
    <row r="58" spans="4:6">
      <c r="D58" t="s">
        <v>729</v>
      </c>
      <c r="E58" s="690">
        <f>+RATE!F8/100</f>
        <v>0.1197</v>
      </c>
    </row>
    <row r="59" spans="4:6">
      <c r="D59" t="s">
        <v>728</v>
      </c>
      <c r="E59" s="690">
        <f>+WACC!E43/100</f>
        <v>0.02</v>
      </c>
    </row>
    <row r="60" spans="4:6">
      <c r="D60" t="s">
        <v>731</v>
      </c>
      <c r="E60" s="638" t="e">
        <f ca="1">+'보고서(일반)'!J5</f>
        <v>#N/A</v>
      </c>
    </row>
    <row r="61" spans="4:6">
      <c r="D61" s="204" t="s">
        <v>737</v>
      </c>
      <c r="E61" s="638" t="e">
        <f ca="1">+'보고서(일반)'!J11+'보고서(일반)'!J22</f>
        <v>#N/A</v>
      </c>
    </row>
    <row r="62" spans="4:6">
      <c r="D62" t="s">
        <v>730</v>
      </c>
      <c r="E62" s="638" t="e">
        <f ca="1">+'보고서(일반)'!J44</f>
        <v>#N/A</v>
      </c>
    </row>
    <row r="63" spans="4:6">
      <c r="D63" t="s">
        <v>740</v>
      </c>
      <c r="E63" s="638" t="str">
        <f>+'보고서(일반)'!J58</f>
        <v>FCF추정!F19</v>
      </c>
    </row>
    <row r="64" spans="4:6">
      <c r="D64" t="s">
        <v>732</v>
      </c>
      <c r="E64" s="638" t="e">
        <f ca="1">+'보고서(일반)'!J49+'보고서(일반)'!J51</f>
        <v>#N/A</v>
      </c>
    </row>
    <row r="65" spans="4:6">
      <c r="D65" t="s">
        <v>733</v>
      </c>
      <c r="E65" s="638" t="e">
        <f ca="1">+'보고서(일반)'!J52</f>
        <v>#N/A</v>
      </c>
    </row>
    <row r="66" spans="4:6" s="204" customFormat="1">
      <c r="D66" s="204" t="s">
        <v>735</v>
      </c>
      <c r="E66" s="638" t="str">
        <f>+'보고서(일반)'!AC31</f>
        <v>FCF추정!K21</v>
      </c>
    </row>
    <row r="67" spans="4:6" s="204" customFormat="1">
      <c r="E67" s="638"/>
    </row>
    <row r="68" spans="4:6">
      <c r="D68" t="s">
        <v>734</v>
      </c>
      <c r="E68" s="638" t="str">
        <f>+'보고서(일반)'!AC33</f>
        <v>FCF추정!E54</v>
      </c>
    </row>
    <row r="69" spans="4:6">
      <c r="D69" t="s">
        <v>671</v>
      </c>
      <c r="E69" s="638" t="str">
        <f>+'보고서(일반)'!AC35</f>
        <v>FCF추정!E56</v>
      </c>
    </row>
    <row r="70" spans="4:6">
      <c r="D70" t="s">
        <v>738</v>
      </c>
      <c r="E70" s="638" t="str">
        <f>+'보고서(일반)'!AC38</f>
        <v>FCF추정!E59</v>
      </c>
    </row>
    <row r="71" spans="4:6">
      <c r="D71" t="s">
        <v>760</v>
      </c>
      <c r="E71" t="str" cm="1">
        <f t="array" aca="1" ref="E71" ca="1">INDIRECT(F71)</f>
        <v>2029-12-31</v>
      </c>
      <c r="F71" t="s">
        <v>758</v>
      </c>
    </row>
    <row r="72" spans="4:6">
      <c r="D72" t="s">
        <v>759</v>
      </c>
      <c r="E72">
        <f ca="1">YEAR(E71)+보고서연도설정-5</f>
        <v>2029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44</vt:i4>
      </vt:variant>
    </vt:vector>
  </HeadingPairs>
  <TitlesOfParts>
    <vt:vector size="65" baseType="lpstr">
      <vt:lpstr>5개년도 매출추정</vt:lpstr>
      <vt:lpstr>FS정리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2025-01-01T13:05:53Z</dcterms:modified>
</cp:coreProperties>
</file>